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DB_Movies" sheetId="1" r:id="rId4"/>
    <sheet state="visible" name="Sheet2" sheetId="2" r:id="rId5"/>
    <sheet state="visible" name="pivots" sheetId="3" r:id="rId6"/>
    <sheet state="visible" name="Charts" sheetId="4" r:id="rId7"/>
  </sheets>
  <definedNames>
    <definedName hidden="1" localSheetId="0" name="_xlnm._FilterDatabase">IMDB_Movies!$A$1:$S$3493</definedName>
    <definedName hidden="1" localSheetId="1" name="_xlnm._FilterDatabase">Sheet2!$H$1:$L$11</definedName>
    <definedName hidden="1" localSheetId="2" name="_xlnm._FilterDatabase">pivots!$A$15:$C$1671</definedName>
  </definedNames>
  <calcPr/>
  <pivotCaches>
    <pivotCache cacheId="0" r:id="rId8"/>
  </pivotCaches>
</workbook>
</file>

<file path=xl/sharedStrings.xml><?xml version="1.0" encoding="utf-8"?>
<sst xmlns="http://schemas.openxmlformats.org/spreadsheetml/2006/main" count="33180" uniqueCount="10907">
  <si>
    <t>director_name</t>
  </si>
  <si>
    <t>director_name2</t>
  </si>
  <si>
    <t>num_critic_for_reviews</t>
  </si>
  <si>
    <t>gross</t>
  </si>
  <si>
    <t>genres</t>
  </si>
  <si>
    <t>Num_Of_geners</t>
  </si>
  <si>
    <t>actor_1_name</t>
  </si>
  <si>
    <t>clean_actor_1_name</t>
  </si>
  <si>
    <t>movie_title</t>
  </si>
  <si>
    <t>num_voted_users</t>
  </si>
  <si>
    <t>plot_keywords</t>
  </si>
  <si>
    <t>num_user_for_reviews</t>
  </si>
  <si>
    <t>language</t>
  </si>
  <si>
    <t>country</t>
  </si>
  <si>
    <t>budget</t>
  </si>
  <si>
    <t>profit</t>
  </si>
  <si>
    <t>Loss</t>
  </si>
  <si>
    <t>title_year</t>
  </si>
  <si>
    <t>imdb_score</t>
  </si>
  <si>
    <t>Cal Brunker</t>
  </si>
  <si>
    <t>Adventure|Animation|Comedy|Family|Sci-Fi</t>
  </si>
  <si>
    <t>Brendan Fraser</t>
  </si>
  <si>
    <t>Escape from Planet Earth </t>
  </si>
  <si>
    <t>alien|cult film|mission control|product placement|rescue</t>
  </si>
  <si>
    <t>English</t>
  </si>
  <si>
    <t>USA</t>
  </si>
  <si>
    <t>Ericson Core</t>
  </si>
  <si>
    <t>Action|Crime|Sport|Thriller</t>
  </si>
  <si>
    <t>Ray Winstone</t>
  </si>
  <si>
    <t>Point Break </t>
  </si>
  <si>
    <t>athlete|extreme sports|fbi|fbi agent|heist</t>
  </si>
  <si>
    <t>Gavin O'Connor</t>
  </si>
  <si>
    <t>Biography|Drama|History|Sport</t>
  </si>
  <si>
    <t>Eddie Cahill</t>
  </si>
  <si>
    <t>Miracle </t>
  </si>
  <si>
    <t>1980s|hockey|ice hockey|olympics|soviet union</t>
  </si>
  <si>
    <t>Sergio Leone</t>
  </si>
  <si>
    <t>Action|Drama|Western</t>
  </si>
  <si>
    <t>Clint Eastwood</t>
  </si>
  <si>
    <t>A Fistful of Dollars </t>
  </si>
  <si>
    <t>balladeer|bar|drifter|mexican|revenge</t>
  </si>
  <si>
    <t>Italian</t>
  </si>
  <si>
    <t>Italy</t>
  </si>
  <si>
    <t>Gregory Hoblit</t>
  </si>
  <si>
    <t>Crime|Drama|Mystery|Sci-Fi|Thriller</t>
  </si>
  <si>
    <t>Dennis Quaid</t>
  </si>
  <si>
    <t>Frequency </t>
  </si>
  <si>
    <t>altering history|alternate history|amateur radio|ham radio|paranormal phenomena</t>
  </si>
  <si>
    <t>Kevin Bray</t>
  </si>
  <si>
    <t>Action|Crime</t>
  </si>
  <si>
    <t>Dwayne Johnson</t>
  </si>
  <si>
    <t>Walking Tall </t>
  </si>
  <si>
    <t>casino|football|sheriff|special forces|violence</t>
  </si>
  <si>
    <t>Quentin Tarantino</t>
  </si>
  <si>
    <t>Crime|Drama</t>
  </si>
  <si>
    <t>Bruce Willis</t>
  </si>
  <si>
    <t>Pulp Fiction </t>
  </si>
  <si>
    <t>black comedy|cunnilingus|neo noir|nonlinear timeline|postmodern</t>
  </si>
  <si>
    <t>Griffin Dunne</t>
  </si>
  <si>
    <t>Comedy|Drama|Fantasy|Romance</t>
  </si>
  <si>
    <t>Goran Visnjic</t>
  </si>
  <si>
    <t>Practical Magic </t>
  </si>
  <si>
    <t>curse|death|island|love|magic</t>
  </si>
  <si>
    <t>Kurt Wimmer</t>
  </si>
  <si>
    <t>Action|Horror|Sci-Fi|Thriller</t>
  </si>
  <si>
    <t>Milla Jovovich</t>
  </si>
  <si>
    <t>Ultraviolet </t>
  </si>
  <si>
    <t>boy|disease|hemophagia|speed|vampire</t>
  </si>
  <si>
    <t>Spike Lee</t>
  </si>
  <si>
    <t>Biography|Drama|History|Romance</t>
  </si>
  <si>
    <t>Denzel Washington</t>
  </si>
  <si>
    <t>Malcolm X </t>
  </si>
  <si>
    <t>african american|black history|civil rights|ku klux klan|nation of islam</t>
  </si>
  <si>
    <t>Ridley Scott</t>
  </si>
  <si>
    <t>Drama|History|War</t>
  </si>
  <si>
    <t>Ioan Gruffudd</t>
  </si>
  <si>
    <t>Black Hawk Down </t>
  </si>
  <si>
    <t>army|helicopter|somali|somalia|warlord</t>
  </si>
  <si>
    <t>John Sayles</t>
  </si>
  <si>
    <t>Drama|Mystery</t>
  </si>
  <si>
    <t>Matthew McConaughey</t>
  </si>
  <si>
    <t>Lone Star </t>
  </si>
  <si>
    <t>father son relationship|interracial relationship|neo western|sheriff|texas</t>
  </si>
  <si>
    <t>Florian Henckel von Donnersmarck</t>
  </si>
  <si>
    <t>Action|Romance|Thriller</t>
  </si>
  <si>
    <t>Johnny Depp</t>
  </si>
  <si>
    <t>The Tourist </t>
  </si>
  <si>
    <t>police surveillance|surveillance van|tailing a suspect|tourist|venice italy</t>
  </si>
  <si>
    <t>JosÃ© Luis Valenzuela</t>
  </si>
  <si>
    <t>Comedy|Romance</t>
  </si>
  <si>
    <t>Cheech Marin</t>
  </si>
  <si>
    <t>Luminarias </t>
  </si>
  <si>
    <t>divorce|friend|jewish|lent|restaurant</t>
  </si>
  <si>
    <t>John Ottman</t>
  </si>
  <si>
    <t>Horror|Mystery|Thriller</t>
  </si>
  <si>
    <t>Loretta Devine</t>
  </si>
  <si>
    <t>Urban Legends: Final Cut </t>
  </si>
  <si>
    <t>film set|movie set|sequel|slow motion|urban legend</t>
  </si>
  <si>
    <t>Andy Cadiff</t>
  </si>
  <si>
    <t>Annabella Sciorra</t>
  </si>
  <si>
    <t>Chasing Liberty </t>
  </si>
  <si>
    <t>first daughter|photographer|prague|president|secret service agent</t>
  </si>
  <si>
    <t>Michael Polish</t>
  </si>
  <si>
    <t>Drama</t>
  </si>
  <si>
    <t>Sasha Alexander</t>
  </si>
  <si>
    <t>Twin Falls Idaho </t>
  </si>
  <si>
    <t>conjoined twins|independent film|low budget film|separation|twin</t>
  </si>
  <si>
    <t>Steve Miner</t>
  </si>
  <si>
    <t>Action|Comedy|Horror</t>
  </si>
  <si>
    <t>Oliver Platt</t>
  </si>
  <si>
    <t>Lake Placid </t>
  </si>
  <si>
    <t>crocodile|eaten alive|lake|maine|sheriff</t>
  </si>
  <si>
    <t>Nick Cassavetes</t>
  </si>
  <si>
    <t>Crime|Drama|Thriller</t>
  </si>
  <si>
    <t>John Q </t>
  </si>
  <si>
    <t>health care|heart transplant|hospital|hostage|insurance</t>
  </si>
  <si>
    <t>Vincente Minnelli</t>
  </si>
  <si>
    <t>Adventure|Comedy|Musical|Romance</t>
  </si>
  <si>
    <t>Gladys Cooper</t>
  </si>
  <si>
    <t>The Pirate </t>
  </si>
  <si>
    <t>hoop|horseback riding|love|pirate|singer</t>
  </si>
  <si>
    <t>J.B. Rogers</t>
  </si>
  <si>
    <t>Eddie Cibrian</t>
  </si>
  <si>
    <t>Say It Isn't So </t>
  </si>
  <si>
    <t>bestiality|brother sister incest|fisting|hit on the head with a pipe|wedding</t>
  </si>
  <si>
    <t>Edgar Wright</t>
  </si>
  <si>
    <t>Action|Comedy|Mystery</t>
  </si>
  <si>
    <t>Bill Bailey</t>
  </si>
  <si>
    <t>Hot Fuzz </t>
  </si>
  <si>
    <t>accident|conspiracy|police|police officer|village</t>
  </si>
  <si>
    <t>UK</t>
  </si>
  <si>
    <t>Tim Chambers</t>
  </si>
  <si>
    <t>Drama|Sport</t>
  </si>
  <si>
    <t>Ellen Burstyn</t>
  </si>
  <si>
    <t>The Mighty Macs </t>
  </si>
  <si>
    <t>basketball|catholic|coach|college|nun</t>
  </si>
  <si>
    <t>Hugh Wilson</t>
  </si>
  <si>
    <t>Comedy</t>
  </si>
  <si>
    <t>Steve Guttenberg</t>
  </si>
  <si>
    <t>Police Academy </t>
  </si>
  <si>
    <t>misfit|police|police academy|police cadet|police officer</t>
  </si>
  <si>
    <t>Simon Wincer</t>
  </si>
  <si>
    <t>Action|Adventure|Comedy|Fantasy</t>
  </si>
  <si>
    <t>Cary-Hiroyuki Tagawa</t>
  </si>
  <si>
    <t>The Phantom </t>
  </si>
  <si>
    <t>ghost|new york city|phantom|skull|superhero</t>
  </si>
  <si>
    <t>Australia</t>
  </si>
  <si>
    <t>Wes Craven</t>
  </si>
  <si>
    <t>Horror</t>
  </si>
  <si>
    <t>A Nightmare on Elm Street </t>
  </si>
  <si>
    <t>freddy krueger|lucid dream|serial killer|slasher|sleep deprivation</t>
  </si>
  <si>
    <t>Johnnie To</t>
  </si>
  <si>
    <t>Action|Crime|Thriller</t>
  </si>
  <si>
    <t>Simon Yam</t>
  </si>
  <si>
    <t>Exiled </t>
  </si>
  <si>
    <t>baby|friendship|macau|practical joke|selfie</t>
  </si>
  <si>
    <t>Cantonese</t>
  </si>
  <si>
    <t>Hong Kong</t>
  </si>
  <si>
    <t>James L. Brooks</t>
  </si>
  <si>
    <t>Comedy|Drama|Romance</t>
  </si>
  <si>
    <t>Shelley Conn</t>
  </si>
  <si>
    <t>How Do You Know </t>
  </si>
  <si>
    <t>embarrassment|falling in love|love|love triangle|revelation</t>
  </si>
  <si>
    <t>F. Gary Gray</t>
  </si>
  <si>
    <t>Action|Crime|Drama|Romance|Thriller</t>
  </si>
  <si>
    <t>Vivica A. Fox</t>
  </si>
  <si>
    <t>Set It Off </t>
  </si>
  <si>
    <t>bank|black comedy|main characters killed off|money|robbery</t>
  </si>
  <si>
    <t>Neil LaBute</t>
  </si>
  <si>
    <t>Comedy|Crime|Drama</t>
  </si>
  <si>
    <t>Morgan Freeman</t>
  </si>
  <si>
    <t>Nurse Betty </t>
  </si>
  <si>
    <t>hospital|kansas city|obsession|salesman|soap opera</t>
  </si>
  <si>
    <t>Germany</t>
  </si>
  <si>
    <t>Roland Emmerich</t>
  </si>
  <si>
    <t>Action|Drama|Thriller</t>
  </si>
  <si>
    <t>Channing Tatum</t>
  </si>
  <si>
    <t>White House Down </t>
  </si>
  <si>
    <t>black u.s. president|president|secret service|tour|white house</t>
  </si>
  <si>
    <t>Tim Burton</t>
  </si>
  <si>
    <t>Action</t>
  </si>
  <si>
    <t>Michael Gough</t>
  </si>
  <si>
    <t>Batman Returns </t>
  </si>
  <si>
    <t>box office hit|dc comics|gotham|mayor|penguin</t>
  </si>
  <si>
    <t>James Cameron</t>
  </si>
  <si>
    <t>Action|Adventure|Sci-Fi</t>
  </si>
  <si>
    <t>Michael Biehn</t>
  </si>
  <si>
    <t>Aliens </t>
  </si>
  <si>
    <t>alien|human versus alien|monster|rescue mission|space marine</t>
  </si>
  <si>
    <t>Robert Luketic</t>
  </si>
  <si>
    <t>Action|Comedy|Romance|Thriller</t>
  </si>
  <si>
    <t>Tom Selleck</t>
  </si>
  <si>
    <t>Killers </t>
  </si>
  <si>
    <t>hired killer|marriage|neighbor|on the run|store clerk</t>
  </si>
  <si>
    <t>Terry Zwigoff</t>
  </si>
  <si>
    <t>Bernie Mac</t>
  </si>
  <si>
    <t>Bad Santa </t>
  </si>
  <si>
    <t>bartender|christmas|christmas eve|department store|drink</t>
  </si>
  <si>
    <t>Len Wiseman</t>
  </si>
  <si>
    <t>Action|Fantasy|Thriller</t>
  </si>
  <si>
    <t>Sophia Myles</t>
  </si>
  <si>
    <t>Underworld </t>
  </si>
  <si>
    <t>blood|death|hybrid|vampire|werewolf</t>
  </si>
  <si>
    <t>Robert B. Weide</t>
  </si>
  <si>
    <t>James Corden</t>
  </si>
  <si>
    <t>How to Lose Friends &amp; Alienate People </t>
  </si>
  <si>
    <t>celebrity|party|pig|starlet|writer</t>
  </si>
  <si>
    <t>Sam Firstenberg</t>
  </si>
  <si>
    <t>Action|Drama</t>
  </si>
  <si>
    <t>Michael Dudikoff</t>
  </si>
  <si>
    <t>American Ninja 2: The Confrontation </t>
  </si>
  <si>
    <t>blood splatter|island|motorboat|ninja|sequel to cult film</t>
  </si>
  <si>
    <t>Wayne Wang</t>
  </si>
  <si>
    <t>Drama|History</t>
  </si>
  <si>
    <t>Bingbing Li</t>
  </si>
  <si>
    <t>Snow Flower and the Secret Fan </t>
  </si>
  <si>
    <t>car hitting pedestrian|china|fan|nineteenth century|reversal of fortune</t>
  </si>
  <si>
    <t>China</t>
  </si>
  <si>
    <t>James Mangold</t>
  </si>
  <si>
    <t>Action|Comedy|Romance</t>
  </si>
  <si>
    <t>Tom Cruise</t>
  </si>
  <si>
    <t>Knight and Day </t>
  </si>
  <si>
    <t>chase|fbi|garage|spy|surveillance</t>
  </si>
  <si>
    <t>Alex Smith</t>
  </si>
  <si>
    <t>Ryan Gosling</t>
  </si>
  <si>
    <t>The Slaughter Rule </t>
  </si>
  <si>
    <t>cheerleader|father son relationship|football coach|loss of father|mother son relationship</t>
  </si>
  <si>
    <t>Jaume BalaguerÃ³</t>
  </si>
  <si>
    <t>Lena Olin</t>
  </si>
  <si>
    <t>Darkness </t>
  </si>
  <si>
    <t>9 year old|blood|gramophone|house|missing children</t>
  </si>
  <si>
    <t>Anne Fontaine</t>
  </si>
  <si>
    <t>Drama|Romance</t>
  </si>
  <si>
    <t>Robin Wright</t>
  </si>
  <si>
    <t>Adore </t>
  </si>
  <si>
    <t>beach|friend|friendship|happiness|neighbor</t>
  </si>
  <si>
    <t>James Ivory</t>
  </si>
  <si>
    <t>Anthony Hopkins</t>
  </si>
  <si>
    <t>The Remains of the Day </t>
  </si>
  <si>
    <t>butler|housekeeper|manor|servant|service</t>
  </si>
  <si>
    <t>David Mirkin</t>
  </si>
  <si>
    <t>Comedy|Crime|Romance</t>
  </si>
  <si>
    <t>Sarah Silverman</t>
  </si>
  <si>
    <t>Heartbreakers </t>
  </si>
  <si>
    <t>bank|infidelity|millionaire|money|scam</t>
  </si>
  <si>
    <t>Paul Feig</t>
  </si>
  <si>
    <t>Action|Comedy|Fantasy|Sci-Fi</t>
  </si>
  <si>
    <t>Ed Begley Jr.</t>
  </si>
  <si>
    <t>Ghostbusters </t>
  </si>
  <si>
    <t>ghost|ghostbuster|ghostbusters|male objectification|reboot</t>
  </si>
  <si>
    <t>Rick de Oliveira</t>
  </si>
  <si>
    <t>Documentary</t>
  </si>
  <si>
    <t>Laura Ramsey</t>
  </si>
  <si>
    <t>The Real Cancun </t>
  </si>
  <si>
    <t>cancun mexico|mexico|spring break|vacation|wisconsin</t>
  </si>
  <si>
    <t>Eric Darnell</t>
  </si>
  <si>
    <t>Action|Adventure|Animation|Comedy|Family</t>
  </si>
  <si>
    <t>Madagascar: Escape 2 Africa </t>
  </si>
  <si>
    <t>africa|madagascar|new york city|sequel|zoo</t>
  </si>
  <si>
    <t>David Slade</t>
  </si>
  <si>
    <t>Adventure|Drama|Fantasy|Romance</t>
  </si>
  <si>
    <t>Robert Pattinson</t>
  </si>
  <si>
    <t>The Twilight Saga: Eclipse </t>
  </si>
  <si>
    <t>friendship|graduation|revenge|vampire|werewolf</t>
  </si>
  <si>
    <t>Keenen Ivory Wayans</t>
  </si>
  <si>
    <t>Action|Comedy|Crime</t>
  </si>
  <si>
    <t>Jada Pinkett Smith</t>
  </si>
  <si>
    <t>A Low Down Dirty Shame </t>
  </si>
  <si>
    <t>drugs|ex cop|gun fu|machismo|shootout</t>
  </si>
  <si>
    <t>Lee Tamahori</t>
  </si>
  <si>
    <t>Along Came a Spider </t>
  </si>
  <si>
    <t>kidnapping|partner|ransom|school|secret service</t>
  </si>
  <si>
    <t>John Gatins</t>
  </si>
  <si>
    <t>Drama|Family|Sport</t>
  </si>
  <si>
    <t>Ken Howard</t>
  </si>
  <si>
    <t>Dreamer: Inspired by a True Story </t>
  </si>
  <si>
    <t>colon in title|horse|kentucky|overalls|six word title</t>
  </si>
  <si>
    <t>Rob Cohen</t>
  </si>
  <si>
    <t>Action|Adventure|Fantasy</t>
  </si>
  <si>
    <t>DragonHeart </t>
  </si>
  <si>
    <t>dragon|england|human dragon relationship|king|knight</t>
  </si>
  <si>
    <t>Adam McKay</t>
  </si>
  <si>
    <t>The Other Guys </t>
  </si>
  <si>
    <t>capitalist|detective|investigation|new york city|police</t>
  </si>
  <si>
    <t>William Brent Bell</t>
  </si>
  <si>
    <t>Lauren Cohan</t>
  </si>
  <si>
    <t>The Boy </t>
  </si>
  <si>
    <t>animate doll|doll|england|nanny|surprise ending</t>
  </si>
  <si>
    <t>Joel Zwick</t>
  </si>
  <si>
    <t>Comedy|Family|Romance</t>
  </si>
  <si>
    <t>Nia Vardalos</t>
  </si>
  <si>
    <t>My Big Fat Greek Wedding </t>
  </si>
  <si>
    <t>baptism|greek|greek restaurant|prejudice|travel agency</t>
  </si>
  <si>
    <t>Michael Moore</t>
  </si>
  <si>
    <t>Roger &amp; Me </t>
  </si>
  <si>
    <t>factory|flint michigan|general motors|michigan|quest</t>
  </si>
  <si>
    <t>Eric Styles</t>
  </si>
  <si>
    <t>Samantha Morton</t>
  </si>
  <si>
    <t>Dreaming of Joseph Lees </t>
  </si>
  <si>
    <t>love crime|love triangle|lust|sister sister relationship|unrequited love</t>
  </si>
  <si>
    <t>Chris Miller</t>
  </si>
  <si>
    <t>Adventure|Animation|Comedy|Family|Fantasy</t>
  </si>
  <si>
    <t>Justin Timberlake</t>
  </si>
  <si>
    <t>Shrek the Third </t>
  </si>
  <si>
    <t>disney spoof|fairy tale|prince|princess|tough guy</t>
  </si>
  <si>
    <t>M. Night Shyamalan</t>
  </si>
  <si>
    <t>Horror|Thriller</t>
  </si>
  <si>
    <t>Ocean James</t>
  </si>
  <si>
    <t>The Visit </t>
  </si>
  <si>
    <t>farm|handheld camera|impostor|rap|rock paper scissors</t>
  </si>
  <si>
    <t>D.J. Caruso</t>
  </si>
  <si>
    <t>Drama|Mystery|Thriller</t>
  </si>
  <si>
    <t>Sarah Roemer</t>
  </si>
  <si>
    <t>Disturbia </t>
  </si>
  <si>
    <t>binoculars|electronic tag|house arrest|neighbor|watching someone</t>
  </si>
  <si>
    <t>Steven Soderbergh</t>
  </si>
  <si>
    <t>Crime|Thriller</t>
  </si>
  <si>
    <t>Al Pacino</t>
  </si>
  <si>
    <t>Ocean's Thirteen </t>
  </si>
  <si>
    <t>casino|heist|manmade earthquake|revenge|tunnel boring machine</t>
  </si>
  <si>
    <t>Andrew Fleming</t>
  </si>
  <si>
    <t>Comedy|Music</t>
  </si>
  <si>
    <t>Steve Coogan</t>
  </si>
  <si>
    <t>Hamlet 2 </t>
  </si>
  <si>
    <t>gang banger|sequel|shakespeare's hamlet|student|time machine</t>
  </si>
  <si>
    <t>Keith Gordon</t>
  </si>
  <si>
    <t>Comedy|Crime|Musical|Mystery</t>
  </si>
  <si>
    <t>Robert Downey Jr.</t>
  </si>
  <si>
    <t>The Singing Detective </t>
  </si>
  <si>
    <t>detective|detective novel|fantasy sequence|hallucination|writer</t>
  </si>
  <si>
    <t>Steve Antin</t>
  </si>
  <si>
    <t>Drama|Music|Musical|Romance</t>
  </si>
  <si>
    <t>Eric Dane</t>
  </si>
  <si>
    <t>Burlesque </t>
  </si>
  <si>
    <t>burlesque|dancer|iowa|small town girl|stage</t>
  </si>
  <si>
    <t>George Clooney</t>
  </si>
  <si>
    <t>The Ides of March </t>
  </si>
  <si>
    <t>governor|intern|manager|ohio|politics</t>
  </si>
  <si>
    <t>David Lynch</t>
  </si>
  <si>
    <t>Virginia Madsen</t>
  </si>
  <si>
    <t>Dune </t>
  </si>
  <si>
    <t>desert planet|dune|giant worm|space travel|spice</t>
  </si>
  <si>
    <t>Peter Chelsom</t>
  </si>
  <si>
    <t>Comedy|Drama|Family|Music|Romance</t>
  </si>
  <si>
    <t>Emily Osment</t>
  </si>
  <si>
    <t>Hannah Montana: The Movie </t>
  </si>
  <si>
    <t>farm|female protagonist|hannah montana|horseback riding|overalls</t>
  </si>
  <si>
    <t>Andrew Adamson</t>
  </si>
  <si>
    <t>Action|Adventure|Family|Fantasy</t>
  </si>
  <si>
    <t>Peter Dinklage</t>
  </si>
  <si>
    <t>The Chronicles of Narnia: Prince Caspian </t>
  </si>
  <si>
    <t>brother brother relationship|brother sister relationship|good versus evil|king|narnia</t>
  </si>
  <si>
    <t>Alex Kendrick</t>
  </si>
  <si>
    <t>Facing the Giants </t>
  </si>
  <si>
    <t>christian|coach|faith|football|football team</t>
  </si>
  <si>
    <t>Antoine Fuqua</t>
  </si>
  <si>
    <t>The Equalizer </t>
  </si>
  <si>
    <t>assassin|ex soldier|gangster|hanged man|mysterious past</t>
  </si>
  <si>
    <t>Marc Abraham</t>
  </si>
  <si>
    <t>Biography|Drama</t>
  </si>
  <si>
    <t>Dylan Authors</t>
  </si>
  <si>
    <t>Flash of Genius </t>
  </si>
  <si>
    <t>flash of genius|genius|intellectual property|professor|university</t>
  </si>
  <si>
    <t>Alex Craig Mann</t>
  </si>
  <si>
    <t>Comedy|Horror</t>
  </si>
  <si>
    <t>Justin Chon</t>
  </si>
  <si>
    <t>Detention of the Dead </t>
  </si>
  <si>
    <t>based on play|blood|independent film|teenager|zombie</t>
  </si>
  <si>
    <t>Jon Turteltaub</t>
  </si>
  <si>
    <t>Drama|Thriller</t>
  </si>
  <si>
    <t>Instinct </t>
  </si>
  <si>
    <t>africa|anthropologist|murder|poacher|psychiatrist</t>
  </si>
  <si>
    <t>Robert Wise</t>
  </si>
  <si>
    <t>Biography|Drama|Family|Musical|Romance</t>
  </si>
  <si>
    <t>Eleanor Parker</t>
  </si>
  <si>
    <t>The Sound of Music </t>
  </si>
  <si>
    <t>austria|children|governess|love|orchestral music score</t>
  </si>
  <si>
    <t>Jessie Nelson</t>
  </si>
  <si>
    <t>Olivia Wilde</t>
  </si>
  <si>
    <t>Love the Coopers </t>
  </si>
  <si>
    <t>christmas|family dinner|husband wife conflict|husband wife kiss|large family</t>
  </si>
  <si>
    <t>Brian De Palma</t>
  </si>
  <si>
    <t>Scarface </t>
  </si>
  <si>
    <t>assassination attempt|capitalism|cocaine|cuban american|cuban refugee</t>
  </si>
  <si>
    <t>Colin Strause</t>
  </si>
  <si>
    <t>Sam Trammell</t>
  </si>
  <si>
    <t>Aliens vs. Predator: Requiem </t>
  </si>
  <si>
    <t>alien|escape|hunting|hybrid|predator</t>
  </si>
  <si>
    <t>Rick Rosenthal</t>
  </si>
  <si>
    <t>Comedy|Horror|Thriller</t>
  </si>
  <si>
    <t>Jamie Lee Curtis</t>
  </si>
  <si>
    <t>Halloween: Resurrection </t>
  </si>
  <si>
    <t>cult film|halloween|killer|michael myers|serial killer</t>
  </si>
  <si>
    <t>John Hoffman</t>
  </si>
  <si>
    <t>Comedy|Drama|Family|Fantasy|Sci-Fi</t>
  </si>
  <si>
    <t>Liam Aiken</t>
  </si>
  <si>
    <t>Good Boy! </t>
  </si>
  <si>
    <t>dog|friend|neighborhood|planet|star</t>
  </si>
  <si>
    <t>Robert Moresco</t>
  </si>
  <si>
    <t>Brian Dennehy</t>
  </si>
  <si>
    <t>10th &amp; Wolf </t>
  </si>
  <si>
    <t>desert storm|fbi|fbi agent|fragmentation grenade|woman kills attacker</t>
  </si>
  <si>
    <t>John Dahl</t>
  </si>
  <si>
    <t>Action|Drama|War</t>
  </si>
  <si>
    <t>James Franco</t>
  </si>
  <si>
    <t>The Great Raid </t>
  </si>
  <si>
    <t>american|lieutenant colonel|mission|rescue|soldier</t>
  </si>
  <si>
    <t>Filipino</t>
  </si>
  <si>
    <t>Roger Spottiswoode</t>
  </si>
  <si>
    <t>Action|Mystery|Sci-Fi|Thriller</t>
  </si>
  <si>
    <t>Robert Duvall</t>
  </si>
  <si>
    <t>The 6th Day </t>
  </si>
  <si>
    <t>clone|cloning|future|laser gun|murder</t>
  </si>
  <si>
    <t>Joe Dante</t>
  </si>
  <si>
    <t>Adventure|Animation|Comedy|Family|Fantasy|Sci-Fi</t>
  </si>
  <si>
    <t>Looney Tunes: Back in Action </t>
  </si>
  <si>
    <t>diamond|duck|monkey|spy|stuntman</t>
  </si>
  <si>
    <t>Kate Barker-Froyland</t>
  </si>
  <si>
    <t>Drama|Music</t>
  </si>
  <si>
    <t>Anne Hathaway</t>
  </si>
  <si>
    <t>Song One </t>
  </si>
  <si>
    <t>musician|number in title|recording|sibling</t>
  </si>
  <si>
    <t>Brian Koppelman</t>
  </si>
  <si>
    <t>Jenna Fischer</t>
  </si>
  <si>
    <t>Solitary Man </t>
  </si>
  <si>
    <t>aging|hdtv|high definition television|love|marriage</t>
  </si>
  <si>
    <t>Martin Campbell</t>
  </si>
  <si>
    <t>Action|Adventure|Comedy|Romance|Thriller|Western</t>
  </si>
  <si>
    <t>The Mask of Zorro </t>
  </si>
  <si>
    <t>19th century|california|revenge|training|zorro</t>
  </si>
  <si>
    <t>David Cronenberg</t>
  </si>
  <si>
    <t>Biography|Drama|Thriller</t>
  </si>
  <si>
    <t>Michael Fassbender</t>
  </si>
  <si>
    <t>A Dangerous Method </t>
  </si>
  <si>
    <t>carl jung|patient|psychoanalysis|russian|sigmund freud</t>
  </si>
  <si>
    <t>Crime|Drama|Mystery|Thriller</t>
  </si>
  <si>
    <t>Scarlett Johansson</t>
  </si>
  <si>
    <t>The Black Dahlia </t>
  </si>
  <si>
    <t>black dahlia|boxer|corpse|death|partner</t>
  </si>
  <si>
    <t>Jay Roach</t>
  </si>
  <si>
    <t>Comedy|Crime</t>
  </si>
  <si>
    <t>Will Ferrell</t>
  </si>
  <si>
    <t>Austin Powers: International Man of Mystery </t>
  </si>
  <si>
    <t>cartoon on tv|reference to frankenstein|reference to jimi hendrix|scene during end credits|surrealism</t>
  </si>
  <si>
    <t>Michael Winterbottom</t>
  </si>
  <si>
    <t>Drama|Romance|Western</t>
  </si>
  <si>
    <t>The Claim </t>
  </si>
  <si>
    <t>gold|gold mine|miner|railroad|surveyor</t>
  </si>
  <si>
    <t>James Wong</t>
  </si>
  <si>
    <t>Action|Adventure|Fantasy|Sci-Fi|Thriller</t>
  </si>
  <si>
    <t>Ian Whyte</t>
  </si>
  <si>
    <t>Dragonball: Evolution </t>
  </si>
  <si>
    <t>bad|dragon|grandfather|orb|warrior</t>
  </si>
  <si>
    <t>Steve Buscemi</t>
  </si>
  <si>
    <t>Comedy|Drama</t>
  </si>
  <si>
    <t>Trees Lounge </t>
  </si>
  <si>
    <t>alcoholic drink|bar|drink|drinking|drunk</t>
  </si>
  <si>
    <t>Werner Herzog</t>
  </si>
  <si>
    <t>Nicolas Cage</t>
  </si>
  <si>
    <t>Bad Lieutenant: Port of Call New Orleans </t>
  </si>
  <si>
    <t>drugs|flood|hallucination|lieutenant|murder investigation</t>
  </si>
  <si>
    <t>Tom Hanks</t>
  </si>
  <si>
    <t>Comedy|Drama|Music</t>
  </si>
  <si>
    <t>That Thing You Do! </t>
  </si>
  <si>
    <t>band|drummer|jazz|pennsylvania|song</t>
  </si>
  <si>
    <t>Richard Loncraine</t>
  </si>
  <si>
    <t>Jimmy Bennett</t>
  </si>
  <si>
    <t>Firewall </t>
  </si>
  <si>
    <t>architect|bank|cayman islands|meeting|murder</t>
  </si>
  <si>
    <t>Wes Anderson</t>
  </si>
  <si>
    <t>Bill Murray</t>
  </si>
  <si>
    <t>Rushmore </t>
  </si>
  <si>
    <t>coming of age|friendship|private school|student|teacher</t>
  </si>
  <si>
    <t>John McTiernan</t>
  </si>
  <si>
    <t>Action|Adventure|Thriller</t>
  </si>
  <si>
    <t>Scott Glenn</t>
  </si>
  <si>
    <t>The Hunt for Red October </t>
  </si>
  <si>
    <t>analyst|defection|navy|soviet submarine|submarine</t>
  </si>
  <si>
    <t>Tommy Wirkola</t>
  </si>
  <si>
    <t>Action|Fantasy|Horror</t>
  </si>
  <si>
    <t>Jeremy Renner</t>
  </si>
  <si>
    <t>Hansel &amp; Gretel: Witch Hunters </t>
  </si>
  <si>
    <t>bounty hunter|brother sister team|death of loved one|hansel and gretel|supernatural power</t>
  </si>
  <si>
    <t>Kevin Spacey</t>
  </si>
  <si>
    <t>Viggo Mortensen</t>
  </si>
  <si>
    <t>Albino Alligator </t>
  </si>
  <si>
    <t>bar|box office flop|hostage|new orleans louisiana|police</t>
  </si>
  <si>
    <t>Eddie O'Flaherty</t>
  </si>
  <si>
    <t>Don Wallace</t>
  </si>
  <si>
    <t>Fighting Tommy Riley </t>
  </si>
  <si>
    <t>older man younger man relationship|punching bag|school teacher|undressing|unrequited love</t>
  </si>
  <si>
    <t>Chuck Russell</t>
  </si>
  <si>
    <t>Action|Comedy|Crime|Fantasy</t>
  </si>
  <si>
    <t>Peter Greene</t>
  </si>
  <si>
    <t>The Mask </t>
  </si>
  <si>
    <t>bank|bank clerk|gangster|loki|mask</t>
  </si>
  <si>
    <t>Fred Wolf</t>
  </si>
  <si>
    <t>Emma Stone</t>
  </si>
  <si>
    <t>The House Bunny </t>
  </si>
  <si>
    <t>makeover|party|playboy|playboy mansion|sorority</t>
  </si>
  <si>
    <t>Brian Helgeland</t>
  </si>
  <si>
    <t>Action|Crime|Drama|Thriller</t>
  </si>
  <si>
    <t>Bill Duke</t>
  </si>
  <si>
    <t>Payback </t>
  </si>
  <si>
    <t>anti hero|criminal|greed|prostitute|tough guy</t>
  </si>
  <si>
    <t>Jon Favreau</t>
  </si>
  <si>
    <t>Adventure|Drama|Family|Fantasy</t>
  </si>
  <si>
    <t>The Jungle Book </t>
  </si>
  <si>
    <t>fire|jungle|remake|tiger|wolf</t>
  </si>
  <si>
    <t>Todd Graff</t>
  </si>
  <si>
    <t>Dolly Parton</t>
  </si>
  <si>
    <t>Joyful Noise </t>
  </si>
  <si>
    <t>bare chested male|chips|two word title</t>
  </si>
  <si>
    <t>Mark Waters</t>
  </si>
  <si>
    <t>Comedy|Family|Fantasy</t>
  </si>
  <si>
    <t>Madeline Carroll</t>
  </si>
  <si>
    <t>Mr. Popper's Penguins </t>
  </si>
  <si>
    <t>father|penguin|snowglobe|son|winter</t>
  </si>
  <si>
    <t>Tim Robbins</t>
  </si>
  <si>
    <t>Cradle Will Rock </t>
  </si>
  <si>
    <t>1930s|depression|play|theatre|union</t>
  </si>
  <si>
    <t>Phillip Noyce</t>
  </si>
  <si>
    <t>Drama|Mystery|Romance|Thriller|War</t>
  </si>
  <si>
    <t>The Quiet American </t>
  </si>
  <si>
    <t>american|french|saigon|vietnam|vietnamese</t>
  </si>
  <si>
    <t>Raymond De Felitta</t>
  </si>
  <si>
    <t>Ezra Miller</t>
  </si>
  <si>
    <t>City Island </t>
  </si>
  <si>
    <t>anger|family reunion|father son reunion|hugging|movie making</t>
  </si>
  <si>
    <t>Joel Schumacher</t>
  </si>
  <si>
    <t>Batman Forever </t>
  </si>
  <si>
    <t>love|necktie|partner|rock music|tuxedo</t>
  </si>
  <si>
    <t>Donald Petrie</t>
  </si>
  <si>
    <t>Julia Roberts</t>
  </si>
  <si>
    <t>Mystic Pizza </t>
  </si>
  <si>
    <t>commitment|marriage|pizza|title appears in writing|woman wearing only a man's shirt</t>
  </si>
  <si>
    <t>Robert Zemeckis</t>
  </si>
  <si>
    <t>Action|Adventure|Animation|Fantasy</t>
  </si>
  <si>
    <t>Beowulf </t>
  </si>
  <si>
    <t>creature|demon|king|reward|warrior</t>
  </si>
  <si>
    <t>Doug Lefler</t>
  </si>
  <si>
    <t>Action|Adventure|Fantasy|War</t>
  </si>
  <si>
    <t>Colin Firth</t>
  </si>
  <si>
    <t>The Last Legion </t>
  </si>
  <si>
    <t>5th century|boy|capri|roman legion|soldier</t>
  </si>
  <si>
    <t>Adventure|Animation|Comedy|Family|Fantasy|Romance</t>
  </si>
  <si>
    <t>Rupert Everett</t>
  </si>
  <si>
    <t>Shrek 2 </t>
  </si>
  <si>
    <t>drag queen|physical appearance|princess|queen|sequel</t>
  </si>
  <si>
    <t>P.J. Hogan</t>
  </si>
  <si>
    <t>My Best Friend's Wedding </t>
  </si>
  <si>
    <t>best friend|chick flick|male female friendship|promise|wedding</t>
  </si>
  <si>
    <t>Cameron Crowe</t>
  </si>
  <si>
    <t>Orlando Bloom</t>
  </si>
  <si>
    <t>Elizabethtown </t>
  </si>
  <si>
    <t>flight|flight attendant|kentucky|shoes|travel</t>
  </si>
  <si>
    <t>Morten Tyldum</t>
  </si>
  <si>
    <t>Biography|Drama|Thriller|War</t>
  </si>
  <si>
    <t>Benedict Cumberbatch</t>
  </si>
  <si>
    <t>The Imitation Game </t>
  </si>
  <si>
    <t>crossword puzzle|cryptography|enigma code|gay lead character|world war two</t>
  </si>
  <si>
    <t>Tom McCarthy</t>
  </si>
  <si>
    <t>The Station Agent </t>
  </si>
  <si>
    <t>abandoned|depot|dwarf|newfoundland new jersey|train</t>
  </si>
  <si>
    <t>Scott Derrickson</t>
  </si>
  <si>
    <t>Horror|Mystery</t>
  </si>
  <si>
    <t>Danielle Kotch</t>
  </si>
  <si>
    <t>Sinister </t>
  </si>
  <si>
    <t>book|found footage|research|snuff film|writer</t>
  </si>
  <si>
    <t>Dick Richards</t>
  </si>
  <si>
    <t>Adventure|Drama|Romance|War</t>
  </si>
  <si>
    <t>Catherine Deneuve</t>
  </si>
  <si>
    <t>March or Die </t>
  </si>
  <si>
    <t>arab|bare chested male|foreign legion|french foreign legion|morocco</t>
  </si>
  <si>
    <t>Barbet Schroeder</t>
  </si>
  <si>
    <t>Crime|Mystery|Thriller</t>
  </si>
  <si>
    <t>Murder by Numbers </t>
  </si>
  <si>
    <t>disposing of a dead body|high school student|murder|sociopath|teenage boy</t>
  </si>
  <si>
    <t>Hoyt Yeatman</t>
  </si>
  <si>
    <t>Action|Adventure|Animation|Comedy|Family|Fantasy|Sci-Fi</t>
  </si>
  <si>
    <t>Kelli Garner</t>
  </si>
  <si>
    <t>G-Force </t>
  </si>
  <si>
    <t>fbi director|guinea pig|household appliance|secret agent|talking mouse</t>
  </si>
  <si>
    <t>Gus Van Sant</t>
  </si>
  <si>
    <t>Adventure|Drama|Mystery</t>
  </si>
  <si>
    <t>Matt Damon</t>
  </si>
  <si>
    <t>Gerry </t>
  </si>
  <si>
    <t>desert|friend|friendship|minimal dialogue|water</t>
  </si>
  <si>
    <t>John Michael McDonagh</t>
  </si>
  <si>
    <t>Comedy|Crime|Thriller</t>
  </si>
  <si>
    <t>Don Cheadle</t>
  </si>
  <si>
    <t>The Guard </t>
  </si>
  <si>
    <t>boat on fire|drug smuggling|fbi|fbi agent|small town</t>
  </si>
  <si>
    <t>Ireland</t>
  </si>
  <si>
    <t>Phil Lord</t>
  </si>
  <si>
    <t>22 Jump Street </t>
  </si>
  <si>
    <t>college|drugs|hidden camera|tattoo|undercover</t>
  </si>
  <si>
    <t>Bob Hoskins</t>
  </si>
  <si>
    <t>Maid in Manhattan </t>
  </si>
  <si>
    <t>hotel|maid|new york city|place name in title|the bronx</t>
  </si>
  <si>
    <t>Jason Bateman</t>
  </si>
  <si>
    <t>Beth Grant</t>
  </si>
  <si>
    <t>Bad Words </t>
  </si>
  <si>
    <t>directed by star|indian american|spelling|spelling bee|two word title</t>
  </si>
  <si>
    <t>Olivier Megaton</t>
  </si>
  <si>
    <t>Liam Neeson</t>
  </si>
  <si>
    <t>Taken 2 </t>
  </si>
  <si>
    <t>albanian|revenge|revenge motive|teenage daughter|vacation</t>
  </si>
  <si>
    <t>France</t>
  </si>
  <si>
    <t>Jonathan Mostow</t>
  </si>
  <si>
    <t>Action|Crime|Drama|Mystery|Thriller</t>
  </si>
  <si>
    <t>Kathleen Quinlan</t>
  </si>
  <si>
    <t>Breakdown </t>
  </si>
  <si>
    <t>car breakdown|diner|jeep|paranoia|violence</t>
  </si>
  <si>
    <t>Steven Brill</t>
  </si>
  <si>
    <t>Comedy|Fantasy</t>
  </si>
  <si>
    <t>Adam Sandler</t>
  </si>
  <si>
    <t>Little Nicky </t>
  </si>
  <si>
    <t>angel|devil|flask|hell|the devil</t>
  </si>
  <si>
    <t>Philip Saville</t>
  </si>
  <si>
    <t>Biography|Drama|History</t>
  </si>
  <si>
    <t>Henry Ian Cusick</t>
  </si>
  <si>
    <t>The Visual Bible: The Gospel of John </t>
  </si>
  <si>
    <t>1st century|based on the bible|miracle|religion|resurrection</t>
  </si>
  <si>
    <t>Canada</t>
  </si>
  <si>
    <t>Edward Zwick</t>
  </si>
  <si>
    <t>Glory </t>
  </si>
  <si>
    <t>army|black soldier|military uniform|prejudice|u.s. civil war</t>
  </si>
  <si>
    <t>Adventure|Drama|Sci-Fi|Thriller</t>
  </si>
  <si>
    <t>The Abyss </t>
  </si>
  <si>
    <t>alien|estranged couple|ocean|submarine|underwater</t>
  </si>
  <si>
    <t>Richard Donner</t>
  </si>
  <si>
    <t>Rene Russo</t>
  </si>
  <si>
    <t>Lethal Weapon 3 </t>
  </si>
  <si>
    <t>gangster|gun|internal affairs|police|police officer</t>
  </si>
  <si>
    <t>Steven Spielberg</t>
  </si>
  <si>
    <t>Action|Adventure</t>
  </si>
  <si>
    <t>Harrison Ford</t>
  </si>
  <si>
    <t>Indiana Jones and the Temple of Doom </t>
  </si>
  <si>
    <t>children|studio logo segues into film|temple|village|white dinner jacket</t>
  </si>
  <si>
    <t>David O. Russell</t>
  </si>
  <si>
    <t>Action|Adventure|Comedy|Drama|War</t>
  </si>
  <si>
    <t>Judy Greer</t>
  </si>
  <si>
    <t>Three Kings </t>
  </si>
  <si>
    <t>gold|gulf war|iraq|kuwait|map</t>
  </si>
  <si>
    <t>Dean Parisot</t>
  </si>
  <si>
    <t>Adventure|Comedy|Sci-Fi</t>
  </si>
  <si>
    <t>Alan Rickman</t>
  </si>
  <si>
    <t>Galaxy Quest </t>
  </si>
  <si>
    <t>alien|alien race|convention|fan|general</t>
  </si>
  <si>
    <t>John Schlesinger</t>
  </si>
  <si>
    <t>Mark Valley</t>
  </si>
  <si>
    <t>The Next Best Thing </t>
  </si>
  <si>
    <t>best friend|cartoon on tv|custody battle|gay|gay friend</t>
  </si>
  <si>
    <t>Jean-Pierre Jeunet</t>
  </si>
  <si>
    <t>Mathieu Kassovitz</t>
  </si>
  <si>
    <t>AmÃ©lie </t>
  </si>
  <si>
    <t>cheerfulness|female protagonist|garden gnome|magical realism|waitress</t>
  </si>
  <si>
    <t>French</t>
  </si>
  <si>
    <t>John A. Davis</t>
  </si>
  <si>
    <t>The Ant Bully </t>
  </si>
  <si>
    <t>ant|miniaturization|punishment|shrinking|sudden change in size</t>
  </si>
  <si>
    <t>Ric Roman Waugh</t>
  </si>
  <si>
    <t>Snitch </t>
  </si>
  <si>
    <t>cigarette smoking|dea|drugs|inspired by true events|undercover</t>
  </si>
  <si>
    <t>Yash Chopra</t>
  </si>
  <si>
    <t>Drama|Musical|Romance</t>
  </si>
  <si>
    <t>Shah Rukh Khan</t>
  </si>
  <si>
    <t>Veer-Zaara </t>
  </si>
  <si>
    <t>fair|pakistan|prison|rescue|stranded</t>
  </si>
  <si>
    <t>Hindi</t>
  </si>
  <si>
    <t>India</t>
  </si>
  <si>
    <t>Peter Weir</t>
  </si>
  <si>
    <t>Robin Williams</t>
  </si>
  <si>
    <t>Dead Poets Society </t>
  </si>
  <si>
    <t>education|english teacher|poet|professor|student</t>
  </si>
  <si>
    <t>Stephen Herek</t>
  </si>
  <si>
    <t>Rock Star </t>
  </si>
  <si>
    <t>cover band|fired from a job|heavy metal|rock star|tribute band</t>
  </si>
  <si>
    <t>Drama|War</t>
  </si>
  <si>
    <t>Jeremy Irvine</t>
  </si>
  <si>
    <t>War Horse </t>
  </si>
  <si>
    <t>barbed wire|british|cavalry|horse|world war one</t>
  </si>
  <si>
    <t>Drama|Fantasy</t>
  </si>
  <si>
    <t>Peter Coyote</t>
  </si>
  <si>
    <t>Northfork </t>
  </si>
  <si>
    <t>boy|caretaker|dam|evacuation|orphanage</t>
  </si>
  <si>
    <t>John Moore</t>
  </si>
  <si>
    <t>Action|Drama|Thriller|War</t>
  </si>
  <si>
    <t>Joaquim de Almeida</t>
  </si>
  <si>
    <t>Behind Enemy Lines </t>
  </si>
  <si>
    <t>battle|massacre|navigator|navy|rescue</t>
  </si>
  <si>
    <t>Peter Segal</t>
  </si>
  <si>
    <t>Adventure|Comedy</t>
  </si>
  <si>
    <t>Wilford Brimley</t>
  </si>
  <si>
    <t>My Fellow Americans </t>
  </si>
  <si>
    <t>gay pride|highway travel|president|road movie|u.s. president</t>
  </si>
  <si>
    <t>William Friedkin</t>
  </si>
  <si>
    <t>Jade </t>
  </si>
  <si>
    <t>blackmail|investigation|murder|panties pulled down|prostitution</t>
  </si>
  <si>
    <t>Don Michael Paul</t>
  </si>
  <si>
    <t>Claudia Christian</t>
  </si>
  <si>
    <t>Half Past Dead </t>
  </si>
  <si>
    <t>alcatraz|fbi|gold|prison|undercover</t>
  </si>
  <si>
    <t>Peter Fonda</t>
  </si>
  <si>
    <t>The Limey </t>
  </si>
  <si>
    <t>daughter|englishman|ex con|revenge|young woman</t>
  </si>
  <si>
    <t>Tom Hooper</t>
  </si>
  <si>
    <t>The King's Speech </t>
  </si>
  <si>
    <t>king|king george vi|speech|speech therapist|throne</t>
  </si>
  <si>
    <t>Christian Duguay</t>
  </si>
  <si>
    <t>Action|Adventure|Crime|Thriller</t>
  </si>
  <si>
    <t>The Art of War </t>
  </si>
  <si>
    <t>blood splatter|fbi|murder|secretary general|united nations</t>
  </si>
  <si>
    <t>Jon M. Chu</t>
  </si>
  <si>
    <t>Documentary|Music</t>
  </si>
  <si>
    <t>Usher Raymond</t>
  </si>
  <si>
    <t>Justin Bieber: Never Say Never </t>
  </si>
  <si>
    <t>boyhood friend|manager|plasma tv|prodigy|star</t>
  </si>
  <si>
    <t>Gil Kenan</t>
  </si>
  <si>
    <t>Animation|Comedy|Family|Fantasy|Mystery</t>
  </si>
  <si>
    <t>Monster House </t>
  </si>
  <si>
    <t>babysitter|halloween|house|neighbor|suburb</t>
  </si>
  <si>
    <t>Robert Rodriguez</t>
  </si>
  <si>
    <t>Horror|Mystery|Sci-Fi</t>
  </si>
  <si>
    <t>Jordana Brewster</t>
  </si>
  <si>
    <t>The Faculty </t>
  </si>
  <si>
    <t>alien|high school|ohio|photographer|water</t>
  </si>
  <si>
    <t>FranÃ§ois Girard</t>
  </si>
  <si>
    <t>Drama|Music|Mystery|Romance</t>
  </si>
  <si>
    <t>Johannes Silberschneider</t>
  </si>
  <si>
    <t>The Red Violin </t>
  </si>
  <si>
    <t>auction|montreal|secret|violin|violinist</t>
  </si>
  <si>
    <t>Nicholas Hytner</t>
  </si>
  <si>
    <t>Drama|Music|Romance</t>
  </si>
  <si>
    <t>Amanda Schull</t>
  </si>
  <si>
    <t>Center Stage </t>
  </si>
  <si>
    <t>ballet|dance|dancer|dancing|love</t>
  </si>
  <si>
    <t>Costa-Gavras</t>
  </si>
  <si>
    <t>Biography|Crime|Drama|War</t>
  </si>
  <si>
    <t>Sebastian Koch</t>
  </si>
  <si>
    <t>Amen. </t>
  </si>
  <si>
    <t>jesuit|jew|pope|priest|ss</t>
  </si>
  <si>
    <t>Lawrence Guterman</t>
  </si>
  <si>
    <t>Jamie Kennedy</t>
  </si>
  <si>
    <t>Son of the Mask </t>
  </si>
  <si>
    <t>baby|cartoon on tv|cartoonist|dog|mask</t>
  </si>
  <si>
    <t>Michael Chapman</t>
  </si>
  <si>
    <t>Adventure|Drama|Fantasy</t>
  </si>
  <si>
    <t>Curtis Armstrong</t>
  </si>
  <si>
    <t>The Clan of the Cave Bear </t>
  </si>
  <si>
    <t>cave bear|cro magnon|neanderthal|survival|tradition</t>
  </si>
  <si>
    <t>Mike Nichols</t>
  </si>
  <si>
    <t>Maura Tierney</t>
  </si>
  <si>
    <t>Primary Colors </t>
  </si>
  <si>
    <t>campaigning|candidate|election|governor|president</t>
  </si>
  <si>
    <t>Adam Shankman</t>
  </si>
  <si>
    <t>Lauren German</t>
  </si>
  <si>
    <t>A Walk to Remember </t>
  </si>
  <si>
    <t>community service|love|punishment|school|student</t>
  </si>
  <si>
    <t>Martin Scorsese</t>
  </si>
  <si>
    <t>Bringing Out the Dead </t>
  </si>
  <si>
    <t>ambulance|ghost|hell|paramedic|rescue</t>
  </si>
  <si>
    <t>Kimberly Peirce</t>
  </si>
  <si>
    <t>Joseph Gordon-Levitt</t>
  </si>
  <si>
    <t>Stop-Loss </t>
  </si>
  <si>
    <t>friendship|honor|iraq war|soldier|texas</t>
  </si>
  <si>
    <t>Mike Binder</t>
  </si>
  <si>
    <t>Reign Over Me </t>
  </si>
  <si>
    <t>college|depression|grief|mental breakdown|post september 11 2001</t>
  </si>
  <si>
    <t>JosÃ© Padilha</t>
  </si>
  <si>
    <t>Action|Crime|Sci-Fi|Thriller</t>
  </si>
  <si>
    <t>Gary Oldman</t>
  </si>
  <si>
    <t>RoboCop </t>
  </si>
  <si>
    <t>law enforcement|police|robocop|robot|technology</t>
  </si>
  <si>
    <t>Neil Burger</t>
  </si>
  <si>
    <t>Adventure|Mystery|Sci-Fi</t>
  </si>
  <si>
    <t>Kate Winslet</t>
  </si>
  <si>
    <t>Divergent </t>
  </si>
  <si>
    <t>army|brother sister relationship|dystopia|father son relationship|narrated by character</t>
  </si>
  <si>
    <t>Saving Private Ryan </t>
  </si>
  <si>
    <t>army|invasion|killed in action|normandy|soldier</t>
  </si>
  <si>
    <t>Mark Rydell</t>
  </si>
  <si>
    <t>David Keith</t>
  </si>
  <si>
    <t>The Rose </t>
  </si>
  <si>
    <t>awol|demand|driver|drugs|roses</t>
  </si>
  <si>
    <t>Adam Goldberg</t>
  </si>
  <si>
    <t>I Love Your Work </t>
  </si>
  <si>
    <t>film student|marriage|mental breakdown|movie star|obsession</t>
  </si>
  <si>
    <t>George Gallo</t>
  </si>
  <si>
    <t>Action|Comedy|Crime|Thriller</t>
  </si>
  <si>
    <t>Daniel Roebuck</t>
  </si>
  <si>
    <t>Double Take </t>
  </si>
  <si>
    <t>cia|cia agent|fbi|mexico|train</t>
  </si>
  <si>
    <t>Action|Adventure|Sci-Fi|Thriller</t>
  </si>
  <si>
    <t>G.I. Joe: Retaliation </t>
  </si>
  <si>
    <t>general|gi joe|martial arts|ninja|president</t>
  </si>
  <si>
    <t>Will Finn</t>
  </si>
  <si>
    <t>Adventure|Animation|Family|Fantasy|Musical</t>
  </si>
  <si>
    <t>Lea Michele</t>
  </si>
  <si>
    <t>Legends of Oz: Dorothy's Return </t>
  </si>
  <si>
    <t>jester|kansas|oz|princess|tornado</t>
  </si>
  <si>
    <t>Paul Walker</t>
  </si>
  <si>
    <t>Flags of Our Fathers </t>
  </si>
  <si>
    <t>imperial japan|japan|japanese army|japanese soldier|world war two</t>
  </si>
  <si>
    <t>Rod Lurie</t>
  </si>
  <si>
    <t>Clifton Collins Jr.</t>
  </si>
  <si>
    <t>The Last Castle </t>
  </si>
  <si>
    <t>colonel|general|military|prison|three star general</t>
  </si>
  <si>
    <t>Andrea Di Stefano</t>
  </si>
  <si>
    <t>Crime|Drama|Romance|Thriller</t>
  </si>
  <si>
    <t>Josh Hutcherson</t>
  </si>
  <si>
    <t>Escobar: Paradise Lost </t>
  </si>
  <si>
    <t>colombia|dream|love|surfer|village</t>
  </si>
  <si>
    <t>Patrick Hughes</t>
  </si>
  <si>
    <t>Jason Statham</t>
  </si>
  <si>
    <t>The Expendables 3 </t>
  </si>
  <si>
    <t>battle|fight|mission|pg 13 sequel to r rated franchise|rescue</t>
  </si>
  <si>
    <t>Frank LaLoggia</t>
  </si>
  <si>
    <t>Fantasy|Horror|Mystery|Thriller</t>
  </si>
  <si>
    <t>Alex Rocco</t>
  </si>
  <si>
    <t>Lady in White </t>
  </si>
  <si>
    <t>1960s|boy|ghost|murder|small town</t>
  </si>
  <si>
    <t>Jon Amiel</t>
  </si>
  <si>
    <t>Action|Crime|Romance|Thriller</t>
  </si>
  <si>
    <t>Will Patton</t>
  </si>
  <si>
    <t>Entrapment </t>
  </si>
  <si>
    <t>art thief|insurance|mask|master thief|reference to iron maiden</t>
  </si>
  <si>
    <t>Gabriele Muccino</t>
  </si>
  <si>
    <t>Comedy|Romance|Sport</t>
  </si>
  <si>
    <t>Gerard Butler</t>
  </si>
  <si>
    <t>Playing for Keeps </t>
  </si>
  <si>
    <t>coach|soccer|soccer coach|soccer mom|soccer team</t>
  </si>
  <si>
    <t>Nadine Labaki</t>
  </si>
  <si>
    <t>Yasmine Al Massri</t>
  </si>
  <si>
    <t>Caramel </t>
  </si>
  <si>
    <t>caramel|friendship|police|secret|suitor</t>
  </si>
  <si>
    <t>Arabic</t>
  </si>
  <si>
    <t>John Glen</t>
  </si>
  <si>
    <t>Robert Davi</t>
  </si>
  <si>
    <t>Licence to Kill </t>
  </si>
  <si>
    <t>drug cartel|drug lord|james bond 007|personal vendetta|vengeance</t>
  </si>
  <si>
    <t>Robert Stromberg</t>
  </si>
  <si>
    <t>Action|Adventure|Family|Fantasy|Romance</t>
  </si>
  <si>
    <t>Angelina Jolie Pitt</t>
  </si>
  <si>
    <t>Maleficent </t>
  </si>
  <si>
    <t>curse|dark fantasy|fairy|king|kingdom</t>
  </si>
  <si>
    <t>Lana Wachowski</t>
  </si>
  <si>
    <t>Action|Sci-Fi</t>
  </si>
  <si>
    <t>Steve Bastoni</t>
  </si>
  <si>
    <t>The Matrix Reloaded </t>
  </si>
  <si>
    <t>car motorcycle chase|one against many|oracle|prophecy|stylized violence</t>
  </si>
  <si>
    <t>Robert Cary</t>
  </si>
  <si>
    <t>Frances Conroy</t>
  </si>
  <si>
    <t>Ira &amp; Abby </t>
  </si>
  <si>
    <t>erectile dysfunction|mugger|mugging|subway robbery|therapy</t>
  </si>
  <si>
    <t>Sean Anders</t>
  </si>
  <si>
    <t>Comedy|Family</t>
  </si>
  <si>
    <t>Daddy's Home </t>
  </si>
  <si>
    <t>biological father|dad|drinking|product placement|wilhelm scream</t>
  </si>
  <si>
    <t>Michael Bay</t>
  </si>
  <si>
    <t>Action|Drama|History|Romance|War</t>
  </si>
  <si>
    <t>Jennifer Garner</t>
  </si>
  <si>
    <t>Pearl Harbor </t>
  </si>
  <si>
    <t>air raid|black smoke|japanese military|japanese navy|sunday</t>
  </si>
  <si>
    <t>Adventure|Animation|Family|Fantasy</t>
  </si>
  <si>
    <t>The Polar Express </t>
  </si>
  <si>
    <t>boy|christmas|christmas eve|north pole|train</t>
  </si>
  <si>
    <t>John Woo</t>
  </si>
  <si>
    <t>Delroy Lindo</t>
  </si>
  <si>
    <t>Broken Arrow </t>
  </si>
  <si>
    <t>captain|desert|major|park ranger|utah</t>
  </si>
  <si>
    <t>Michael Haneke</t>
  </si>
  <si>
    <t>Crime|Drama|Horror|Thriller</t>
  </si>
  <si>
    <t>Naomi Watts</t>
  </si>
  <si>
    <t>Funny Games </t>
  </si>
  <si>
    <t>breaking the fourth wall|looking at the camera|remake|serial killer|violence</t>
  </si>
  <si>
    <t>David Ayer</t>
  </si>
  <si>
    <t>J.K. Simmons</t>
  </si>
  <si>
    <t>Harsh Times </t>
  </si>
  <si>
    <t>blood splatter|friend|lapd|mexican|violence</t>
  </si>
  <si>
    <t>Terry Gilliam</t>
  </si>
  <si>
    <t>Drama|Sci-Fi</t>
  </si>
  <si>
    <t>Robert De Niro</t>
  </si>
  <si>
    <t>Brazil </t>
  </si>
  <si>
    <t>black comedy|bureaucracy|dream|terrorist|wrongful arrest</t>
  </si>
  <si>
    <t>Michael Hoffman</t>
  </si>
  <si>
    <t>Biography|Drama|Romance</t>
  </si>
  <si>
    <t>David Masterson</t>
  </si>
  <si>
    <t>The Last Station </t>
  </si>
  <si>
    <t>countess|leo tolstoy|russian|wealth|writing</t>
  </si>
  <si>
    <t>Randal Kleiser</t>
  </si>
  <si>
    <t>Adventure|Drama</t>
  </si>
  <si>
    <t>Seymour Cassel</t>
  </si>
  <si>
    <t>White Fang </t>
  </si>
  <si>
    <t>alaska|dog|friendship|gold|yukon</t>
  </si>
  <si>
    <t>Kevin Smith</t>
  </si>
  <si>
    <t>Stephen Root</t>
  </si>
  <si>
    <t>Jersey Girl </t>
  </si>
  <si>
    <t>baby|childbirth|death|karma|publicist</t>
  </si>
  <si>
    <t>Nick Gomez</t>
  </si>
  <si>
    <t>Comedy|Crime|Mystery</t>
  </si>
  <si>
    <t>Drowning Mona </t>
  </si>
  <si>
    <t>crying woman|plot|suspect|waitress|younger man older woman relationship</t>
  </si>
  <si>
    <t>James McTeigue</t>
  </si>
  <si>
    <t>ShÃ´ Kosugi</t>
  </si>
  <si>
    <t>Ninja Assassin </t>
  </si>
  <si>
    <t>critically bashed|kung fu|martial artist|martial arts|ninja</t>
  </si>
  <si>
    <t>Michel Hazanavicius</t>
  </si>
  <si>
    <t>BÃ©rÃ©nice Bejo</t>
  </si>
  <si>
    <t>The Artist </t>
  </si>
  <si>
    <t>1920s|jack russell terrier|modern silent movie|movie star|movie studio</t>
  </si>
  <si>
    <t>Wallace Wolodarsky</t>
  </si>
  <si>
    <t>Heather Matarazzo</t>
  </si>
  <si>
    <t>Sorority Boys </t>
  </si>
  <si>
    <t>college|cruise|drag|female armpit hair|sorority</t>
  </si>
  <si>
    <t>Action|Comedy|Drama|Family|Thriller</t>
  </si>
  <si>
    <t>Vin Diesel</t>
  </si>
  <si>
    <t>The Pacifier </t>
  </si>
  <si>
    <t>bodyguard|death of husband|male nanny|nanny|wrestling match</t>
  </si>
  <si>
    <t>Sylvain White</t>
  </si>
  <si>
    <t>Chris Brown</t>
  </si>
  <si>
    <t>Stomp the Yard </t>
  </si>
  <si>
    <t>atlanta georgia|competition|dancer|death|fraternity</t>
  </si>
  <si>
    <t>Wolfgang Petersen</t>
  </si>
  <si>
    <t>Action|Adventure|Drama|Thriller</t>
  </si>
  <si>
    <t>Poseidon </t>
  </si>
  <si>
    <t>cruise|escape|ocean|passenger|water</t>
  </si>
  <si>
    <t>Rob Marshall</t>
  </si>
  <si>
    <t>Fergie</t>
  </si>
  <si>
    <t>Nine </t>
  </si>
  <si>
    <t>based on stage musical based on film|child abuse|film director|italian|mistress</t>
  </si>
  <si>
    <t>Sofia Coppola</t>
  </si>
  <si>
    <t>Lost in Translation </t>
  </si>
  <si>
    <t>fish out of water|japanese|loneliness|older man younger woman relationship|unlikely friendship</t>
  </si>
  <si>
    <t>Betty Thomas</t>
  </si>
  <si>
    <t>Doctor Dolittle </t>
  </si>
  <si>
    <t>box office hit|doctor|dog|first part|tiger</t>
  </si>
  <si>
    <t>Jaume Collet-Serra</t>
  </si>
  <si>
    <t>Run All Night </t>
  </si>
  <si>
    <t>death|drug dealer|limousine|limousine driver|one night</t>
  </si>
  <si>
    <t>Forest Whitaker</t>
  </si>
  <si>
    <t>Bill Cobbs</t>
  </si>
  <si>
    <t>Hope Floats </t>
  </si>
  <si>
    <t>best friend|friend|mother daughter relationship|small town|texas</t>
  </si>
  <si>
    <t>Adventure|Comedy|Crime</t>
  </si>
  <si>
    <t>Jere Burns</t>
  </si>
  <si>
    <t>Crocodile Dundee in Los Angeles </t>
  </si>
  <si>
    <t>boat|crocodile|garbage can|knife|paramount pictures</t>
  </si>
  <si>
    <t>Don Bluth</t>
  </si>
  <si>
    <t>Adventure|Animation|Drama|Family|Fantasy|Musical|Mystery|Romance</t>
  </si>
  <si>
    <t>Kirsten Dunst</t>
  </si>
  <si>
    <t>Anastasia </t>
  </si>
  <si>
    <t>amnesia|reference to anastasia romanov|romanov|russia|russian revolution</t>
  </si>
  <si>
    <t>Adam Marcus</t>
  </si>
  <si>
    <t>Fantasy|Horror|Thriller</t>
  </si>
  <si>
    <t>Kane Hodder</t>
  </si>
  <si>
    <t>Jason Goes to Hell: The Final Friday </t>
  </si>
  <si>
    <t>brutality|evil|jason voorhees|paranormal phenomena|terror</t>
  </si>
  <si>
    <t>Oliver Stone</t>
  </si>
  <si>
    <t>Drama|History|Thriller</t>
  </si>
  <si>
    <t>World Trade Center </t>
  </si>
  <si>
    <t>based on true story|police|rescue|rubble|trapped</t>
  </si>
  <si>
    <t>Glenn Ficarra</t>
  </si>
  <si>
    <t>Crazy, Stupid, Love. </t>
  </si>
  <si>
    <t>bar|divorce|friend|girl|male objectification</t>
  </si>
  <si>
    <t>Stonewall </t>
  </si>
  <si>
    <t>box office flop|critically bashed|gay rights|new york city|stonewall riots</t>
  </si>
  <si>
    <t>Action|Comedy</t>
  </si>
  <si>
    <t>Christina Milian</t>
  </si>
  <si>
    <t>Man of the House </t>
  </si>
  <si>
    <t>cheerleader|cheerleading movie|neo noir|neo western|texas ranger</t>
  </si>
  <si>
    <t>Shawn Levy</t>
  </si>
  <si>
    <t>Action|Drama|Sci-Fi|Sport</t>
  </si>
  <si>
    <t>Hugh Jackman</t>
  </si>
  <si>
    <t>Real Steel </t>
  </si>
  <si>
    <t>arena|boxing|boxing movie|robot|robot battle</t>
  </si>
  <si>
    <t>Jon Gunn</t>
  </si>
  <si>
    <t>Action|Crime|Drama</t>
  </si>
  <si>
    <t>Stacy Keach</t>
  </si>
  <si>
    <t>Mercy Streets </t>
  </si>
  <si>
    <t>church|cigarette smoking|deacon|twin brother|twins</t>
  </si>
  <si>
    <t>Joel Gallen</t>
  </si>
  <si>
    <t>Chris Evans</t>
  </si>
  <si>
    <t>Not Another Teen Movie </t>
  </si>
  <si>
    <t>cheerleader|foreign exchange student|incestuous desire|incestuous kiss|prom</t>
  </si>
  <si>
    <t>Simon West</t>
  </si>
  <si>
    <t>Daniel von Bargen</t>
  </si>
  <si>
    <t>The General's Daughter </t>
  </si>
  <si>
    <t>army cid|cover up|military|murder|woman in military</t>
  </si>
  <si>
    <t>Malcolm D. Lee</t>
  </si>
  <si>
    <t>Dave Chappelle</t>
  </si>
  <si>
    <t>Undercover Brother </t>
  </si>
  <si>
    <t>african american|cadillac|disguise|secret agent|undercover</t>
  </si>
  <si>
    <t>Sol Tryon</t>
  </si>
  <si>
    <t>Jim Gaffigan</t>
  </si>
  <si>
    <t>The Living Wake </t>
  </si>
  <si>
    <t>artist|black comedy</t>
  </si>
  <si>
    <t>Peter Jackson</t>
  </si>
  <si>
    <t>Action|Adventure|Drama|Romance</t>
  </si>
  <si>
    <t>King Kong </t>
  </si>
  <si>
    <t>animal name in title|ape abducts a woman|gorilla|island|king kong</t>
  </si>
  <si>
    <t>New Zealand</t>
  </si>
  <si>
    <t>Morgan Spurlock</t>
  </si>
  <si>
    <t>Comedy|Documentary|Drama</t>
  </si>
  <si>
    <t>Chemeeka Walker</t>
  </si>
  <si>
    <t>Super Size Me </t>
  </si>
  <si>
    <t>experiment|fast food|food industry|meal|overeating</t>
  </si>
  <si>
    <t>George Jackson</t>
  </si>
  <si>
    <t>Comedy|Drama|Music|Romance</t>
  </si>
  <si>
    <t>William Schallert</t>
  </si>
  <si>
    <t>House Party 2 </t>
  </si>
  <si>
    <t>college|misogyny|money|new friend|party</t>
  </si>
  <si>
    <t>Mia Kirshner</t>
  </si>
  <si>
    <t>Mad City </t>
  </si>
  <si>
    <t>hostage|museum|natural history museum|news reporter|reporter</t>
  </si>
  <si>
    <t>John Erick Dowdle</t>
  </si>
  <si>
    <t>Horror|Sci-Fi|Thriller</t>
  </si>
  <si>
    <t>Andrew Fiscella</t>
  </si>
  <si>
    <t>Quarantine </t>
  </si>
  <si>
    <t>apartment building|found footage|television|trapped|virus</t>
  </si>
  <si>
    <t>David Yates</t>
  </si>
  <si>
    <t>Adventure|Family|Fantasy|Mystery</t>
  </si>
  <si>
    <t>Harry Potter and the Half-Blood Prince </t>
  </si>
  <si>
    <t>blood|book|love|potion|professor</t>
  </si>
  <si>
    <t>Drama|Mystery|Romance|Thriller</t>
  </si>
  <si>
    <t>Bryce Dallas Howard</t>
  </si>
  <si>
    <t>The Village </t>
  </si>
  <si>
    <t>creature|pact|plot twist|village|woods</t>
  </si>
  <si>
    <t>Action|Adventure|Drama|Fantasy</t>
  </si>
  <si>
    <t>Christopher Lee</t>
  </si>
  <si>
    <t>The Lord of the Rings: The Two Towers </t>
  </si>
  <si>
    <t>epic|evil wizard|middle earth|ring|wizard</t>
  </si>
  <si>
    <t>Action|Fantasy|Horror|Thriller</t>
  </si>
  <si>
    <t>Julian Sands</t>
  </si>
  <si>
    <t>Warlock </t>
  </si>
  <si>
    <t>17th century|book|death|warlock|witch hunter</t>
  </si>
  <si>
    <t>Marco Kreuzpaintner</t>
  </si>
  <si>
    <t>Comedy|Drama|Romance|Sport</t>
  </si>
  <si>
    <t>Alicja Bachleda</t>
  </si>
  <si>
    <t>Summer Storm </t>
  </si>
  <si>
    <t>friend|friendship|rowing|storm|summer camp</t>
  </si>
  <si>
    <t>German</t>
  </si>
  <si>
    <t>Drama|Mystery|Romance|War</t>
  </si>
  <si>
    <t>Denis Lavant</t>
  </si>
  <si>
    <t>A Very Long Engagement </t>
  </si>
  <si>
    <t>court martial|death|girl|no man's land|soldier</t>
  </si>
  <si>
    <t>Tyler Perry</t>
  </si>
  <si>
    <t>Eric Mendenhall</t>
  </si>
  <si>
    <t>I Can Do Bad All by Myself </t>
  </si>
  <si>
    <t>aunt|immigrant|looting|love|nightclub singer</t>
  </si>
  <si>
    <t>Anna Boden</t>
  </si>
  <si>
    <t>ZoÃ« Kravitz</t>
  </si>
  <si>
    <t>It's Kind of a Funny Story </t>
  </si>
  <si>
    <t>based on novel|depression|psychiatric ward|suicide attempt|therapy</t>
  </si>
  <si>
    <t>Jez Butterworth</t>
  </si>
  <si>
    <t>Mark Gatiss</t>
  </si>
  <si>
    <t>Birthday Girl </t>
  </si>
  <si>
    <t>bank|bank clerk|birthday|mail order bride|russian</t>
  </si>
  <si>
    <t>Alex Zamm</t>
  </si>
  <si>
    <t>Taylor Negron</t>
  </si>
  <si>
    <t>Chairman of the Board </t>
  </si>
  <si>
    <t>box office flop|company|invention|roommate|surfer</t>
  </si>
  <si>
    <t>Jeff Tremaine</t>
  </si>
  <si>
    <t>Jackson Nicoll</t>
  </si>
  <si>
    <t>Bad Grandpa </t>
  </si>
  <si>
    <t>child beauty pageant|grandson|hidden camera|jackass|road trip</t>
  </si>
  <si>
    <t>Ramaa Mosley</t>
  </si>
  <si>
    <t>Comedy|Fantasy|Thriller</t>
  </si>
  <si>
    <t>Jack McBrayer</t>
  </si>
  <si>
    <t>The Brass Teapot </t>
  </si>
  <si>
    <t>mini dress|mini skirt|money|voyeur|voyeurism</t>
  </si>
  <si>
    <t>David Raynr</t>
  </si>
  <si>
    <t>Whatever It Takes </t>
  </si>
  <si>
    <t>male objectification|manipulative behavior|modern day adaptation|narcissistic woman|promiscuous woman</t>
  </si>
  <si>
    <t>Irwin Winkler</t>
  </si>
  <si>
    <t>Mira Sorvino</t>
  </si>
  <si>
    <t>At First Sight </t>
  </si>
  <si>
    <t>based on article|blindness|box office flop|massage therapist|regaining sight</t>
  </si>
  <si>
    <t>Peter Sollett</t>
  </si>
  <si>
    <t>Steve Carell</t>
  </si>
  <si>
    <t>Freeheld </t>
  </si>
  <si>
    <t>cancer|gay bar|lesbian kiss|partner|public hearing</t>
  </si>
  <si>
    <t>Alex Gibney</t>
  </si>
  <si>
    <t>Crime|Documentary|War</t>
  </si>
  <si>
    <t>Taxi to the Dark Side </t>
  </si>
  <si>
    <t>afghanistan|detainee|guantanamo bay|taxi|torture</t>
  </si>
  <si>
    <t>Jim Sheridan</t>
  </si>
  <si>
    <t>Natalie Portman</t>
  </si>
  <si>
    <t>Brothers </t>
  </si>
  <si>
    <t>afghanistan|death of soldier|presumed dead|prisoner|war trauma</t>
  </si>
  <si>
    <t>Brian Levant</t>
  </si>
  <si>
    <t>Comedy|Family|Romance|Sci-Fi</t>
  </si>
  <si>
    <t>The Flintstones in Viva Rock Vegas </t>
  </si>
  <si>
    <t>based on tv series|love|prequel|the flintstones|title appears in song</t>
  </si>
  <si>
    <t>Renny Harlin</t>
  </si>
  <si>
    <t>Action|Thriller</t>
  </si>
  <si>
    <t>Die Hard 2 </t>
  </si>
  <si>
    <t>airport|fuel|plane|police|terrorist</t>
  </si>
  <si>
    <t>Comedy|Fantasy|Horror</t>
  </si>
  <si>
    <t>Phoebe Cates</t>
  </si>
  <si>
    <t>Gremlins </t>
  </si>
  <si>
    <t>bright light|midnight|pet|small town|water</t>
  </si>
  <si>
    <t>Lance Hool</t>
  </si>
  <si>
    <t>Action|Drama|History|Romance|War|Western</t>
  </si>
  <si>
    <t>Tom Berenger</t>
  </si>
  <si>
    <t>One Man's Hero </t>
  </si>
  <si>
    <t>american|battalion|catholic|mexican|sergeant</t>
  </si>
  <si>
    <t>Spain</t>
  </si>
  <si>
    <t>The Counselor </t>
  </si>
  <si>
    <t>cunnilingus|drug trafficking|lawyer|no panties|shootout</t>
  </si>
  <si>
    <t>Jan de Bont</t>
  </si>
  <si>
    <t>Jason Patric</t>
  </si>
  <si>
    <t>Speed 2: Cruise Control </t>
  </si>
  <si>
    <t>collision course|computer|cruise|diamonds|ship run aground</t>
  </si>
  <si>
    <t>Christopher McQuarrie</t>
  </si>
  <si>
    <t>Mission: Impossible - Rogue Nation </t>
  </si>
  <si>
    <t>capture|computer hacker|mission|rogue agent|spy</t>
  </si>
  <si>
    <t>Independence Day: Resurgence </t>
  </si>
  <si>
    <t>alien|battle|defense|independence day|mothership</t>
  </si>
  <si>
    <t>Brad Silberling</t>
  </si>
  <si>
    <t>Land of the Lost </t>
  </si>
  <si>
    <t>human versus dinosaur|lizard|primate|time travel|tyrannosaurus rex</t>
  </si>
  <si>
    <t>Ron Howard</t>
  </si>
  <si>
    <t>Biography|Drama|Sport</t>
  </si>
  <si>
    <t>Paddy Considine</t>
  </si>
  <si>
    <t>Cinderella Man </t>
  </si>
  <si>
    <t>boxer|boxing|dream|great depression|love</t>
  </si>
  <si>
    <t>Chris Stokes</t>
  </si>
  <si>
    <t>Jennifer Freeman</t>
  </si>
  <si>
    <t>You Got Served </t>
  </si>
  <si>
    <t>competition|dance contest|friend|money|street dancing</t>
  </si>
  <si>
    <t>Martin Weisz</t>
  </si>
  <si>
    <t>Jeff Kober</t>
  </si>
  <si>
    <t>The Hills Have Eyes II </t>
  </si>
  <si>
    <t>desert|fight|hill|murder|mutant</t>
  </si>
  <si>
    <t>Adventure|Animation|Comedy|Crime|Family</t>
  </si>
  <si>
    <t>Fantastic Mr. Fox </t>
  </si>
  <si>
    <t>cider|farm|farmer|fox|tale</t>
  </si>
  <si>
    <t>Todd Haynes</t>
  </si>
  <si>
    <t>Far from Heaven </t>
  </si>
  <si>
    <t>african american|catastrophe|family relationships|farewell scene|therapy</t>
  </si>
  <si>
    <t>David Twohy</t>
  </si>
  <si>
    <t>The Chronicles of Riddick </t>
  </si>
  <si>
    <t>bounty hunter|escape|necromonger|planet|warrior</t>
  </si>
  <si>
    <t>Michael Martin</t>
  </si>
  <si>
    <t>Joe Estevez</t>
  </si>
  <si>
    <t>I Got the Hook Up </t>
  </si>
  <si>
    <t>friend|obscenity|scam|vacant lot|van</t>
  </si>
  <si>
    <t>Comedy|Crime|Sport</t>
  </si>
  <si>
    <t>The Longest Yard </t>
  </si>
  <si>
    <t>coach|convict|football|prison|warden</t>
  </si>
  <si>
    <t>Scott Stewart</t>
  </si>
  <si>
    <t>Legion </t>
  </si>
  <si>
    <t>angel|diner|faith|human race|religious faith</t>
  </si>
  <si>
    <t>Action|Mystery|Thriller</t>
  </si>
  <si>
    <t>Heath Ledger</t>
  </si>
  <si>
    <t>The Order </t>
  </si>
  <si>
    <t>death|exorcism|heaven|priest|sin eater</t>
  </si>
  <si>
    <t>Ken Scott</t>
  </si>
  <si>
    <t>Jack Reynor</t>
  </si>
  <si>
    <t>Delivery Man </t>
  </si>
  <si>
    <t>children|identity|lawsuit|lawyer|sperm donor</t>
  </si>
  <si>
    <t>Tony Bancroft</t>
  </si>
  <si>
    <t>Adventure|Animation|Family|Fantasy|Musical|War</t>
  </si>
  <si>
    <t>Ming-Na Wen</t>
  </si>
  <si>
    <t>Mulan </t>
  </si>
  <si>
    <t>based on poem|based on true story|china|one word title|the huns</t>
  </si>
  <si>
    <t>Peter Hewitt</t>
  </si>
  <si>
    <t>Adventure|Comedy|Fantasy|Music|Sci-Fi</t>
  </si>
  <si>
    <t>Keanu Reeves</t>
  </si>
  <si>
    <t>Bill &amp; Ted's Bogus Journey </t>
  </si>
  <si>
    <t>battle of the bands|bill and ted|heaven|hell|robot</t>
  </si>
  <si>
    <t>Drama|Fantasy|Thriller</t>
  </si>
  <si>
    <t>Michael Imperioli</t>
  </si>
  <si>
    <t>The Lovely Bones </t>
  </si>
  <si>
    <t>1970s|afterlife|heaven|pedophile|rape</t>
  </si>
  <si>
    <t>Action|Crime|Mystery|Thriller</t>
  </si>
  <si>
    <t>Jack Reacher </t>
  </si>
  <si>
    <t>coma|mysterious villain|police chase|shooting range|sniper</t>
  </si>
  <si>
    <t>Christopher Erskin</t>
  </si>
  <si>
    <t>Vanessa Williams</t>
  </si>
  <si>
    <t>Johnson Family Vacation </t>
  </si>
  <si>
    <t>cross country|cross country trip|highway travel|on the road|road movie</t>
  </si>
  <si>
    <t>Etan Cohen</t>
  </si>
  <si>
    <t>Get Hard </t>
  </si>
  <si>
    <t>camera focus on female butt|gay bar|millionaire|singing in a car|two word title</t>
  </si>
  <si>
    <t>Ang Lee</t>
  </si>
  <si>
    <t>Sense and Sensibility </t>
  </si>
  <si>
    <t>1810s|female protagonist|horseback riding|inheritance|three word title</t>
  </si>
  <si>
    <t>Norman Ferguson</t>
  </si>
  <si>
    <t>Animation|Family|Fantasy|Musical</t>
  </si>
  <si>
    <t>Mel Blanc</t>
  </si>
  <si>
    <t>Pinocchio </t>
  </si>
  <si>
    <t>boy|conscience|fairy|jiminy cricket|pinocchio</t>
  </si>
  <si>
    <t>Jonathan Dayton</t>
  </si>
  <si>
    <t>Little Miss Sunshine </t>
  </si>
  <si>
    <t>gay|graduate student|sister sister relationship|sprite|uncle nephew relationship</t>
  </si>
  <si>
    <t>Tim Johnson</t>
  </si>
  <si>
    <t>Jim Parsons</t>
  </si>
  <si>
    <t>Home </t>
  </si>
  <si>
    <t>alien friendship|alien invasion|australia|flying car|mother daughter relationship</t>
  </si>
  <si>
    <t>Peter Farrelly</t>
  </si>
  <si>
    <t>Lauren Holly</t>
  </si>
  <si>
    <t>Dumb &amp; Dumber </t>
  </si>
  <si>
    <t>briefcase full of money|character repeating someone else's dialogue|character says i love you|friendship|reference to cinderella</t>
  </si>
  <si>
    <t>Breck Eisner</t>
  </si>
  <si>
    <t>Action|Adventure|Comedy|Thriller</t>
  </si>
  <si>
    <t>Sahara </t>
  </si>
  <si>
    <t>beach|civil war|desert|dictator|ship</t>
  </si>
  <si>
    <t>Josh Schwartz</t>
  </si>
  <si>
    <t>Thomas McDonell</t>
  </si>
  <si>
    <t>Fun Size </t>
  </si>
  <si>
    <t>adult humor|best friend|friend|halloween|teenage girl</t>
  </si>
  <si>
    <t>Peter Atencio</t>
  </si>
  <si>
    <t>Nia Long</t>
  </si>
  <si>
    <t>Keanu </t>
  </si>
  <si>
    <t>car chase|gangsta|gun fight|hitman|kitten</t>
  </si>
  <si>
    <t>Death Becomes Her </t>
  </si>
  <si>
    <t>plastic surgeon|rejuvenation|revenge|rival|rivalry</t>
  </si>
  <si>
    <t>James Foley</t>
  </si>
  <si>
    <t>Louis Lombardi</t>
  </si>
  <si>
    <t>Confidence </t>
  </si>
  <si>
    <t>con|grifter|lap dance|organized crime|shot in the forehead</t>
  </si>
  <si>
    <t>Norman Jewison</t>
  </si>
  <si>
    <t>Haley Joel Osment</t>
  </si>
  <si>
    <t>Bogus </t>
  </si>
  <si>
    <t>box office flop|circus|imaginary friend|magician|one word title</t>
  </si>
  <si>
    <t>The Sixth Sense </t>
  </si>
  <si>
    <t>able to see the dead|ghost|plot twist|psychic|surprise ending</t>
  </si>
  <si>
    <t>Rand Ravich</t>
  </si>
  <si>
    <t>Drama|Sci-Fi|Thriller</t>
  </si>
  <si>
    <t>The Astronaut's Wife </t>
  </si>
  <si>
    <t>astronaut|electrocuted in bathtub|mission|pilot|sister</t>
  </si>
  <si>
    <t>Tom Holland</t>
  </si>
  <si>
    <t>Fantasy|Horror</t>
  </si>
  <si>
    <t>Catherine Hicks</t>
  </si>
  <si>
    <t>Child's Play </t>
  </si>
  <si>
    <t>birthday|doll|murder|serial killer|voodoo</t>
  </si>
  <si>
    <t>F. Murray Abraham</t>
  </si>
  <si>
    <t>Finding Forrester </t>
  </si>
  <si>
    <t>basketball|mentor|new york|school|writing</t>
  </si>
  <si>
    <t>Charles Herman-Wurmfeld</t>
  </si>
  <si>
    <t>John Enos III</t>
  </si>
  <si>
    <t>The Hammer </t>
  </si>
  <si>
    <t>birthday|boxing|coach|gym|olympics</t>
  </si>
  <si>
    <t>Batman &amp; Robin </t>
  </si>
  <si>
    <t>butler|critically bashed|cure|freeze|gotham</t>
  </si>
  <si>
    <t>Paul Weitz</t>
  </si>
  <si>
    <t>In Good Company </t>
  </si>
  <si>
    <t>company|corporate takeover|executive|magazine|new boss</t>
  </si>
  <si>
    <t>Chris Weitz</t>
  </si>
  <si>
    <t>Adventure|Family|Fantasy</t>
  </si>
  <si>
    <t>The Golden Compass </t>
  </si>
  <si>
    <t>children|epic|friend|girl|quest</t>
  </si>
  <si>
    <t>Rich Cowan</t>
  </si>
  <si>
    <t>The Basket </t>
  </si>
  <si>
    <t>basketball|german immigrant|opera|two word title|war orphan</t>
  </si>
  <si>
    <t>Craig R. Baxley</t>
  </si>
  <si>
    <t>Action Jackson </t>
  </si>
  <si>
    <t>murder|power|psychotronic|tough cop|union</t>
  </si>
  <si>
    <t>Dan Rush</t>
  </si>
  <si>
    <t>Everything Must Go </t>
  </si>
  <si>
    <t>alcoholic|beer|bicycle|new neighbor|yard sale</t>
  </si>
  <si>
    <t>Russell Mulcahy</t>
  </si>
  <si>
    <t>Action|Adventure|Crime|Fantasy|Mystery|Thriller</t>
  </si>
  <si>
    <t>Jonathan Winters</t>
  </si>
  <si>
    <t>The Shadow </t>
  </si>
  <si>
    <t>1930s|bomb|city|invisibility|the shadow</t>
  </si>
  <si>
    <t>Daniel Algrant</t>
  </si>
  <si>
    <t>Crime|Drama|Mystery</t>
  </si>
  <si>
    <t>People I Know </t>
  </si>
  <si>
    <t>actor|client|new york|protection|scandal</t>
  </si>
  <si>
    <t>Cody Cameron</t>
  </si>
  <si>
    <t>Animation|Comedy|Family|Fantasy|Sci-Fi</t>
  </si>
  <si>
    <t>Will Forte</t>
  </si>
  <si>
    <t>Cloudy with a Chance of Meatballs 2 </t>
  </si>
  <si>
    <t>food|inventor|island|orangutan|scientist</t>
  </si>
  <si>
    <t>Guy Hamilton</t>
  </si>
  <si>
    <t>Desmond Llewelyn</t>
  </si>
  <si>
    <t>Diamonds Are Forever </t>
  </si>
  <si>
    <t>cat|diamond|ford mustang|james bond 007|yanked off bikini top</t>
  </si>
  <si>
    <t>George Lucas</t>
  </si>
  <si>
    <t>Action|Adventure|Fantasy|Sci-Fi</t>
  </si>
  <si>
    <t>Star Wars: Episode IV - A New Hope </t>
  </si>
  <si>
    <t>death star|empire|galactic war|princess|rebellion</t>
  </si>
  <si>
    <t>Tristram Shandy: A Cock and Bull Story </t>
  </si>
  <si>
    <t>actor playing himself|battle|boots|penis|womb</t>
  </si>
  <si>
    <t>Sam Shepard</t>
  </si>
  <si>
    <t>Stealth </t>
  </si>
  <si>
    <t>artificial intelligence|box office flop|fighter jet|navy|pilot</t>
  </si>
  <si>
    <t>John Whitesell</t>
  </si>
  <si>
    <t>Brandon T. Jackson</t>
  </si>
  <si>
    <t>Big Mommas: Like Father, Like Son </t>
  </si>
  <si>
    <t>fbi agent|murder|performing arts school|scene during end credits|undercover</t>
  </si>
  <si>
    <t>Absolute Power </t>
  </si>
  <si>
    <t>death|death of wife|murder|thief|violence</t>
  </si>
  <si>
    <t>Susanne Bier</t>
  </si>
  <si>
    <t>Alison Lohman</t>
  </si>
  <si>
    <t>Things We Lost in the Fire </t>
  </si>
  <si>
    <t>best friend|dinner|garage|narcotics anonymous|recovery</t>
  </si>
  <si>
    <t>Julie Anne Robinson</t>
  </si>
  <si>
    <t>Action|Comedy|Crime|Romance|Thriller</t>
  </si>
  <si>
    <t>Fisher Stevens</t>
  </si>
  <si>
    <t>One for the Money </t>
  </si>
  <si>
    <t>bail bond|bounty hunter|jeans|shot in the butt|title directed by female</t>
  </si>
  <si>
    <t>Mabrouk El Mechri</t>
  </si>
  <si>
    <t>Henry Cavill</t>
  </si>
  <si>
    <t>The Cold Light of Day </t>
  </si>
  <si>
    <t>driving a car down stairs|duct tape gag|held captive|murder of a police officer|sailing</t>
  </si>
  <si>
    <t>Bille Woodruff</t>
  </si>
  <si>
    <t>Christian Monzon</t>
  </si>
  <si>
    <t>Honey </t>
  </si>
  <si>
    <t>choreographer|dance|dancer|dancing|hip hop</t>
  </si>
  <si>
    <t>Bryan Singer</t>
  </si>
  <si>
    <t>The Usual Suspects </t>
  </si>
  <si>
    <t>criminal|dirty cop|flashback|limping|suspect</t>
  </si>
  <si>
    <t>Adventure|Sci-Fi|Thriller</t>
  </si>
  <si>
    <t>War of the Worlds </t>
  </si>
  <si>
    <t>alien|fight|storm|survival|tripod</t>
  </si>
  <si>
    <t>Tobe Hooper</t>
  </si>
  <si>
    <t>Horror|Sci-Fi</t>
  </si>
  <si>
    <t>Louise Fletcher</t>
  </si>
  <si>
    <t>Invaders from Mars </t>
  </si>
  <si>
    <t>alien|boy|nurse|school|school nurse</t>
  </si>
  <si>
    <t>Tomas Alfredson</t>
  </si>
  <si>
    <t>Tinker Tailor Soldier Spy </t>
  </si>
  <si>
    <t>cold war|hungary|mole|spy|woman on top</t>
  </si>
  <si>
    <t>Daisy von Scherler Mayer</t>
  </si>
  <si>
    <t>LL Cool J</t>
  </si>
  <si>
    <t>Woo </t>
  </si>
  <si>
    <t>blind date|law clerk|love|manhattan new york city|world trade center manhattan new york city</t>
  </si>
  <si>
    <t>Kirk Jones</t>
  </si>
  <si>
    <t>Everybody's Fine </t>
  </si>
  <si>
    <t>bus trip|parental love|retirement|surprise visit|train ride</t>
  </si>
  <si>
    <t>Stanley Kramer</t>
  </si>
  <si>
    <t>Action|Adventure|Comedy|Crime</t>
  </si>
  <si>
    <t>It's a Mad, Mad, Mad, Mad World </t>
  </si>
  <si>
    <t>california|desert|dying words|money|race</t>
  </si>
  <si>
    <t>Richard Kwietniowski</t>
  </si>
  <si>
    <t>Philip Seymour Hoffman</t>
  </si>
  <si>
    <t>Owning Mahowny </t>
  </si>
  <si>
    <t>bank|bank fraud|bank manager|gambling|toronto</t>
  </si>
  <si>
    <t>Joe Nussbaum</t>
  </si>
  <si>
    <t>Sleepover </t>
  </si>
  <si>
    <t>best friend|party|rival|scavenger hunt|sleepover</t>
  </si>
  <si>
    <t>Sam Raimi</t>
  </si>
  <si>
    <t>Action|Adventure|Romance</t>
  </si>
  <si>
    <t>Spider-Man 3 </t>
  </si>
  <si>
    <t>sandman|spider man|symbiote|venom|villain</t>
  </si>
  <si>
    <t>Christopher Nolan</t>
  </si>
  <si>
    <t>Leonardo DiCaprio</t>
  </si>
  <si>
    <t>Inception </t>
  </si>
  <si>
    <t>ambiguous ending|corporate espionage|dream|subconscious|thief</t>
  </si>
  <si>
    <t>Jonathan Caouette</t>
  </si>
  <si>
    <t>Biography|Documentary</t>
  </si>
  <si>
    <t>Greg Ayres</t>
  </si>
  <si>
    <t>Tarnation </t>
  </si>
  <si>
    <t>answering machine|home movie|lithium|schizophrenic|video diary</t>
  </si>
  <si>
    <t>David F. Sandberg</t>
  </si>
  <si>
    <t>Billy Burke</t>
  </si>
  <si>
    <t>Lights Out </t>
  </si>
  <si>
    <t>based on short film|reference to avenged sevenfold|reference to slayer|switching lights on and off|two word title</t>
  </si>
  <si>
    <t>Roxanne McKee</t>
  </si>
  <si>
    <t>The Legend of Hercules </t>
  </si>
  <si>
    <t>ancient greece|forbidden love|hercules|king|slavery</t>
  </si>
  <si>
    <t>Christian Volckman</t>
  </si>
  <si>
    <t>Action|Animation|Sci-Fi|Thriller</t>
  </si>
  <si>
    <t>Romola Garai</t>
  </si>
  <si>
    <t>Renaissance </t>
  </si>
  <si>
    <t>future|kidnapping|missing file|paris france|year 2054</t>
  </si>
  <si>
    <t>J.J. Abrams</t>
  </si>
  <si>
    <t>Mission: Impossible III </t>
  </si>
  <si>
    <t>arms dealer|fictional government agency|mission|rescue|vatican</t>
  </si>
  <si>
    <t>Jason Alexander</t>
  </si>
  <si>
    <t>Gretchen Mol</t>
  </si>
  <si>
    <t>Just Looking </t>
  </si>
  <si>
    <t>1955 chevrolet|nurse|peeping tom|reference to brooklyn dodgers|spying</t>
  </si>
  <si>
    <t>Wes Ball</t>
  </si>
  <si>
    <t>Ki Hong Lee</t>
  </si>
  <si>
    <t>The Maze Runner </t>
  </si>
  <si>
    <t>based on novel|concrete wall|maze|open ended|teenage boy</t>
  </si>
  <si>
    <t>Tom Vaughan</t>
  </si>
  <si>
    <t>Treat Williams</t>
  </si>
  <si>
    <t>What Happens in Vegas </t>
  </si>
  <si>
    <t>casino|father son relationship|jackpot|judge|wedding</t>
  </si>
  <si>
    <t>Jonathan Liebesman</t>
  </si>
  <si>
    <t>Action|Adventure|Comedy|Sci-Fi</t>
  </si>
  <si>
    <t>Noel Fisher</t>
  </si>
  <si>
    <t>Teenage Mutant Ninja Turtles </t>
  </si>
  <si>
    <t>18 wheeler|mutant|ninja|sewer|turtle</t>
  </si>
  <si>
    <t>Kevin Reynolds</t>
  </si>
  <si>
    <t>Jeanne Tripplehorn</t>
  </si>
  <si>
    <t>Waterworld </t>
  </si>
  <si>
    <t>future|sail|sea|smoker|water</t>
  </si>
  <si>
    <t>Trey Parker</t>
  </si>
  <si>
    <t>Animation|Comedy|Fantasy|Musical</t>
  </si>
  <si>
    <t>Minnie Driver</t>
  </si>
  <si>
    <t>South Park: Bigger Longer &amp; Uncut </t>
  </si>
  <si>
    <t>boy|canada|hell|misunderstanding|refrence to liza minnelli</t>
  </si>
  <si>
    <t>Jeff Bridges</t>
  </si>
  <si>
    <t>White Squall </t>
  </si>
  <si>
    <t>acrophobia|jamaica|male bonding|prostitute|tragedy</t>
  </si>
  <si>
    <t>Comedy|Drama|Musical|Romance</t>
  </si>
  <si>
    <t>James Martin Kelly</t>
  </si>
  <si>
    <t>Rock of Ages </t>
  </si>
  <si>
    <t>concert|love|music industry|panties|pole dancer</t>
  </si>
  <si>
    <t>Battle Los Angeles </t>
  </si>
  <si>
    <t>alien|extraterrestrial|invasion|marine|mission</t>
  </si>
  <si>
    <t>Lewis Gilbert</t>
  </si>
  <si>
    <t>Caroline Munro</t>
  </si>
  <si>
    <t>The Spy Who Loved Me </t>
  </si>
  <si>
    <t>1970s|cult film|official james bond series|submarine|world war three</t>
  </si>
  <si>
    <t>Firefox </t>
  </si>
  <si>
    <t>fighter plane|jet fighter|refueling|russia|soviet union</t>
  </si>
  <si>
    <t>Robert Altman</t>
  </si>
  <si>
    <t>Kristin Scott Thomas</t>
  </si>
  <si>
    <t>Gosford Park </t>
  </si>
  <si>
    <t>country house|murder|producer|servant|shooting party</t>
  </si>
  <si>
    <t>Marc Lawrence</t>
  </si>
  <si>
    <t>Dorian Missick</t>
  </si>
  <si>
    <t>Two Weeks Notice </t>
  </si>
  <si>
    <t>developer|divorce|lawyer|love|new york city</t>
  </si>
  <si>
    <t>Hart's War </t>
  </si>
  <si>
    <t>colonel|honor|lieutenant|pilot|racism</t>
  </si>
  <si>
    <t>David Fincher</t>
  </si>
  <si>
    <t>Brad Pitt</t>
  </si>
  <si>
    <t>Fight Club </t>
  </si>
  <si>
    <t>anti establishment|dark humor|fighting|multiple personality disorder|surprise ending</t>
  </si>
  <si>
    <t>Ron Underwood</t>
  </si>
  <si>
    <t>Comedy|Horror|Sci-Fi</t>
  </si>
  <si>
    <t>Reba McEntire</t>
  </si>
  <si>
    <t>Tremors </t>
  </si>
  <si>
    <t>desert|giant worm|monster|pipe bomb|small town</t>
  </si>
  <si>
    <t>American Dreamz </t>
  </si>
  <si>
    <t>chief of staff|contest|president|singing|terrorist</t>
  </si>
  <si>
    <t>The Kid </t>
  </si>
  <si>
    <t>altering history|cartoon on tv|childhood|image consultant|one two combo</t>
  </si>
  <si>
    <t>Action|Adventure|Biography|Drama|History|Thriller</t>
  </si>
  <si>
    <t>Chris Hemsworth</t>
  </si>
  <si>
    <t>In the Heart of the Sea </t>
  </si>
  <si>
    <t>emaciation|ship|starvation|vomiting|whale</t>
  </si>
  <si>
    <t>Josh Gordon</t>
  </si>
  <si>
    <t>Caroline Dhavernas</t>
  </si>
  <si>
    <t>The Switch </t>
  </si>
  <si>
    <t>artificial insemination|best friend|new york city|sperm|sperm donor</t>
  </si>
  <si>
    <t>Action|Drama|History|War</t>
  </si>
  <si>
    <t>The Patriot </t>
  </si>
  <si>
    <t>american revolution|british|french|hero|standoff</t>
  </si>
  <si>
    <t>Laurent Tirard</t>
  </si>
  <si>
    <t>Comedy|History</t>
  </si>
  <si>
    <t>Romain Duris</t>
  </si>
  <si>
    <t>MoliÃ¨re </t>
  </si>
  <si>
    <t>deathbed|play|playwright|prison|theater</t>
  </si>
  <si>
    <t>Tom Shadyac</t>
  </si>
  <si>
    <t>Comedy|Romance|Sci-Fi</t>
  </si>
  <si>
    <t>The Nutty Professor </t>
  </si>
  <si>
    <t>face slap|formula|overweight|professor|teacher</t>
  </si>
  <si>
    <t>Bobby Farrelly</t>
  </si>
  <si>
    <t>Stuck on You </t>
  </si>
  <si>
    <t>actor|conjoined twins|cook|internet|short order cook</t>
  </si>
  <si>
    <t>Stefan Ruzowitzky</t>
  </si>
  <si>
    <t>Benno FÃ¼rmann</t>
  </si>
  <si>
    <t>Anatomy </t>
  </si>
  <si>
    <t>dissection|male pubic hair|medical school|medical student|train</t>
  </si>
  <si>
    <t>E. Elias Merhige</t>
  </si>
  <si>
    <t>Drama|Horror</t>
  </si>
  <si>
    <t>Eddie Izzard</t>
  </si>
  <si>
    <t>Shadow of the Vampire </t>
  </si>
  <si>
    <t>actor|breasts|film actress|nosferatu|vampire</t>
  </si>
  <si>
    <t>Danny Cannon</t>
  </si>
  <si>
    <t>Muse Watson</t>
  </si>
  <si>
    <t>I Still Know What You Did Last Summer </t>
  </si>
  <si>
    <t>bahamas|fisherman|hook|island|roommate</t>
  </si>
  <si>
    <t>Guillermo del Toro</t>
  </si>
  <si>
    <t>Action|Fantasy|Horror|Sci-Fi</t>
  </si>
  <si>
    <t>James Babson</t>
  </si>
  <si>
    <t>Hellboy </t>
  </si>
  <si>
    <t>assassin|demon|hero|nazi|superhero</t>
  </si>
  <si>
    <t>Action|Adventure|Drama|History|War</t>
  </si>
  <si>
    <t>Kingdom of Heaven </t>
  </si>
  <si>
    <t>12th century|crusader|jerusalem|knight|medieval times</t>
  </si>
  <si>
    <t>Roger Donaldson</t>
  </si>
  <si>
    <t>The Bank Job </t>
  </si>
  <si>
    <t>chase|heist|london england|mobster|safe deposit</t>
  </si>
  <si>
    <t>Mark Steven Johnson</t>
  </si>
  <si>
    <t>Comedy|Drama|Family</t>
  </si>
  <si>
    <t>Simon Birch </t>
  </si>
  <si>
    <t>boy|christmas|christmas pageant|friendship|illegitimate son</t>
  </si>
  <si>
    <t>John Madden</t>
  </si>
  <si>
    <t>Tom Wilkinson</t>
  </si>
  <si>
    <t>Shakespeare in Love </t>
  </si>
  <si>
    <t>actor|audition|muse|playwright|theater</t>
  </si>
  <si>
    <t>Debra Granik</t>
  </si>
  <si>
    <t>Jennifer Lawrence</t>
  </si>
  <si>
    <t>Winter's Bone </t>
  </si>
  <si>
    <t>bail|crystal meth|family relationships|female protagonist|search for father</t>
  </si>
  <si>
    <t>Henry Selick</t>
  </si>
  <si>
    <t>Animation|Comedy|Fantasy</t>
  </si>
  <si>
    <t>Monkeybone </t>
  </si>
  <si>
    <t>carnival|coma|death|monkey|nightmare</t>
  </si>
  <si>
    <t>Rob Bowman</t>
  </si>
  <si>
    <t>Action|Crime|Fantasy|Thriller</t>
  </si>
  <si>
    <t>Elektra </t>
  </si>
  <si>
    <t>assassin|battle|heroine|martial arts|spin off</t>
  </si>
  <si>
    <t>Nanette Burstein</t>
  </si>
  <si>
    <t>Rob Riggle</t>
  </si>
  <si>
    <t>Going the Distance </t>
  </si>
  <si>
    <t>bar|job|long distance relationship|male pubic hair|pubic hair</t>
  </si>
  <si>
    <t>Frederik Du Chau</t>
  </si>
  <si>
    <t>Adventure|Animation|Comedy|Drama|Family|Fantasy|Musical</t>
  </si>
  <si>
    <t>The Magic Sword: Quest for Camelot </t>
  </si>
  <si>
    <t>camelot|dragon|excalibur|knight|sword</t>
  </si>
  <si>
    <t>Ghost Rider </t>
  </si>
  <si>
    <t>blackheart|devil|father|ghost|mephistopheles</t>
  </si>
  <si>
    <t>Marc Forster</t>
  </si>
  <si>
    <t>Biography|Drama|Family</t>
  </si>
  <si>
    <t>Finding Neverland </t>
  </si>
  <si>
    <t>boy|inspiration|reference to peter pan|stage play|widow</t>
  </si>
  <si>
    <t>Bruce Campbell</t>
  </si>
  <si>
    <t>Ted Raimi</t>
  </si>
  <si>
    <t>My Name Is Bruce </t>
  </si>
  <si>
    <t>b movie|birthday|chinese|demon|small town</t>
  </si>
  <si>
    <t>Paul Haggis</t>
  </si>
  <si>
    <t>The Next Three Days </t>
  </si>
  <si>
    <t>argument|evidence|fingerprints|murder|murder weapon</t>
  </si>
  <si>
    <t>Gore Verbinski</t>
  </si>
  <si>
    <t>Pirates of the Caribbean: The Curse of the Black Pearl </t>
  </si>
  <si>
    <t>caribbean|curse|governor|pirate|undead</t>
  </si>
  <si>
    <t>Katsuhiro Ã”tomo</t>
  </si>
  <si>
    <t>Action|Animation|Sci-Fi</t>
  </si>
  <si>
    <t>Mitsuo Iwata</t>
  </si>
  <si>
    <t>Akira </t>
  </si>
  <si>
    <t>based on manga|biker gang|gifted child|post thermonuclear war|science runs amok</t>
  </si>
  <si>
    <t>Japanese</t>
  </si>
  <si>
    <t>Japan</t>
  </si>
  <si>
    <t>Josh Trank</t>
  </si>
  <si>
    <t>Tim Blake Nelson</t>
  </si>
  <si>
    <t>Fantastic Four </t>
  </si>
  <si>
    <t>box office flop|critically bashed|portal|teleportation|troubled production</t>
  </si>
  <si>
    <t>A Man Apart </t>
  </si>
  <si>
    <t>bust|dea|drug cartel|justice|tragic hero</t>
  </si>
  <si>
    <t>Eva Green</t>
  </si>
  <si>
    <t>Casino Royale </t>
  </si>
  <si>
    <t>casino|espionage|free running|james bond|terrorist</t>
  </si>
  <si>
    <t>Mick Jackson</t>
  </si>
  <si>
    <t>Action|Drama|Sci-Fi|Thriller</t>
  </si>
  <si>
    <t>Volcano </t>
  </si>
  <si>
    <t>earthquake|fire|lava|rescue|volcano</t>
  </si>
  <si>
    <t>Richard Glatzer</t>
  </si>
  <si>
    <t>Emily Rios</t>
  </si>
  <si>
    <t>QuinceaÃ±era </t>
  </si>
  <si>
    <t>15th birthday|birthday|gay|party|security guard</t>
  </si>
  <si>
    <t>Spanish</t>
  </si>
  <si>
    <t>Andrzej Bartkowiak</t>
  </si>
  <si>
    <t>Jet Li</t>
  </si>
  <si>
    <t>Cradle 2 the Grave </t>
  </si>
  <si>
    <t>camera shot from inside human body|diamond|evil man|heist|terrorism</t>
  </si>
  <si>
    <t>McG</t>
  </si>
  <si>
    <t>Demi Moore</t>
  </si>
  <si>
    <t>Charlie's Angels: Full Throttle </t>
  </si>
  <si>
    <t>fbi|murder|ring|witness protection|witness protection program</t>
  </si>
  <si>
    <t>David S. Goyer</t>
  </si>
  <si>
    <t>Drama|Fantasy|Horror|Mystery|Thriller</t>
  </si>
  <si>
    <t>The Unborn </t>
  </si>
  <si>
    <t>babysitting|experiment|nightmare|possession|twin</t>
  </si>
  <si>
    <t>Bob Balaban</t>
  </si>
  <si>
    <t>Close Encounters of the Third Kind </t>
  </si>
  <si>
    <t>alien|close encounter of the third kind|mothership|ufo|vision</t>
  </si>
  <si>
    <t>Tom Tykwer</t>
  </si>
  <si>
    <t>Moritz Bleibtreu</t>
  </si>
  <si>
    <t>Run Lola Run </t>
  </si>
  <si>
    <t>bechdel test failed|money|multiple outcomes|repeated event|subway</t>
  </si>
  <si>
    <t>Ethan Coen</t>
  </si>
  <si>
    <t>Comedy|Mystery</t>
  </si>
  <si>
    <t>Hail, Caesar! </t>
  </si>
  <si>
    <t>50s|film within a film|hollywood|illegitimate pregnancy|twins</t>
  </si>
  <si>
    <t>Gillian Armstrong</t>
  </si>
  <si>
    <t>Drama|Family|Romance</t>
  </si>
  <si>
    <t>Christian Bale</t>
  </si>
  <si>
    <t>Little Women </t>
  </si>
  <si>
    <t>civil war|female protagonist|post civil war|reference to friedrich schiller|u.s. civil war</t>
  </si>
  <si>
    <t>Zach Braff</t>
  </si>
  <si>
    <t>Wish I Was Here </t>
  </si>
  <si>
    <t>actor|dream sequence|genius recluse|jew|religion</t>
  </si>
  <si>
    <t>Matt Bomer</t>
  </si>
  <si>
    <t>The Texas Chainsaw Massacre: The Beginning </t>
  </si>
  <si>
    <t>cannibal|car accident|leatherface|psychopath|slaughterhouse</t>
  </si>
  <si>
    <t>Frank Oz</t>
  </si>
  <si>
    <t>In &amp; Out </t>
  </si>
  <si>
    <t>academy award|gay|high school|reporter|teacher</t>
  </si>
  <si>
    <t>Gary Fleder</t>
  </si>
  <si>
    <t>Drama|Mystery|Sci-Fi|Thriller</t>
  </si>
  <si>
    <t>Gary Dourdan</t>
  </si>
  <si>
    <t>Impostor </t>
  </si>
  <si>
    <t>alien|android|bomb|future|weapon</t>
  </si>
  <si>
    <t>Archie Panjabi</t>
  </si>
  <si>
    <t>A Good Year </t>
  </si>
  <si>
    <t>based on novel|inheritance|provence|uncle|wine</t>
  </si>
  <si>
    <t>Vincent Gallo</t>
  </si>
  <si>
    <t>Comedy|Crime|Drama|Romance</t>
  </si>
  <si>
    <t>Anjelica Huston</t>
  </si>
  <si>
    <t>Buffalo '66 </t>
  </si>
  <si>
    <t>shower|stripper|tap dancing|underwear|undressing</t>
  </si>
  <si>
    <t>S.R. Bindler</t>
  </si>
  <si>
    <t>Surfer, Dude </t>
  </si>
  <si>
    <t>barefoot|endorsement|surfboard|virtual reality|waves</t>
  </si>
  <si>
    <t>Action|Adventure|Comedy|Fantasy|Thriller</t>
  </si>
  <si>
    <t>The Brothers Grimm </t>
  </si>
  <si>
    <t>creature|curse|exorcism|girl|village</t>
  </si>
  <si>
    <t>Peter Cattaneo</t>
  </si>
  <si>
    <t>James Nesbitt</t>
  </si>
  <si>
    <t>Lucky Break </t>
  </si>
  <si>
    <t>escape|prison|prison escape|sadism|solitary confinement</t>
  </si>
  <si>
    <t>Richard Williams</t>
  </si>
  <si>
    <t>Action|Adventure|Animation|Comedy|Fantasy</t>
  </si>
  <si>
    <t>Donald Pleasence</t>
  </si>
  <si>
    <t>The Princess and the Cobbler </t>
  </si>
  <si>
    <t>cobbler|desert|gold|princess|thief</t>
  </si>
  <si>
    <t>Allison Anders</t>
  </si>
  <si>
    <t>Ally Sheedy</t>
  </si>
  <si>
    <t>Sugar Town </t>
  </si>
  <si>
    <t>drugs|music producer|rock music|title directed by female|vegetarian</t>
  </si>
  <si>
    <t>Kevin Pollak</t>
  </si>
  <si>
    <t>Deterrence </t>
  </si>
  <si>
    <t>colorado|diner|iraq|nuclear missile|president</t>
  </si>
  <si>
    <t>Matt Bettinelli-Olpin</t>
  </si>
  <si>
    <t>Zach Gilford</t>
  </si>
  <si>
    <t>Devil's Due </t>
  </si>
  <si>
    <t>eiffel tower at night|honeymoon|implied insemination|party|taxi driver</t>
  </si>
  <si>
    <t>Joss Whedon</t>
  </si>
  <si>
    <t>Avengers: Age of Ultron </t>
  </si>
  <si>
    <t>artificial intelligence|based on comic book|captain america|marvel cinematic universe|superhero</t>
  </si>
  <si>
    <t>Biography|Crime|Drama|History|Thriller</t>
  </si>
  <si>
    <t>Tom Hardy</t>
  </si>
  <si>
    <t>Legend </t>
  </si>
  <si>
    <t>1960s|based on a true story|gangster|identical twins|murder</t>
  </si>
  <si>
    <t>Jun Falkenstein</t>
  </si>
  <si>
    <t>Animation|Comedy|Drama|Family|Musical</t>
  </si>
  <si>
    <t>Kath Soucie</t>
  </si>
  <si>
    <t>The Tigger Movie </t>
  </si>
  <si>
    <t>cartoon tiger|coming of age|tiger|tigger|title directed by female</t>
  </si>
  <si>
    <t>John Carl Buechler</t>
  </si>
  <si>
    <t>Friday the 13th Part VII: The New Blood </t>
  </si>
  <si>
    <t>death|jason voorhees|massacre|slaughter|telekinesis</t>
  </si>
  <si>
    <t>Melvin Van Peebles</t>
  </si>
  <si>
    <t>John Amos</t>
  </si>
  <si>
    <t>Sweet Sweetback's Baadasssss Song </t>
  </si>
  <si>
    <t>black panther|hells angels|on the run|racist|racist cop</t>
  </si>
  <si>
    <t>Brian Trenchard-Smith</t>
  </si>
  <si>
    <t>In Her Line of Fire </t>
  </si>
  <si>
    <t>camp|die hard scenario|female protagonist|island|vice president</t>
  </si>
  <si>
    <t>John Carpenter</t>
  </si>
  <si>
    <t>Escape from New York </t>
  </si>
  <si>
    <t>1990s|police|prison|rescue|year 1997</t>
  </si>
  <si>
    <t>Francis Ford Coppola</t>
  </si>
  <si>
    <t>The Outsiders </t>
  </si>
  <si>
    <t>dysfunctional family|gang|greaser|holding someone's head underwater|rivalry</t>
  </si>
  <si>
    <t>Gangs of New York </t>
  </si>
  <si>
    <t>butcher|civil war|gangster|new york city|revenge</t>
  </si>
  <si>
    <t>Sam Miller</t>
  </si>
  <si>
    <t>Leslie Bibb</t>
  </si>
  <si>
    <t>No Good Deed </t>
  </si>
  <si>
    <t>home invasion|police officer shot|police officer shot in the chest|psychopath|three word title</t>
  </si>
  <si>
    <t>Scott Kalvert</t>
  </si>
  <si>
    <t>Norman Reedus</t>
  </si>
  <si>
    <t>Deuces Wild </t>
  </si>
  <si>
    <t>1950s|drug overdose|gang|gang war|new york city</t>
  </si>
  <si>
    <t>George A. Romero</t>
  </si>
  <si>
    <t>Julian Richings</t>
  </si>
  <si>
    <t>Survival of the Dead </t>
  </si>
  <si>
    <t>delaware|feud|island|undead|zombie</t>
  </si>
  <si>
    <t>Damien O'Donnell</t>
  </si>
  <si>
    <t>East Is East </t>
  </si>
  <si>
    <t>england|marriage|muslim|pakistani|salford</t>
  </si>
  <si>
    <t>Frank Marshall</t>
  </si>
  <si>
    <t>Adventure|Drama|Family</t>
  </si>
  <si>
    <t>Eight Below </t>
  </si>
  <si>
    <t>antarctica|dog|siberian husky|sled dog|survival</t>
  </si>
  <si>
    <t>John Hamburg</t>
  </si>
  <si>
    <t>Along Came Polly </t>
  </si>
  <si>
    <t>bride|friend|honeymoon|insurance|insurance company</t>
  </si>
  <si>
    <t>Paul W.S. Anderson</t>
  </si>
  <si>
    <t>Action|Adventure|Drama|History|Romance</t>
  </si>
  <si>
    <t>Sasha Roiz</t>
  </si>
  <si>
    <t>Pompeii </t>
  </si>
  <si>
    <t>arena|lava bomb|mount vesuvius|pompeii|slave</t>
  </si>
  <si>
    <t>Craig Gillespie</t>
  </si>
  <si>
    <t>Jon Hamm</t>
  </si>
  <si>
    <t>Million Dollar Arm </t>
  </si>
  <si>
    <t>baseball|based on true story|india|sports agent|training</t>
  </si>
  <si>
    <t>Alejandro G. IÃ±Ã¡rritu</t>
  </si>
  <si>
    <t>Adventure|Drama|Thriller|Western</t>
  </si>
  <si>
    <t>The Revenant </t>
  </si>
  <si>
    <t>bear attack|cauterizing a wound|native american|revenge|survival</t>
  </si>
  <si>
    <t>Kerry Conran</t>
  </si>
  <si>
    <t>Action|Adventure|Mystery|Sci-Fi|Thriller</t>
  </si>
  <si>
    <t>Sky Captain and the World of Tomorrow </t>
  </si>
  <si>
    <t>captain|pilot|reporter|robot|scientist</t>
  </si>
  <si>
    <t>Jane Got a Gun </t>
  </si>
  <si>
    <t>brothel|death of husband|ex lover|haunted by the past|redemption</t>
  </si>
  <si>
    <t>Gavin Hood</t>
  </si>
  <si>
    <t>Rendition </t>
  </si>
  <si>
    <t>american|bare chested male bondage|cia|detention|interrogation</t>
  </si>
  <si>
    <t>Action|Comedy|Sci-Fi</t>
  </si>
  <si>
    <t>Michael Smiley</t>
  </si>
  <si>
    <t>The World's End </t>
  </si>
  <si>
    <t>alcoholic|doppelganger|group therapy|self mutilation|twin actresses for twin sisters</t>
  </si>
  <si>
    <t>Rob Minkoff</t>
  </si>
  <si>
    <t>Ty Burrell</t>
  </si>
  <si>
    <t>Mr. Peabody &amp; Sherman </t>
  </si>
  <si>
    <t>dog|father son relationship|inventor|talking dog|time travel</t>
  </si>
  <si>
    <t>Stiles White</t>
  </si>
  <si>
    <t>Lin Shaye</t>
  </si>
  <si>
    <t>Ouija </t>
  </si>
  <si>
    <t>death of girlfriend|funeral|ghost|ouija|spirit</t>
  </si>
  <si>
    <t>Roger Michell</t>
  </si>
  <si>
    <t>Noah Bean</t>
  </si>
  <si>
    <t>Morning Glory </t>
  </si>
  <si>
    <t>job offer|roller coaster|slow motion action scene|slow motion sequence|television</t>
  </si>
  <si>
    <t>Paul Crowder</t>
  </si>
  <si>
    <t>Documentary|Sport</t>
  </si>
  <si>
    <t>PelÃ©</t>
  </si>
  <si>
    <t>Once in a Lifetime: The Extraordinary Story of the New York Cosmos </t>
  </si>
  <si>
    <t>new york|new york cosmos|professional sports|soccer|soccer team</t>
  </si>
  <si>
    <t>John G. Avildsen</t>
  </si>
  <si>
    <t>Action|Drama|Family|Sport</t>
  </si>
  <si>
    <t>Martin Kove</t>
  </si>
  <si>
    <t>The Karate Kid </t>
  </si>
  <si>
    <t>apartment|bully|fight|karate|master</t>
  </si>
  <si>
    <t>Andrew Erwin</t>
  </si>
  <si>
    <t>Moms' Night Out </t>
  </si>
  <si>
    <t>blogger|pastor|reference to the shawshank redemption|taser|tasered</t>
  </si>
  <si>
    <t>Mark Neveldine</t>
  </si>
  <si>
    <t>Action|Sci-Fi|Thriller</t>
  </si>
  <si>
    <t>Gamer </t>
  </si>
  <si>
    <t>battle|convict|death|mind control|role playing</t>
  </si>
  <si>
    <t>John Francis Daley</t>
  </si>
  <si>
    <t>Vacation </t>
  </si>
  <si>
    <t>amusement park|dysfunctional family|road trip|sequel|vacation</t>
  </si>
  <si>
    <t>Woody Allen</t>
  </si>
  <si>
    <t>Comedy|Fantasy|Romance</t>
  </si>
  <si>
    <t>Kurt Fuller</t>
  </si>
  <si>
    <t>Midnight in Paris </t>
  </si>
  <si>
    <t>1920s|golden age|midnight|paris france|time travel romance</t>
  </si>
  <si>
    <t>Adventure|Comedy|Drama|Music</t>
  </si>
  <si>
    <t>Almost Famous </t>
  </si>
  <si>
    <t>band|magazine|rolling stone magazine|smoking marijuana|tour</t>
  </si>
  <si>
    <t>Richard Benjamin</t>
  </si>
  <si>
    <t>Jon Lovitz</t>
  </si>
  <si>
    <t>My Stepmother Is an Alien </t>
  </si>
  <si>
    <t>alien|earth|female alien|mission|secret</t>
  </si>
  <si>
    <t>Douglas McGrath</t>
  </si>
  <si>
    <t>Charlie Hunnam</t>
  </si>
  <si>
    <t>Nicholas Nickleby </t>
  </si>
  <si>
    <t>boy|boys' school|death|friend|orphan</t>
  </si>
  <si>
    <t>Courtney Solomon</t>
  </si>
  <si>
    <t>Rebecca Budig</t>
  </si>
  <si>
    <t>Getaway </t>
  </si>
  <si>
    <t>die hard scenario|earth viewed from space|race against time|race car driver|title at the end</t>
  </si>
  <si>
    <t>Jee-woon Kim</t>
  </si>
  <si>
    <t>Action|Adventure|Comedy|Western</t>
  </si>
  <si>
    <t>Kang-ho Song</t>
  </si>
  <si>
    <t>The Good, the Bad, the Weird </t>
  </si>
  <si>
    <t>bounty hunter|manchuria|map|train|treasure</t>
  </si>
  <si>
    <t>Korean</t>
  </si>
  <si>
    <t>South Korea</t>
  </si>
  <si>
    <t>Barry Levinson</t>
  </si>
  <si>
    <t>Diner </t>
  </si>
  <si>
    <t>baltimore colts|diner|marriage|salesman|wedding</t>
  </si>
  <si>
    <t>The Rocker </t>
  </si>
  <si>
    <t>20 years later|drummer|hdtv|rock band|rock star</t>
  </si>
  <si>
    <t>Snake Eyes </t>
  </si>
  <si>
    <t>assassination|boxing|casino|conspiracy|long take</t>
  </si>
  <si>
    <t>Biography|Crime|Drama</t>
  </si>
  <si>
    <t>Catch Me If You Can </t>
  </si>
  <si>
    <t>attorney|cat and mouse|fbi|pan am|pilot</t>
  </si>
  <si>
    <t>I Heart Huckabees </t>
  </si>
  <si>
    <t>coincidence|cult film|overalls|suburb|vomiting</t>
  </si>
  <si>
    <t>Lisa Cholodenko</t>
  </si>
  <si>
    <t>The Kids Are All Right </t>
  </si>
  <si>
    <t>biological father|college|motorcycle|sperm|sperm donor</t>
  </si>
  <si>
    <t>Chia-Liang Liu</t>
  </si>
  <si>
    <t>Andy Lau</t>
  </si>
  <si>
    <t>The Legend of Drunken Master </t>
  </si>
  <si>
    <t>battle|fight|fighting|martial artist|snake</t>
  </si>
  <si>
    <t>Mike McCoy</t>
  </si>
  <si>
    <t>Action|Adventure|Drama|Thriller|War</t>
  </si>
  <si>
    <t>Alex Veadov</t>
  </si>
  <si>
    <t>Act of Valor </t>
  </si>
  <si>
    <t>mission|navy seal|terrorist|torture|valor</t>
  </si>
  <si>
    <t>Andrew Currie</t>
  </si>
  <si>
    <t>Comedy|Drama|Horror|Sci-Fi</t>
  </si>
  <si>
    <t>Alexia Fast</t>
  </si>
  <si>
    <t>Fido </t>
  </si>
  <si>
    <t>decapitation|neighbor|neighborhood|next door neighbor|zombie</t>
  </si>
  <si>
    <t>Harold Ramis</t>
  </si>
  <si>
    <t>John de Lancie</t>
  </si>
  <si>
    <t>Multiplicity </t>
  </si>
  <si>
    <t>clone|cloning|construction|same actor playing two characters simultaneously on screen|year 1996</t>
  </si>
  <si>
    <t>Alicia Witt</t>
  </si>
  <si>
    <t>Mr. Holland's Opus </t>
  </si>
  <si>
    <t>1990s|high school|high school teacher|teacher inspires students|teaching</t>
  </si>
  <si>
    <t>50 First Dates </t>
  </si>
  <si>
    <t>dream|hawaii|hawaiian shirt|short term memory loss|veterinarian</t>
  </si>
  <si>
    <t>Mike Newell</t>
  </si>
  <si>
    <t>Four Weddings and a Funeral </t>
  </si>
  <si>
    <t>1990s|chick flick|funeral|gay relationship|wedding</t>
  </si>
  <si>
    <t>Justin Chadwick</t>
  </si>
  <si>
    <t>Terry Pheto</t>
  </si>
  <si>
    <t>Mandela: Long Walk to Freedom </t>
  </si>
  <si>
    <t>africa|apartheid|nelson mandela|president|resistance</t>
  </si>
  <si>
    <t>Steve Martino</t>
  </si>
  <si>
    <t>Adventure|Animation|Comedy|Family</t>
  </si>
  <si>
    <t>Ice Age: Continental Drift </t>
  </si>
  <si>
    <t>acorn|herd|iceberg|ocean|pirate</t>
  </si>
  <si>
    <t>Robert Redford</t>
  </si>
  <si>
    <t>The Horse Whisperer </t>
  </si>
  <si>
    <t>grace|groom|horse|montana|western u.s.</t>
  </si>
  <si>
    <t>Comedy|Drama|Romance|Thriller</t>
  </si>
  <si>
    <t>Man of the Year </t>
  </si>
  <si>
    <t>campaign|election|president|presidential election|satire</t>
  </si>
  <si>
    <t>Atom Egoyan</t>
  </si>
  <si>
    <t>Chloe </t>
  </si>
  <si>
    <t>bare chested boy|doctor|escort|infidelity|prostitute</t>
  </si>
  <si>
    <t>Action|Comedy|Family|Fantasy</t>
  </si>
  <si>
    <t>Carol Ann Susi</t>
  </si>
  <si>
    <t>Cats &amp; Dogs </t>
  </si>
  <si>
    <t>cartoon on tv|cat|dog|scientist|secret agent</t>
  </si>
  <si>
    <t>Todd Solondz</t>
  </si>
  <si>
    <t>Welcome to the Dollhouse </t>
  </si>
  <si>
    <t>bully|first crush|school|social outcast|taunting</t>
  </si>
  <si>
    <t>Corey Yuen</t>
  </si>
  <si>
    <t>Steve Howey</t>
  </si>
  <si>
    <t>DOA: Dead or Alive </t>
  </si>
  <si>
    <t>female fighter|island|martial arts|parachute|tournament</t>
  </si>
  <si>
    <t>Action|Adventure|Fantasy|Horror|Thriller</t>
  </si>
  <si>
    <t>The Mummy: Tomb of the Dragon Emperor </t>
  </si>
  <si>
    <t>army|china|emperor|mummy|shangri la</t>
  </si>
  <si>
    <t>Janusz Kaminski</t>
  </si>
  <si>
    <t>Drama|Horror|Thriller</t>
  </si>
  <si>
    <t>Philip Baker Hall</t>
  </si>
  <si>
    <t>Lost Souls </t>
  </si>
  <si>
    <t>faith|mental patient|priest|scheme|teacher</t>
  </si>
  <si>
    <t>Mike Leigh</t>
  </si>
  <si>
    <t>Biography|Comedy|Drama|History|Music|Musical</t>
  </si>
  <si>
    <t>Jim Broadbent</t>
  </si>
  <si>
    <t>Topsy-Turvy </t>
  </si>
  <si>
    <t>19th century|exhibition|gilbert and sullivan|gilbert and sullivan's princess ida|japanese</t>
  </si>
  <si>
    <t>David Wain</t>
  </si>
  <si>
    <t>Joe Lo Truglio</t>
  </si>
  <si>
    <t>Role Models </t>
  </si>
  <si>
    <t>absent father|big brother|community service|live action role playing|peter pan syndrome</t>
  </si>
  <si>
    <t>David Jacobson</t>
  </si>
  <si>
    <t>Drama|Romance|Thriller</t>
  </si>
  <si>
    <t>Hunter Parrish</t>
  </si>
  <si>
    <t>Down in the Valley </t>
  </si>
  <si>
    <t>beach|cowboy|cowboy hat|neo western|valley</t>
  </si>
  <si>
    <t>Eric Brevig</t>
  </si>
  <si>
    <t>Yogi Bear </t>
  </si>
  <si>
    <t>bear|mayor|park|sabotage|yogi bear</t>
  </si>
  <si>
    <t>Ellory Elkayem</t>
  </si>
  <si>
    <t>Eight Legged Freaks </t>
  </si>
  <si>
    <t>creature feature|human versus spider|spider|spider feature|woman sheriff</t>
  </si>
  <si>
    <t>Camille Delamarre</t>
  </si>
  <si>
    <t>Ed Skrein</t>
  </si>
  <si>
    <t>The Transporter Refueled </t>
  </si>
  <si>
    <t>airfield|car|car stunt|driver|private jet</t>
  </si>
  <si>
    <t>Brett Ratner</t>
  </si>
  <si>
    <t>Mei MelanÃ§on</t>
  </si>
  <si>
    <t>Rush Hour 2 </t>
  </si>
  <si>
    <t>boat|gang|hong kong|triad|vacation</t>
  </si>
  <si>
    <t>Timeline </t>
  </si>
  <si>
    <t>castle|france|professor|student|time machine</t>
  </si>
  <si>
    <t>Adventure|Comedy|Family|Fantasy</t>
  </si>
  <si>
    <t>Chazz Palminteri</t>
  </si>
  <si>
    <t>Stuart Little </t>
  </si>
  <si>
    <t>box office hit|cat|first part|mouse|orphanage</t>
  </si>
  <si>
    <t>Michael Lehmann</t>
  </si>
  <si>
    <t>Action|Adventure|Comedy</t>
  </si>
  <si>
    <t>Hudson Hawk </t>
  </si>
  <si>
    <t>blackmail|burglar|critically bashed|leonardo da vinci|prison</t>
  </si>
  <si>
    <t>Erin Brockovich </t>
  </si>
  <si>
    <t>contamination|corporate crime|environmental issue|female protagonist|working single mother</t>
  </si>
  <si>
    <t>Ghost World </t>
  </si>
  <si>
    <t>art class|diner|friend|graduation|high school</t>
  </si>
  <si>
    <t>Jamie Blanks</t>
  </si>
  <si>
    <t>Urban Legend </t>
  </si>
  <si>
    <t>campus|death|friend|professor|urban legend</t>
  </si>
  <si>
    <t>Carlos Carrera</t>
  </si>
  <si>
    <t>DamiÃ¡n AlcÃ¡zar</t>
  </si>
  <si>
    <t>El crimen del padre Amaro </t>
  </si>
  <si>
    <t>church|love|mexico|politics|priest</t>
  </si>
  <si>
    <t>Mexico</t>
  </si>
  <si>
    <t>Luc Besson</t>
  </si>
  <si>
    <t>Adventure|Biography|Drama|History|War</t>
  </si>
  <si>
    <t>Paul Brooke</t>
  </si>
  <si>
    <t>The Messenger: The Story of Joan of Arc </t>
  </si>
  <si>
    <t>cathedral|dauphin|france|trial|wartime rape</t>
  </si>
  <si>
    <t>Miranda Richardson</t>
  </si>
  <si>
    <t>Spider </t>
  </si>
  <si>
    <t>halfway house|key|reality|schizophrenia|spider</t>
  </si>
  <si>
    <t>Tom Dey</t>
  </si>
  <si>
    <t>Bradley Cooper</t>
  </si>
  <si>
    <t>Failure to Launch </t>
  </si>
  <si>
    <t>friend|intervention|moving|secret|slacker</t>
  </si>
  <si>
    <t>Gonzalo LÃ³pez-Gallego</t>
  </si>
  <si>
    <t>Horror|Mystery|Sci-Fi|Thriller</t>
  </si>
  <si>
    <t>Warren Christie</t>
  </si>
  <si>
    <t>Apollo 18 </t>
  </si>
  <si>
    <t>cosmonaut|footprint|found footage|moon|secret mission</t>
  </si>
  <si>
    <t>Perry Andelin Blake</t>
  </si>
  <si>
    <t>Jennifer Esposito</t>
  </si>
  <si>
    <t>The Master of Disguise </t>
  </si>
  <si>
    <t>disguise|mask|master of disguise|restaurant|waiter</t>
  </si>
  <si>
    <t>Craig Mazin</t>
  </si>
  <si>
    <t>Action|Comedy|Sci-Fi|Thriller</t>
  </si>
  <si>
    <t>Drake Bell</t>
  </si>
  <si>
    <t>Superhero Movie </t>
  </si>
  <si>
    <t>dragonfly|hero|high school|soaking wet|supervillian origin</t>
  </si>
  <si>
    <t>Biography|Comedy|Drama</t>
  </si>
  <si>
    <t>Ed Wood </t>
  </si>
  <si>
    <t>1950s|director|friend|friendship|transvestism</t>
  </si>
  <si>
    <t>Wayne Knight</t>
  </si>
  <si>
    <t>Jurassic Park </t>
  </si>
  <si>
    <t>dinosaur|jurassic park|survival|theme park|tyrannosaurus rex</t>
  </si>
  <si>
    <t>Jonathan Kesselman</t>
  </si>
  <si>
    <t>The Hebrew Hammer </t>
  </si>
  <si>
    <t>blaxploitation|hanukkah|jewish|kwanzaa|santa claus</t>
  </si>
  <si>
    <t>Action|Adventure|Drama|Romance|Sci-Fi</t>
  </si>
  <si>
    <t>Marlon Brando</t>
  </si>
  <si>
    <t>Superman </t>
  </si>
  <si>
    <t>1970s|clark kent|planet|superhero|year 1978</t>
  </si>
  <si>
    <t>Con Air </t>
  </si>
  <si>
    <t>army rangers|convict|criminal|escape|prison</t>
  </si>
  <si>
    <t>Mark Sandrich</t>
  </si>
  <si>
    <t>Comedy|Musical|Romance</t>
  </si>
  <si>
    <t>Ginger Rogers</t>
  </si>
  <si>
    <t>Top Hat </t>
  </si>
  <si>
    <t>dance|dancer|dancing|horse|tap dancing</t>
  </si>
  <si>
    <t>Stephen Daldry</t>
  </si>
  <si>
    <t>Meryl Streep</t>
  </si>
  <si>
    <t>The Hours </t>
  </si>
  <si>
    <t>housewife|lesbian|novel|party|reading</t>
  </si>
  <si>
    <t>Crank: High Voltage </t>
  </si>
  <si>
    <t>artificial heart|heart|horse penis|prostitute|stripper</t>
  </si>
  <si>
    <t>David Koepp</t>
  </si>
  <si>
    <t>Action|Comedy|Mystery|Romance</t>
  </si>
  <si>
    <t>Mortdecai </t>
  </si>
  <si>
    <t>art dealer|fake painting|macguffin|moustache|stolen painting</t>
  </si>
  <si>
    <t>Phyllida Lloyd</t>
  </si>
  <si>
    <t>Comedy|Family|Musical|Romance</t>
  </si>
  <si>
    <t>Mamma Mia! </t>
  </si>
  <si>
    <t>bride|greece|island|mediterranean|wedding</t>
  </si>
  <si>
    <t>David R. Ellis</t>
  </si>
  <si>
    <t>Action|Adventure|Crime|Drama|Thriller</t>
  </si>
  <si>
    <t>Snakes on a Plane </t>
  </si>
  <si>
    <t>baby rattle|famous line|murder|passenger|snake</t>
  </si>
  <si>
    <t>Bob Saget</t>
  </si>
  <si>
    <t>Don Rickles</t>
  </si>
  <si>
    <t>Dirty Work </t>
  </si>
  <si>
    <t>cult film|gambling debt|job|off screen murder|revenge</t>
  </si>
  <si>
    <t>Michel Gondry</t>
  </si>
  <si>
    <t>Comedy|Documentary|Music</t>
  </si>
  <si>
    <t>Common</t>
  </si>
  <si>
    <t>Dave Chappelle's Block Party </t>
  </si>
  <si>
    <t>block party|marching band|neighborhood|new york city|tyrannosaurus rex</t>
  </si>
  <si>
    <t>Evan Almighty </t>
  </si>
  <si>
    <t>ark|change|congressman|depiction of god|flood</t>
  </si>
  <si>
    <t>Kristen Stewart</t>
  </si>
  <si>
    <t>Panic Room </t>
  </si>
  <si>
    <t>brownstone|burglar|money|panic|panic room</t>
  </si>
  <si>
    <t>Jesse Dylan</t>
  </si>
  <si>
    <t>Hector Elizondo</t>
  </si>
  <si>
    <t>How High </t>
  </si>
  <si>
    <t>college|drugs|harvard|pot|smoke</t>
  </si>
  <si>
    <t>Action|Adventure|Comedy|Family|Fantasy</t>
  </si>
  <si>
    <t>Night at the Museum </t>
  </si>
  <si>
    <t>chaos|museum|museum of natural history|night watchman|watchman</t>
  </si>
  <si>
    <t>The Untouchables </t>
  </si>
  <si>
    <t>corrupt judge|tax evasion|tough cop|white suit|year 1930</t>
  </si>
  <si>
    <t>Joe Mantegna</t>
  </si>
  <si>
    <t>Thinner </t>
  </si>
  <si>
    <t>death|doctor|gypsy|judge|lawyer</t>
  </si>
  <si>
    <t>Danny DeVito</t>
  </si>
  <si>
    <t>Frank Whaley</t>
  </si>
  <si>
    <t>Hoffa </t>
  </si>
  <si>
    <t>labor|labor union|leader|mafia|union</t>
  </si>
  <si>
    <t>Hugh Hudson</t>
  </si>
  <si>
    <t>Adventure|Drama|Romance</t>
  </si>
  <si>
    <t>I Dreamed of Africa </t>
  </si>
  <si>
    <t>dream|italian|kenya|ranch|snake</t>
  </si>
  <si>
    <t>Jonathan Levine</t>
  </si>
  <si>
    <t>50/50 </t>
  </si>
  <si>
    <t>best friend|cancer|survival rate|therapist|vomiting</t>
  </si>
  <si>
    <t>David Zucker</t>
  </si>
  <si>
    <t>Carmen Electra</t>
  </si>
  <si>
    <t>My Boss's Daughter </t>
  </si>
  <si>
    <t>boss' daughter|crush|house sitter|housesitting|love interest</t>
  </si>
  <si>
    <t>Bad Company </t>
  </si>
  <si>
    <t>cia|cia agent|terrorist|twin|twin brother</t>
  </si>
  <si>
    <t>Patrice Leconte</t>
  </si>
  <si>
    <t>Emir Kusturica</t>
  </si>
  <si>
    <t>The Widow of Saint-Pierre </t>
  </si>
  <si>
    <t>archipelago|guillotine|island|prison|redemption</t>
  </si>
  <si>
    <t>Rupert Wyatt</t>
  </si>
  <si>
    <t>George Kennedy</t>
  </si>
  <si>
    <t>The Gambler </t>
  </si>
  <si>
    <t>dog|gambler|gambling|gangster|professor</t>
  </si>
  <si>
    <t>Anne Fletcher</t>
  </si>
  <si>
    <t>Hot Pursuit </t>
  </si>
  <si>
    <t>danger|drug cartel|female cop|female police officer|fugitive</t>
  </si>
  <si>
    <t>Stephen Chbosky</t>
  </si>
  <si>
    <t>Logan Lerman</t>
  </si>
  <si>
    <t>The Perks of Being a Wallflower </t>
  </si>
  <si>
    <t>coming of age|depression|gay|high school|mental illness</t>
  </si>
  <si>
    <t>Jon Stewart</t>
  </si>
  <si>
    <t>Numan Acar</t>
  </si>
  <si>
    <t>Rosewater </t>
  </si>
  <si>
    <t>based on true story|hijab|journalism|prison|reference to mahmoud ahmedinejad</t>
  </si>
  <si>
    <t>Darren Aronofsky</t>
  </si>
  <si>
    <t>Requiem for a Dream </t>
  </si>
  <si>
    <t>addiction|diet pill|drug addiction|fast motion scene|heroin</t>
  </si>
  <si>
    <t>John Waters</t>
  </si>
  <si>
    <t>Cecil B. DeMented </t>
  </si>
  <si>
    <t>actress|drive in|female protagonist|movie star|woman shot in the forehead</t>
  </si>
  <si>
    <t>Martin McDonagh</t>
  </si>
  <si>
    <t>Abbie Cornish</t>
  </si>
  <si>
    <t>Seven Psychopaths </t>
  </si>
  <si>
    <t>dognapping|gangster|misfiring gun|screenwriter|shih tzu</t>
  </si>
  <si>
    <t>Penguins of Madagascar </t>
  </si>
  <si>
    <t>little girl|park|spy|statue of liberty|television van</t>
  </si>
  <si>
    <t>Florent-Emilio Siri</t>
  </si>
  <si>
    <t>Hostage </t>
  </si>
  <si>
    <t>california|hostage|hostage negotiator|organized crime|police</t>
  </si>
  <si>
    <t>Joseph Sargent</t>
  </si>
  <si>
    <t>Adventure|Horror|Thriller</t>
  </si>
  <si>
    <t>Judith Barsi</t>
  </si>
  <si>
    <t>Jaws: The Revenge </t>
  </si>
  <si>
    <t>banana boat|boat|christmas|sea|shark</t>
  </si>
  <si>
    <t>Andrew Wilson</t>
  </si>
  <si>
    <t>The Wendell Baker Story </t>
  </si>
  <si>
    <t>directorial debut|fantasy sequence|nurse|old age home|prison</t>
  </si>
  <si>
    <t>Akiva Schaffer</t>
  </si>
  <si>
    <t>The Watch </t>
  </si>
  <si>
    <t>alien|escape|manager|neighborhood watch|ohio</t>
  </si>
  <si>
    <t>John Fortenberry</t>
  </si>
  <si>
    <t>Comedy|Music|Romance</t>
  </si>
  <si>
    <t>A Night at the Roxbury </t>
  </si>
  <si>
    <t>1990s|bar|car accident|nightclub|whipped cream</t>
  </si>
  <si>
    <t>George Roy Hill</t>
  </si>
  <si>
    <t>Eileen Brennan</t>
  </si>
  <si>
    <t>The Sting </t>
  </si>
  <si>
    <t>con|con man|courier|long con|murder</t>
  </si>
  <si>
    <t>Kevin Costner</t>
  </si>
  <si>
    <t>Adventure|Drama|Western</t>
  </si>
  <si>
    <t>Mary McDonnell</t>
  </si>
  <si>
    <t>Dances with Wolves </t>
  </si>
  <si>
    <t>friendship|frontier|honor|outpost|soldier</t>
  </si>
  <si>
    <t>John Pasquin</t>
  </si>
  <si>
    <t>Comedy|Drama|Family|Fantasy</t>
  </si>
  <si>
    <t>Judge Reinhold</t>
  </si>
  <si>
    <t>The Santa Clause </t>
  </si>
  <si>
    <t>1990s|christmas|christmas eve|sleigh|surrealism</t>
  </si>
  <si>
    <t>Marc Webb</t>
  </si>
  <si>
    <t>The Amazing Spider-Man </t>
  </si>
  <si>
    <t>lizard|outcast|spider|spider man|teenager</t>
  </si>
  <si>
    <t>Mem Ferda</t>
  </si>
  <si>
    <t>The Devil's Double </t>
  </si>
  <si>
    <t>betrayal|debauchery|lust|palace|saddam hussein</t>
  </si>
  <si>
    <t>Belgium</t>
  </si>
  <si>
    <t>Oliver Parker</t>
  </si>
  <si>
    <t>The Importance of Being Earnest </t>
  </si>
  <si>
    <t>comedy of manners|false identity|farce|love|period drama</t>
  </si>
  <si>
    <t>James Bobin</t>
  </si>
  <si>
    <t>Adventure|Comedy|Family|Musical</t>
  </si>
  <si>
    <t>The Muppets </t>
  </si>
  <si>
    <t>bel air california|book|friends who live together|the muppets|tribute band</t>
  </si>
  <si>
    <t>Howard Zieff</t>
  </si>
  <si>
    <t>Comedy|Drama|Family|Romance</t>
  </si>
  <si>
    <t>Macaulay Culkin</t>
  </si>
  <si>
    <t>My Girl </t>
  </si>
  <si>
    <t>best friend|funeral|girl|overalls|summer</t>
  </si>
  <si>
    <t>The Rock </t>
  </si>
  <si>
    <t>alcatraz|fbi|general|hostage|rocket</t>
  </si>
  <si>
    <t>Finn Taylor</t>
  </si>
  <si>
    <t>David Arquette</t>
  </si>
  <si>
    <t>Dream with the Fishes </t>
  </si>
  <si>
    <t>dying|to do list|twenty something|underwear|voyeur</t>
  </si>
  <si>
    <t>Ken Kwapis</t>
  </si>
  <si>
    <t>Mike Vogel</t>
  </si>
  <si>
    <t>The Sisterhood of the Traveling Pants </t>
  </si>
  <si>
    <t>friendship|jeans|pants|summer|vacation</t>
  </si>
  <si>
    <t>Action|Adventure|Comedy|Crime|Mystery|Thriller</t>
  </si>
  <si>
    <t>Daniel Radcliffe</t>
  </si>
  <si>
    <t>Now You See Me 2 </t>
  </si>
  <si>
    <t>card trick|london england|magician|rain machine|rooftop</t>
  </si>
  <si>
    <t>Dennis Dugan</t>
  </si>
  <si>
    <t>Grown Ups 2 </t>
  </si>
  <si>
    <t>belching|number in title|party|reference to nicki minaj|sneezing</t>
  </si>
  <si>
    <t>Star Trek </t>
  </si>
  <si>
    <t>box office hit|future|lifted by the throat|star trek|vulcan</t>
  </si>
  <si>
    <t>James Gunn</t>
  </si>
  <si>
    <t>Linda Cardellini</t>
  </si>
  <si>
    <t>Super </t>
  </si>
  <si>
    <t>drug dealer|superhero|tragedy|tragic hero|tragic love</t>
  </si>
  <si>
    <t>Mic Rodgers</t>
  </si>
  <si>
    <t>Michael Jai White</t>
  </si>
  <si>
    <t>Universal Soldier: The Return </t>
  </si>
  <si>
    <t>combat|computer|general|military|reporter</t>
  </si>
  <si>
    <t>2012 </t>
  </si>
  <si>
    <t>ark|catastrophe|geologist|president|writer</t>
  </si>
  <si>
    <t>Comedy|Drama|Sci-Fi</t>
  </si>
  <si>
    <t>Natascha McElhone</t>
  </si>
  <si>
    <t>The Truman Show </t>
  </si>
  <si>
    <t>controlled environment|fictional reality show|hidden camera|innocence lost|simulated reality</t>
  </si>
  <si>
    <t>Franco Zeffirelli</t>
  </si>
  <si>
    <t>Comedy|Drama|War</t>
  </si>
  <si>
    <t>Lily Tomlin</t>
  </si>
  <si>
    <t>Tea with Mussolini </t>
  </si>
  <si>
    <t>ambassador|american|art|english|italy</t>
  </si>
  <si>
    <t>Step Brothers </t>
  </si>
  <si>
    <t>dream|friendship|karaoke|love|slacker</t>
  </si>
  <si>
    <t>Babylon A.D. </t>
  </si>
  <si>
    <t>box office flop|convent|mercenary|new york|pregnant</t>
  </si>
  <si>
    <t>Indiana Jones and the Last Crusade </t>
  </si>
  <si>
    <t>castle|diary|holy grail|map|nazi</t>
  </si>
  <si>
    <t>Angelo Pizzo</t>
  </si>
  <si>
    <t>Donny Boaz</t>
  </si>
  <si>
    <t>Courage </t>
  </si>
  <si>
    <t>coach|football|football movie|football team|high school sweethearts</t>
  </si>
  <si>
    <t>Patrick Tatopoulos</t>
  </si>
  <si>
    <t>Craig Parker</t>
  </si>
  <si>
    <t>Underworld: Rise of the Lycans </t>
  </si>
  <si>
    <t>battle|slave|vampire|warrior|werewolf</t>
  </si>
  <si>
    <t>Nora Ephron</t>
  </si>
  <si>
    <t>Michael Rapaport</t>
  </si>
  <si>
    <t>Lucky Numbers </t>
  </si>
  <si>
    <t>celebrity|lottery|murder|snowmobile|weatherman</t>
  </si>
  <si>
    <t>Neil Marshall</t>
  </si>
  <si>
    <t>Ryan Kruger</t>
  </si>
  <si>
    <t>Doomsday </t>
  </si>
  <si>
    <t>cure|quarantine|scotland|virus|wall</t>
  </si>
  <si>
    <t>The Dark Knight Rises</t>
  </si>
  <si>
    <t>deception|imprisonment|lawlessness|police officer|terrorist plot</t>
  </si>
  <si>
    <t>Jonathan Kaplan</t>
  </si>
  <si>
    <t>John Doe</t>
  </si>
  <si>
    <t>Brokedown Palace </t>
  </si>
  <si>
    <t>bangkok|friend|lawyer|smuggling|thailand</t>
  </si>
  <si>
    <t>The Fifth Element </t>
  </si>
  <si>
    <t>1910s|alien|artificially created woman|love|taxi driver</t>
  </si>
  <si>
    <t>The Departed </t>
  </si>
  <si>
    <t>boston|mole|police|undercover|undercover cop</t>
  </si>
  <si>
    <t>Adriana Barraza</t>
  </si>
  <si>
    <t>Amores Perros </t>
  </si>
  <si>
    <t>animal in title|dog fight|mexico city|multiple perspectives|nonlinear timeline</t>
  </si>
  <si>
    <t>Biography|Crime|Drama|History|Music</t>
  </si>
  <si>
    <t>Aldis Hodge</t>
  </si>
  <si>
    <t>Straight Outta Compton </t>
  </si>
  <si>
    <t>concert|gangsta rap|hip hop|nwa|rap music</t>
  </si>
  <si>
    <t>David Bowers</t>
  </si>
  <si>
    <t>Action|Animation|Comedy|Family|Sci-Fi</t>
  </si>
  <si>
    <t>Astro Boy </t>
  </si>
  <si>
    <t>betrayal|futuristic|gladiator|robot|scientist</t>
  </si>
  <si>
    <t>The Lord of the Rings: The Fellowship of the Ring </t>
  </si>
  <si>
    <t>elf|hobbit|middle earth|quest|ring</t>
  </si>
  <si>
    <t>Drama|Family</t>
  </si>
  <si>
    <t>Jacqueline McKenzie</t>
  </si>
  <si>
    <t>Opal Dream </t>
  </si>
  <si>
    <t>friend|girl|imaginary friend|outback|town</t>
  </si>
  <si>
    <t>My Big Fat Greek Wedding 2 </t>
  </si>
  <si>
    <t>family restaurant|greek|remarriage|suburb|wedding</t>
  </si>
  <si>
    <t>Richard Kelly</t>
  </si>
  <si>
    <t>Drama|Fantasy|Mystery|Thriller</t>
  </si>
  <si>
    <t>Frank Langella</t>
  </si>
  <si>
    <t>The Box </t>
  </si>
  <si>
    <t>alien|library|moral dilemma|nosebleed|supernatural power</t>
  </si>
  <si>
    <t>Action|Comedy|Crime|Drama|Thriller</t>
  </si>
  <si>
    <t>Exit Wounds </t>
  </si>
  <si>
    <t>corrupt cop|drug dealer|drugs|heroin|vice president</t>
  </si>
  <si>
    <t>Whit Stillman</t>
  </si>
  <si>
    <t>Chris Eigeman</t>
  </si>
  <si>
    <t>Metropolitan </t>
  </si>
  <si>
    <t>apartment|dancing|debutante|new york|upper class</t>
  </si>
  <si>
    <t>Michael Kelly</t>
  </si>
  <si>
    <t>Chronicle </t>
  </si>
  <si>
    <t>found footage|high school|subjective camera|teen angst|troubled teen</t>
  </si>
  <si>
    <t>Raja Gosnell</t>
  </si>
  <si>
    <t>Big Momma's House </t>
  </si>
  <si>
    <t>disguise|fbi|female impersonation|gender disguise|obesity</t>
  </si>
  <si>
    <t>Ben Stiller</t>
  </si>
  <si>
    <t>Comedy|Drama|Thriller</t>
  </si>
  <si>
    <t>Matthew Broderick</t>
  </si>
  <si>
    <t>The Cable Guy </t>
  </si>
  <si>
    <t>cable guy|foreplay|friend|kissing|television</t>
  </si>
  <si>
    <t>Phil Joanou</t>
  </si>
  <si>
    <t>Crime|Drama|Sport</t>
  </si>
  <si>
    <t>Gridiron Gang </t>
  </si>
  <si>
    <t>alliterative title|football|football coach|football practice|football team</t>
  </si>
  <si>
    <t>Rupert Wainwright</t>
  </si>
  <si>
    <t>Stigmata </t>
  </si>
  <si>
    <t>catholic|priest|stigmata|vatican|wound</t>
  </si>
  <si>
    <t>Jab Tak Hai Jaan </t>
  </si>
  <si>
    <t>accident|army|bomb|indian army|love</t>
  </si>
  <si>
    <t>Stephan Elliott</t>
  </si>
  <si>
    <t>Jason Priestley</t>
  </si>
  <si>
    <t>Eye of the Beholder </t>
  </si>
  <si>
    <t>chicago illinois|false identity|femme fatale|new york city|spying</t>
  </si>
  <si>
    <t>Apocalypse Now </t>
  </si>
  <si>
    <t>army|green beret|insanity|jungle|vietnam</t>
  </si>
  <si>
    <t>Matthew O'Callaghan</t>
  </si>
  <si>
    <t>Curious George </t>
  </si>
  <si>
    <t>hat|monkey|museum|shrine|yellow</t>
  </si>
  <si>
    <t>Joan Allen</t>
  </si>
  <si>
    <t>The Ice Storm </t>
  </si>
  <si>
    <t>ice|ice storm|storm|thanksgiving|virgin</t>
  </si>
  <si>
    <t>Mireille Enos</t>
  </si>
  <si>
    <t>Sabotage </t>
  </si>
  <si>
    <t>dea|drug cartel|kicked in the crotch|strip club|tough girl</t>
  </si>
  <si>
    <t>Juan JosÃ© Campanella</t>
  </si>
  <si>
    <t>Ricardo DarÃ­n</t>
  </si>
  <si>
    <t>The Secret in Their Eyes </t>
  </si>
  <si>
    <t>investigation|justice|murder|suspect|tension</t>
  </si>
  <si>
    <t>Argentina</t>
  </si>
  <si>
    <t>Agnieszka Holland</t>
  </si>
  <si>
    <t>Biography|Drama|Music</t>
  </si>
  <si>
    <t>Phyllida Law</t>
  </si>
  <si>
    <t>Copying Beethoven </t>
  </si>
  <si>
    <t>music copyist|music student|musical composition|student|symphony</t>
  </si>
  <si>
    <t>Harold Becker</t>
  </si>
  <si>
    <t>Domestic Disturbance </t>
  </si>
  <si>
    <t>amateur detective|boat builder|boy|stepfather|witness</t>
  </si>
  <si>
    <t>Julie Taymor</t>
  </si>
  <si>
    <t>Drama|Fantasy|Musical|Romance</t>
  </si>
  <si>
    <t>Jim Sturgess</t>
  </si>
  <si>
    <t>Across the Universe </t>
  </si>
  <si>
    <t>anti war|liverpool|love|protest|song</t>
  </si>
  <si>
    <t>Herbert Ross</t>
  </si>
  <si>
    <t>Dianne Wiest</t>
  </si>
  <si>
    <t>Footloose </t>
  </si>
  <si>
    <t>church|cowboy boots|dancing|high school dance|teenager</t>
  </si>
  <si>
    <t>Eric Idle</t>
  </si>
  <si>
    <t>Casper </t>
  </si>
  <si>
    <t>casper|friendly ghost|ghost|maine|mansion</t>
  </si>
  <si>
    <t>Dave Borthwick</t>
  </si>
  <si>
    <t>Jimmy Fallon</t>
  </si>
  <si>
    <t>Doogal </t>
  </si>
  <si>
    <t>diamond|lava|magic|mountain|sorcerer</t>
  </si>
  <si>
    <t>Andy Tennant</t>
  </si>
  <si>
    <t>Action|Adventure|Comedy|Romance|Thriller</t>
  </si>
  <si>
    <t>Fool's Gold </t>
  </si>
  <si>
    <t>debt|rapper|treasure|treasure hunter|yacht</t>
  </si>
  <si>
    <t>Ruben Fleischer</t>
  </si>
  <si>
    <t>Gangster Squad </t>
  </si>
  <si>
    <t>good versus evil|machine gun|mobster|police vigilantism|year 1949</t>
  </si>
  <si>
    <t>Quinton Aaron</t>
  </si>
  <si>
    <t>Be Kind Rewind </t>
  </si>
  <si>
    <t>friend|power plant|sabotage|store clerk|video store</t>
  </si>
  <si>
    <t>Thor Freudenthal</t>
  </si>
  <si>
    <t>ChloÃ« Grace Moretz</t>
  </si>
  <si>
    <t>Diary of a Wimpy Kid </t>
  </si>
  <si>
    <t>cheese|diary|friend|middle school|school</t>
  </si>
  <si>
    <t>Lethal Weapon 4 </t>
  </si>
  <si>
    <t>kung fu|lapd|martial arts|private investigator|triad</t>
  </si>
  <si>
    <t>Derrick Borte</t>
  </si>
  <si>
    <t>The Joneses </t>
  </si>
  <si>
    <t>envy|fake family|gadget|materialism|unhappy marriage</t>
  </si>
  <si>
    <t>Guardians of the Galaxy </t>
  </si>
  <si>
    <t>bounty hunter|outer space|raccoon|talking animal|tree</t>
  </si>
  <si>
    <t>James Cox</t>
  </si>
  <si>
    <t>Alexis Dziena</t>
  </si>
  <si>
    <t>Wonderland </t>
  </si>
  <si>
    <t>murder|police|police investigation|porn star|robbery</t>
  </si>
  <si>
    <t>Air Force One </t>
  </si>
  <si>
    <t>ex soldier|hijacker|hostage|president|terrorist</t>
  </si>
  <si>
    <t>John Lasseter</t>
  </si>
  <si>
    <t>A Bug's Life </t>
  </si>
  <si>
    <t>ant|circus|grasshopper|misunderstanding|overhearing</t>
  </si>
  <si>
    <t>Lee Daniels</t>
  </si>
  <si>
    <t>Mo'Nique</t>
  </si>
  <si>
    <t>Precious </t>
  </si>
  <si>
    <t>abuse|african american lesbian|lesbian|lesbian couple|school</t>
  </si>
  <si>
    <t>Gremlins 2: The New Batch </t>
  </si>
  <si>
    <t>gremlin|horror host|hulk hogan|monster|skyscraper</t>
  </si>
  <si>
    <t>Dave Green</t>
  </si>
  <si>
    <t>Adventure|Family|Sci-Fi</t>
  </si>
  <si>
    <t>Teo Halm</t>
  </si>
  <si>
    <t>Earth to Echo </t>
  </si>
  <si>
    <t>alien|bar|construction worker|no opening credits|no title at beginning</t>
  </si>
  <si>
    <t>Ron Fricke</t>
  </si>
  <si>
    <t>Collin Alfredo St. Dic</t>
  </si>
  <si>
    <t>Samsara </t>
  </si>
  <si>
    <t>hall of mirrors|mont saint michel france|palace of versailles|turkey the country|yellowstone national park</t>
  </si>
  <si>
    <t>None</t>
  </si>
  <si>
    <t>Larry Charles</t>
  </si>
  <si>
    <t>Sayed Badreya</t>
  </si>
  <si>
    <t>The Dictator </t>
  </si>
  <si>
    <t>dictator|hotel|oil|overalls|sunglasses</t>
  </si>
  <si>
    <t>Lucky McKee</t>
  </si>
  <si>
    <t>James Duval</t>
  </si>
  <si>
    <t>May </t>
  </si>
  <si>
    <t>case|doll|dry humor|friend|love</t>
  </si>
  <si>
    <t>George Tillman Jr.</t>
  </si>
  <si>
    <t>Faster </t>
  </si>
  <si>
    <t>gun|prison|reference to god|reference to jesus christ|vengeance</t>
  </si>
  <si>
    <t>Groundhog Day </t>
  </si>
  <si>
    <t>cult film|existentialism|groundhog day|time loop|trapped in a time loop</t>
  </si>
  <si>
    <t>Charles Ferguson</t>
  </si>
  <si>
    <t>Documentary|War</t>
  </si>
  <si>
    <t>Campbell Scott</t>
  </si>
  <si>
    <t>No End in Sight </t>
  </si>
  <si>
    <t>american politics|iraq|iraq war|occupation|white house</t>
  </si>
  <si>
    <t>John Singleton</t>
  </si>
  <si>
    <t>Ken Arnold</t>
  </si>
  <si>
    <t>Abduction </t>
  </si>
  <si>
    <t>assassin|high school|on the run|teenager|website</t>
  </si>
  <si>
    <t>Michael Radford</t>
  </si>
  <si>
    <t>The Merchant of Venice </t>
  </si>
  <si>
    <t>debt|jew|loan|merchant|pound of flesh</t>
  </si>
  <si>
    <t>Wolfgang Becker</t>
  </si>
  <si>
    <t>Florian Lukas</t>
  </si>
  <si>
    <t>Good Bye Lenin! </t>
  </si>
  <si>
    <t>coma|east germany|german democratic republic|germany|heart attack</t>
  </si>
  <si>
    <t>Jim Sonzero</t>
  </si>
  <si>
    <t>Drama|Horror|Sci-Fi|Thriller</t>
  </si>
  <si>
    <t>Ian Somerhalder</t>
  </si>
  <si>
    <t>Pulse </t>
  </si>
  <si>
    <t>cell phone|computer|computer hacker|e mail|technology</t>
  </si>
  <si>
    <t>Comedy|Fantasy|Horror|Thriller</t>
  </si>
  <si>
    <t>Arachnophobia </t>
  </si>
  <si>
    <t>arachnophobia|death|doctor|small town|spider</t>
  </si>
  <si>
    <t>Chris Koch</t>
  </si>
  <si>
    <t>Thomas Lennon</t>
  </si>
  <si>
    <t>A Guy Thing </t>
  </si>
  <si>
    <t>bachelor party|climbing a tree|taxi|toilet|wedding</t>
  </si>
  <si>
    <t>Robert Forster</t>
  </si>
  <si>
    <t>Me, Myself &amp; Irene </t>
  </si>
  <si>
    <t>dissociative identity disorder|limousine|multiple personality|police|rhode island</t>
  </si>
  <si>
    <t>Jonathan Frakes</t>
  </si>
  <si>
    <t>Action|Adventure|Comedy|Sci-Fi|Thriller</t>
  </si>
  <si>
    <t>Clockstoppers </t>
  </si>
  <si>
    <t>frozen time|stopped time|time freeze|watch|wristwatch</t>
  </si>
  <si>
    <t>Jean-FranÃ§ois Richet</t>
  </si>
  <si>
    <t>Assault on Precinct 13 </t>
  </si>
  <si>
    <t>criminal|mobster|new year's eve|police|sergeant</t>
  </si>
  <si>
    <t>Dito Montiel</t>
  </si>
  <si>
    <t>The Son of No One </t>
  </si>
  <si>
    <t>housing project|letter|man with glasses|murder|subjective camera</t>
  </si>
  <si>
    <t>Carlos Saldanha</t>
  </si>
  <si>
    <t>Denis Leary</t>
  </si>
  <si>
    <t>Ice Age: Dawn of the Dinosaurs </t>
  </si>
  <si>
    <t>egg|lost world|rescue|squirrel|weasel</t>
  </si>
  <si>
    <t>Roger Avary</t>
  </si>
  <si>
    <t>Eric Stoltz</t>
  </si>
  <si>
    <t>Killing Zoe </t>
  </si>
  <si>
    <t>bank|bastille day|call girl|childhood friend|drugs</t>
  </si>
  <si>
    <t>Robert Schwentke</t>
  </si>
  <si>
    <t>RED </t>
  </si>
  <si>
    <t>cia|female assassin|interrogation|office cubicle|spy</t>
  </si>
  <si>
    <t>Tom Brady</t>
  </si>
  <si>
    <t>Don Johnson</t>
  </si>
  <si>
    <t>Bucky Larson: Born to Be a Star </t>
  </si>
  <si>
    <t>diner|eating a banana|masturbation|porn star|shooting a pornographic movie</t>
  </si>
  <si>
    <t>Stephen Sommers</t>
  </si>
  <si>
    <t>Adventure|Comedy|Drama|Family</t>
  </si>
  <si>
    <t>The Adventures of Huck Finn </t>
  </si>
  <si>
    <t>boy|lesson|mississippi river|river|slave</t>
  </si>
  <si>
    <t>Audrey Wells</t>
  </si>
  <si>
    <t>Raoul Bova</t>
  </si>
  <si>
    <t>Under the Tuscan Sun </t>
  </si>
  <si>
    <t>author|book|vacation|villa|writer</t>
  </si>
  <si>
    <t>Sydney Pollack</t>
  </si>
  <si>
    <t>Curtiss Cook</t>
  </si>
  <si>
    <t>The Interpreter </t>
  </si>
  <si>
    <t>african|assassination|dialect|interpreter|threat</t>
  </si>
  <si>
    <t>Aboriginal</t>
  </si>
  <si>
    <t>John Carney</t>
  </si>
  <si>
    <t>Begin Again </t>
  </si>
  <si>
    <t>manhattan new york city|new york city|record label|singer|song</t>
  </si>
  <si>
    <t>Ulu Grosbard</t>
  </si>
  <si>
    <t>Alexa PenaVega</t>
  </si>
  <si>
    <t>The Deep End of the Ocean </t>
  </si>
  <si>
    <t>basketball|boy|italian|kidnapping a child|reunion</t>
  </si>
  <si>
    <t>Stephen Carpenter</t>
  </si>
  <si>
    <t>Drama|Horror|Mystery|Thriller</t>
  </si>
  <si>
    <t>Melissa Sagemiller</t>
  </si>
  <si>
    <t>Soul Survivors </t>
  </si>
  <si>
    <t>car accident|college|ghost|girl in panties|white panties</t>
  </si>
  <si>
    <t>Paul Greengrass</t>
  </si>
  <si>
    <t>Jason Bourne </t>
  </si>
  <si>
    <t>black ops|chase|cia|cia agent|repeated scene</t>
  </si>
  <si>
    <t>Drama|Fantasy|Horror|Thriller</t>
  </si>
  <si>
    <t>Christine Taylor</t>
  </si>
  <si>
    <t>The Craft </t>
  </si>
  <si>
    <t>coven|occult|outcast|spell|witch</t>
  </si>
  <si>
    <t>We Are Marshall </t>
  </si>
  <si>
    <t>coach|football|football team|marshall university|university</t>
  </si>
  <si>
    <t>Adventure|Animation|Comedy|Family|Sport</t>
  </si>
  <si>
    <t>Cars 2 </t>
  </si>
  <si>
    <t>best friend|car race|conspiracy|gadget car|spy</t>
  </si>
  <si>
    <t>Stanley Kubrick</t>
  </si>
  <si>
    <t>Keir Dullea</t>
  </si>
  <si>
    <t>2001: A Space Odyssey </t>
  </si>
  <si>
    <t>ancient astronaut|famous line|message from outer space|monolith|star child</t>
  </si>
  <si>
    <t>Joe Camp</t>
  </si>
  <si>
    <t>Adventure|Family|Romance</t>
  </si>
  <si>
    <t>Frances Bavier</t>
  </si>
  <si>
    <t>Benji </t>
  </si>
  <si>
    <t>animal abuse|cat|dog|dog movie|tween girl</t>
  </si>
  <si>
    <t>Stephen Frears</t>
  </si>
  <si>
    <t>High Fidelity </t>
  </si>
  <si>
    <t>employer employee relationship|record store|store|thirty something|vinyl</t>
  </si>
  <si>
    <t>The Fountain </t>
  </si>
  <si>
    <t>eternity|love|mayan|tree|tree of life</t>
  </si>
  <si>
    <t>Beeban Kidron</t>
  </si>
  <si>
    <t>Bridget Jones: The Edge of Reason </t>
  </si>
  <si>
    <t>american actress playing british character|intern|prison|six word title|thailand</t>
  </si>
  <si>
    <t>Action|Horror|Sci-Fi</t>
  </si>
  <si>
    <t>Alien: Resurrection </t>
  </si>
  <si>
    <t>alien|blood|breeding|clone|scientist</t>
  </si>
  <si>
    <t>Action|Drama|Sci-Fi</t>
  </si>
  <si>
    <t>Connie Nielsen</t>
  </si>
  <si>
    <t>Soldier </t>
  </si>
  <si>
    <t>crash survivor|planet|sergeant|soldier|survivor</t>
  </si>
  <si>
    <t>Extremely Loud &amp; Incredibly Close </t>
  </si>
  <si>
    <t>fear|mourning|mute|quest|revelation</t>
  </si>
  <si>
    <t>Ray Lawrence</t>
  </si>
  <si>
    <t>John Howard</t>
  </si>
  <si>
    <t>Jindabyne </t>
  </si>
  <si>
    <t>camp|fishing|fishing trip|river|town</t>
  </si>
  <si>
    <t>Pete Docter</t>
  </si>
  <si>
    <t>John Ratzenberger</t>
  </si>
  <si>
    <t>Up </t>
  </si>
  <si>
    <t>balloon|house|promise|retirement|skeleton</t>
  </si>
  <si>
    <t>Captain Phillips </t>
  </si>
  <si>
    <t>hijacking|hostage|leader|ship|somalia</t>
  </si>
  <si>
    <t>Biography|Drama|Music|Musical</t>
  </si>
  <si>
    <t>Kevin McNally</t>
  </si>
  <si>
    <t>De-Lovely </t>
  </si>
  <si>
    <t>cole porter|composer|love|party|tears</t>
  </si>
  <si>
    <t>Comedy|Drama|Fantasy</t>
  </si>
  <si>
    <t>Scrooged </t>
  </si>
  <si>
    <t>christmas|compassion|executive|ghost|redemption</t>
  </si>
  <si>
    <t>Fernanda Andrade</t>
  </si>
  <si>
    <t>The Devil Inside </t>
  </si>
  <si>
    <t>critically bashed|demonic possession|exorcism|exorcist|found footage</t>
  </si>
  <si>
    <t>Brad Anderson</t>
  </si>
  <si>
    <t>Thomas Kretschmann</t>
  </si>
  <si>
    <t>Transsiberian </t>
  </si>
  <si>
    <t>35 mm digital camera|drugs|murder|train|travel</t>
  </si>
  <si>
    <t>Action|Comedy|Fantasy</t>
  </si>
  <si>
    <t>Ryan Reynolds</t>
  </si>
  <si>
    <t>R.I.P.D. </t>
  </si>
  <si>
    <t>drug dealer|gold|partner|police|undead</t>
  </si>
  <si>
    <t>Joe Berlinger</t>
  </si>
  <si>
    <t>Adventure|Fantasy|Horror|Mystery|Thriller</t>
  </si>
  <si>
    <t>Kim Director</t>
  </si>
  <si>
    <t>Book of Shadows: Blair Witch 2 </t>
  </si>
  <si>
    <t>convenience store|digit in title|punctuation in title|violence|witch</t>
  </si>
  <si>
    <t>Gareth Edwards</t>
  </si>
  <si>
    <t>Scoot McNairy</t>
  </si>
  <si>
    <t>Monsters </t>
  </si>
  <si>
    <t>alien|alien invasion|destroyed building|destruction|mexico</t>
  </si>
  <si>
    <t>Comedy|Drama|Family|Sport</t>
  </si>
  <si>
    <t>Lane Smith</t>
  </si>
  <si>
    <t>The Mighty Ducks </t>
  </si>
  <si>
    <t>coach|hockey team|lawyer|respect|team</t>
  </si>
  <si>
    <t>Richard Lester</t>
  </si>
  <si>
    <t>Comedy|Musical</t>
  </si>
  <si>
    <t>Paul McCartney</t>
  </si>
  <si>
    <t>A Hard Day's Night </t>
  </si>
  <si>
    <t>boy|concert|drummer|manager|television</t>
  </si>
  <si>
    <t>Dennie Gordon</t>
  </si>
  <si>
    <t>Comedy|Crime|Family|Romance</t>
  </si>
  <si>
    <t>Mary-Kate Olsen</t>
  </si>
  <si>
    <t>New York Minute </t>
  </si>
  <si>
    <t>dog|new york city|scholarship|senator|twin</t>
  </si>
  <si>
    <t>Duncan Jones</t>
  </si>
  <si>
    <t>Dominic Cooper</t>
  </si>
  <si>
    <t>Warcraft </t>
  </si>
  <si>
    <t>based on video game|fictional language|fictional war|orc|sword and sorcery</t>
  </si>
  <si>
    <t>Bruce Beresford</t>
  </si>
  <si>
    <t>Driving Miss Daisy </t>
  </si>
  <si>
    <t>1950s|african american|jewish|old age|widow</t>
  </si>
  <si>
    <t>Tim McCanlies</t>
  </si>
  <si>
    <t>Secondhand Lions </t>
  </si>
  <si>
    <t>africa|eyeglasses|money|texas|veteran</t>
  </si>
  <si>
    <t>Allen Coulter</t>
  </si>
  <si>
    <t>Remember Me </t>
  </si>
  <si>
    <t>binge drinking|new york|new york city|september 11 2001|suicide</t>
  </si>
  <si>
    <t>David Frankel</t>
  </si>
  <si>
    <t>Hope Springs </t>
  </si>
  <si>
    <t>couple|intimacy|marriage|marriage counseling|middle age couple</t>
  </si>
  <si>
    <t>Crime|Drama|Fantasy</t>
  </si>
  <si>
    <t>Perfume: The Story of a Murderer </t>
  </si>
  <si>
    <t>18th century|perfume|scent|sense of smell|smell</t>
  </si>
  <si>
    <t>Seth Gilliam</t>
  </si>
  <si>
    <t>Jefferson in Paris </t>
  </si>
  <si>
    <t>18th century|ambassador|french revolution|friendship|thomas jefferson</t>
  </si>
  <si>
    <t>Joe Wright</t>
  </si>
  <si>
    <t>Pan </t>
  </si>
  <si>
    <t>1940s|child hero|fantasy world|orphan|reference to peter pan</t>
  </si>
  <si>
    <t>John Michael Higgins</t>
  </si>
  <si>
    <t>Fun with Dick and Jane </t>
  </si>
  <si>
    <t>animal abuse|ceo|heist|suburb|unemployment</t>
  </si>
  <si>
    <t>Tony Scott</t>
  </si>
  <si>
    <t>True Romance </t>
  </si>
  <si>
    <t>aspiring actor|cocaine|drugs|pimp|suitcase full of money</t>
  </si>
  <si>
    <t>Dan Gilroy</t>
  </si>
  <si>
    <t>Jake Gyllenhaal</t>
  </si>
  <si>
    <t>Nightcrawler </t>
  </si>
  <si>
    <t>employer employee relationship|ethics|journalism|sociopath|tv news</t>
  </si>
  <si>
    <t>DemiÃ¡n Bichir</t>
  </si>
  <si>
    <t>Savages </t>
  </si>
  <si>
    <t>arms tied overhead|damsel in distress|dea|marijuana|southern california</t>
  </si>
  <si>
    <t>Ethan Embry</t>
  </si>
  <si>
    <t>Sweet Home Alabama </t>
  </si>
  <si>
    <t>alabama|divorce|divorce papers|husband wife relationship|new york city</t>
  </si>
  <si>
    <t>Gregory Widen</t>
  </si>
  <si>
    <t>Action|Fantasy|Horror|Mystery|Thriller</t>
  </si>
  <si>
    <t>The Prophecy </t>
  </si>
  <si>
    <t>angel|corpse|girl|heaven|soul</t>
  </si>
  <si>
    <t>Billy Ray</t>
  </si>
  <si>
    <t>Hayden Christensen</t>
  </si>
  <si>
    <t>Shattered Glass </t>
  </si>
  <si>
    <t>fabricated facts|journalist|stephen glass|the new republic|writer</t>
  </si>
  <si>
    <t>Jafar Panahi</t>
  </si>
  <si>
    <t>Fereshteh Sadre Orafaiy</t>
  </si>
  <si>
    <t>The Circle </t>
  </si>
  <si>
    <t>abortion|bus|hospital|prison|prostitution</t>
  </si>
  <si>
    <t>Persian</t>
  </si>
  <si>
    <t>Iran</t>
  </si>
  <si>
    <t>Sylvester Stallone</t>
  </si>
  <si>
    <t>Daylight </t>
  </si>
  <si>
    <t>collapsing tunnel|explosion|new jersey|tunnel|weimaraner</t>
  </si>
  <si>
    <t>Ivan Reitman</t>
  </si>
  <si>
    <t>Richard Tyson</t>
  </si>
  <si>
    <t>Kindergarten Cop </t>
  </si>
  <si>
    <t>astoria|kindergarten|kindergarten teacher|school|teacher</t>
  </si>
  <si>
    <t>The Replacement Killers </t>
  </si>
  <si>
    <t>forger|hitman|passport|police|replacement</t>
  </si>
  <si>
    <t>NimrÃ³d Antal</t>
  </si>
  <si>
    <t>Topher Grace</t>
  </si>
  <si>
    <t>Predators </t>
  </si>
  <si>
    <t>kicked in the face|martial arts|punched in the face|strong female character|woman punching a man</t>
  </si>
  <si>
    <t>The Sorcerer's Apprentice </t>
  </si>
  <si>
    <t>chosen one|enchanted object|love|spell|training</t>
  </si>
  <si>
    <t>Ari Sandel</t>
  </si>
  <si>
    <t>Bella Thorne</t>
  </si>
  <si>
    <t>The DUFF </t>
  </si>
  <si>
    <t>cartoon on tv|generation y|high school|overalls|strong female character</t>
  </si>
  <si>
    <t>Baby Boy </t>
  </si>
  <si>
    <t>cartoon on tv|family relationships|physical abuse|single parent|two word title</t>
  </si>
  <si>
    <t>Harry F. Millarde</t>
  </si>
  <si>
    <t>Stephen Carr</t>
  </si>
  <si>
    <t>Over the Hill to the Poorhouse </t>
  </si>
  <si>
    <t>family relationships|gang|idler|poorhouse|thief</t>
  </si>
  <si>
    <t>Death Race </t>
  </si>
  <si>
    <t>armored car|car|murder|prison|warden</t>
  </si>
  <si>
    <t>Des McAnuff</t>
  </si>
  <si>
    <t>The Adventures of Rocky &amp; Bullwinkle </t>
  </si>
  <si>
    <t>deforestation|fbi|lighthouse|moose|squirrel</t>
  </si>
  <si>
    <t>Brandon Camp</t>
  </si>
  <si>
    <t>Love Happens </t>
  </si>
  <si>
    <t>florist|motivational speaker|self help guru|seminar|widower</t>
  </si>
  <si>
    <t>Hal Needham</t>
  </si>
  <si>
    <t>Barry Bostwick</t>
  </si>
  <si>
    <t>Megaforce </t>
  </si>
  <si>
    <t>dictator|electronic music score|one word title|secret headquarters|soldier</t>
  </si>
  <si>
    <t>Side Effects </t>
  </si>
  <si>
    <t>clinical trial|female protagonist|neuropharmacology|psychiatrist|side effect</t>
  </si>
  <si>
    <t>David Dobkin</t>
  </si>
  <si>
    <t>Janeane Garofalo</t>
  </si>
  <si>
    <t>Clay Pigeons </t>
  </si>
  <si>
    <t>breasts|serial killer|small town|vomiting|widow</t>
  </si>
  <si>
    <t>J Blakeson</t>
  </si>
  <si>
    <t>The 5th Wave </t>
  </si>
  <si>
    <t>alien|attack|based on novel|based on young adult novel|fear</t>
  </si>
  <si>
    <t>Tomm Moore</t>
  </si>
  <si>
    <t>Sean Lennon</t>
  </si>
  <si>
    <t>The Secret of Kells </t>
  </si>
  <si>
    <t>barbarian|fairy|forest|monastery|unfinished book</t>
  </si>
  <si>
    <t>Terry George</t>
  </si>
  <si>
    <t>Hotel Rwanda </t>
  </si>
  <si>
    <t>atrocity|central africa|ethnic warfare|united nations peace keeping force|united nations soldier</t>
  </si>
  <si>
    <t>Trent Cooper</t>
  </si>
  <si>
    <t>Thomas F. Wilson</t>
  </si>
  <si>
    <t>Larry the Cable Guy: Health Inspector </t>
  </si>
  <si>
    <t>diner|food poisoning|health inspector|restaurant|undercover</t>
  </si>
  <si>
    <t>Henry Alex Rubin</t>
  </si>
  <si>
    <t>Mark Zupan</t>
  </si>
  <si>
    <t>Murderball </t>
  </si>
  <si>
    <t>paralympics|quad rugby|rugby|team|wheelchair</t>
  </si>
  <si>
    <t>Don Scardino</t>
  </si>
  <si>
    <t>The Incredible Burt Wonderstone </t>
  </si>
  <si>
    <t>magic|magic kit|magician|stage magician|vegas</t>
  </si>
  <si>
    <t>Glen Hansard</t>
  </si>
  <si>
    <t>Once </t>
  </si>
  <si>
    <t>immigrant|independent film|song|street|vacuum cleaner</t>
  </si>
  <si>
    <t>Richard Linklater</t>
  </si>
  <si>
    <t>Dazed and Confused </t>
  </si>
  <si>
    <t>football|hazing|high school|last day of school|pledge</t>
  </si>
  <si>
    <t>Walter Hill</t>
  </si>
  <si>
    <t>Supernova </t>
  </si>
  <si>
    <t>deep space|distress signal|explosion|mining|rescue</t>
  </si>
  <si>
    <t>Nick Stahl</t>
  </si>
  <si>
    <t>Terminator 3: Rise of the Machines </t>
  </si>
  <si>
    <t>drifter|exploding truck|future|machine|skynet</t>
  </si>
  <si>
    <t>Barbra Streisand</t>
  </si>
  <si>
    <t>George Carlin</t>
  </si>
  <si>
    <t>The Prince of Tides </t>
  </si>
  <si>
    <t>new york|psychiatrist|shrimper|south carolina|twins</t>
  </si>
  <si>
    <t>Joe Don Baker</t>
  </si>
  <si>
    <t>The Living Daylights </t>
  </si>
  <si>
    <t>british agent|defection|escape|kgb|soviet general</t>
  </si>
  <si>
    <t>Adventure|Comedy|Crime|Romance</t>
  </si>
  <si>
    <t>The Mexican </t>
  </si>
  <si>
    <t>curse|hostage|mexico|pistol|vomiting</t>
  </si>
  <si>
    <t>Jonathan Demme</t>
  </si>
  <si>
    <t>Philadelphia </t>
  </si>
  <si>
    <t>aids|city name in title|gay|homophobia|lawyer</t>
  </si>
  <si>
    <t>There's Something About Mary </t>
  </si>
  <si>
    <t>accident|curtain call|dream girl|high school|prom</t>
  </si>
  <si>
    <t>Alex Proyas</t>
  </si>
  <si>
    <t>Gods of Egypt </t>
  </si>
  <si>
    <t>ancient egypt|egypt|egyptian|egyptian god|egyptian goddess</t>
  </si>
  <si>
    <t>Shekhar Kapur</t>
  </si>
  <si>
    <t>Fanny Ardant</t>
  </si>
  <si>
    <t>Elizabeth </t>
  </si>
  <si>
    <t>16th century|british royal family|catholic|queen|queen elizabeth i</t>
  </si>
  <si>
    <t>Stephen Hillenburg</t>
  </si>
  <si>
    <t>The SpongeBob SquarePants Movie </t>
  </si>
  <si>
    <t>based on tv series|crown|dream|king neptune|plankton</t>
  </si>
  <si>
    <t>Brian Dannelly</t>
  </si>
  <si>
    <t>Saved! </t>
  </si>
  <si>
    <t>christian|jewish|pastor|school|virginity</t>
  </si>
  <si>
    <t>Patricia Riggen</t>
  </si>
  <si>
    <t>Miracles from Heaven </t>
  </si>
  <si>
    <t>child cancer|christian film|christianity|falling into a hole|inspiring</t>
  </si>
  <si>
    <t>Jonathan Teplitzky</t>
  </si>
  <si>
    <t>Biography|Drama|Romance|War</t>
  </si>
  <si>
    <t>The Railway Man </t>
  </si>
  <si>
    <t>japanese soldier|physical torture|pow camp|prisoner of war|reference to adolf hitler</t>
  </si>
  <si>
    <t>Minority Report </t>
  </si>
  <si>
    <t>future|murder|neo noir|washington d.c.|year 2054</t>
  </si>
  <si>
    <t>Richard Fleischer</t>
  </si>
  <si>
    <t>Joseph Cotten</t>
  </si>
  <si>
    <t>Tora! Tora! Tora! </t>
  </si>
  <si>
    <t>attack|hawaii|navy|pearl harbor|u.s. navy</t>
  </si>
  <si>
    <t>Les Mayfield</t>
  </si>
  <si>
    <t>Blue Streak </t>
  </si>
  <si>
    <t>detective|diamond|jewel|police|thief</t>
  </si>
  <si>
    <t>Animation|Comedy|Family|Fantasy|Music</t>
  </si>
  <si>
    <t>Amy Poehler</t>
  </si>
  <si>
    <t>Alvin and the Chipmunks: The Squeakquel </t>
  </si>
  <si>
    <t>adidas|chipmunk|hospital|school|waste container</t>
  </si>
  <si>
    <t>Adventure|Comedy|Fantasy</t>
  </si>
  <si>
    <t>Monty Python and the Holy Grail </t>
  </si>
  <si>
    <t>camelot|holy grail|king arthur|knight|lancelot</t>
  </si>
  <si>
    <t>Tina Gordon Chism</t>
  </si>
  <si>
    <t>Tyler James Williams</t>
  </si>
  <si>
    <t>Peeples </t>
  </si>
  <si>
    <t>african american</t>
  </si>
  <si>
    <t>Mort Nathan</t>
  </si>
  <si>
    <t>Boat Trip </t>
  </si>
  <si>
    <t>gay|hot air balloon|rejecting a marriage proposal|talking to a dog|vomiting on someone</t>
  </si>
  <si>
    <t>Adventure|Comedy|Drama|Fantasy|Romance</t>
  </si>
  <si>
    <t>Adam Scott</t>
  </si>
  <si>
    <t>The Secret Life of Walter Mitty </t>
  </si>
  <si>
    <t>daydream|life magazine|magazine|photographer|snow leopard</t>
  </si>
  <si>
    <t>David Nixon</t>
  </si>
  <si>
    <t>Robyn Lively</t>
  </si>
  <si>
    <t>Letters to God </t>
  </si>
  <si>
    <t>cancer|faith|hope|letter|prayer</t>
  </si>
  <si>
    <t>Michael Mann</t>
  </si>
  <si>
    <t>Biography|Crime|Drama|History|Romance</t>
  </si>
  <si>
    <t>Public Enemies </t>
  </si>
  <si>
    <t>1930s|bank|celebrity criminal|fbi|public enemy number one</t>
  </si>
  <si>
    <t>Raging Bull </t>
  </si>
  <si>
    <t>boxing|domestic violence|hot temper|jealousy|rage</t>
  </si>
  <si>
    <t>Lucio Fulci</t>
  </si>
  <si>
    <t>Catriona MacColl</t>
  </si>
  <si>
    <t>The Beyond </t>
  </si>
  <si>
    <t>doctor|hell|hotel|painter|plumber</t>
  </si>
  <si>
    <t>Isabel Coixet</t>
  </si>
  <si>
    <t>Sarah Polley</t>
  </si>
  <si>
    <t>My Life Without Me </t>
  </si>
  <si>
    <t>cancer|death|doctor|drinking|love</t>
  </si>
  <si>
    <t>Spanglish </t>
  </si>
  <si>
    <t>chef|college|housekeeper|letter|mexico</t>
  </si>
  <si>
    <t>The Fast and the Furious </t>
  </si>
  <si>
    <t>eighteen wheeler|illegal street racing|truck|trucker|undercover cop</t>
  </si>
  <si>
    <t>Taylor Hackford</t>
  </si>
  <si>
    <t>Parker </t>
  </si>
  <si>
    <t>action hero|disguise|hospital|real estate agent|thief</t>
  </si>
  <si>
    <t>Cicely Tyson</t>
  </si>
  <si>
    <t>Because of Winn-Dixie </t>
  </si>
  <si>
    <t>10 year old|dog|florida|girl|supermarket</t>
  </si>
  <si>
    <t>21 </t>
  </si>
  <si>
    <t>based on true story|blackjack|card counting|gambling|massachusetts institute of technology</t>
  </si>
  <si>
    <t>Pirates of the Caribbean: Dead Man's Chest </t>
  </si>
  <si>
    <t>box office hit|giant squid|heart|liar's dice|monster</t>
  </si>
  <si>
    <t>Platoon </t>
  </si>
  <si>
    <t>1960s|famous score|hero|vietnam|vietnam war</t>
  </si>
  <si>
    <t>Bennett Miller</t>
  </si>
  <si>
    <t>Moneyball </t>
  </si>
  <si>
    <t>baseball|meeting|statistics|strategy|voice over</t>
  </si>
  <si>
    <t>Adventure|Comedy|Family</t>
  </si>
  <si>
    <t>Frankie Muniz</t>
  </si>
  <si>
    <t>Big Fat Liar </t>
  </si>
  <si>
    <t>brunette|film producer|liar|prank|stunt</t>
  </si>
  <si>
    <t>Nick Love</t>
  </si>
  <si>
    <t>Hayley Atwell</t>
  </si>
  <si>
    <t>The Sweeney </t>
  </si>
  <si>
    <t>bank|criminal|detective|flying squad|policewoman</t>
  </si>
  <si>
    <t>Barry Sonnenfeld</t>
  </si>
  <si>
    <t>Action|Adventure|Comedy|Family|Fantasy|Sci-Fi</t>
  </si>
  <si>
    <t>Will Smith</t>
  </si>
  <si>
    <t>Men in Black 3 </t>
  </si>
  <si>
    <t>alien|criminal|m.i.b.|maximum security prison|prison</t>
  </si>
  <si>
    <t>Rich Moore</t>
  </si>
  <si>
    <t>Wreck-It Ralph </t>
  </si>
  <si>
    <t>arcade|candy|glitch|king|medal</t>
  </si>
  <si>
    <t>Patrick Read Johnson</t>
  </si>
  <si>
    <t>Ariana Richards</t>
  </si>
  <si>
    <t>Spaced Invaders </t>
  </si>
  <si>
    <t>alien|halloween|killer robot|outer space|wrestler costume</t>
  </si>
  <si>
    <t>Elizabeth Banks</t>
  </si>
  <si>
    <t>Movie 43 </t>
  </si>
  <si>
    <t>awkwardness|embarrassment|gross out|irreverence|shame</t>
  </si>
  <si>
    <t>Matthew Vaughn</t>
  </si>
  <si>
    <t>Elizabeth McGovern</t>
  </si>
  <si>
    <t>Kick-Ass </t>
  </si>
  <si>
    <t>comic book|female killer|hit in the crotch|narrated by character|reference to batman</t>
  </si>
  <si>
    <t>Alexander Payne</t>
  </si>
  <si>
    <t>Hope Davis</t>
  </si>
  <si>
    <t>About Schmidt </t>
  </si>
  <si>
    <t>highway travel|on the road|retirement|road movie|wedding</t>
  </si>
  <si>
    <t>Brett Leonard</t>
  </si>
  <si>
    <t>Jeff Fahey</t>
  </si>
  <si>
    <t>The Lawnmower Man </t>
  </si>
  <si>
    <t>intelligence|science runs amok|scientist|supernatural power|virtual reality</t>
  </si>
  <si>
    <t>Patrick Lussier</t>
  </si>
  <si>
    <t>Dracula 2000 </t>
  </si>
  <si>
    <t>dracula|gothic|painting|rescue|van helsing</t>
  </si>
  <si>
    <t>Action|Horror|Thriller</t>
  </si>
  <si>
    <t>Grindhouse </t>
  </si>
  <si>
    <t>anthropophagus|blood and gore|double feature|real twins playing twins|zombie</t>
  </si>
  <si>
    <t>Marc F. Adler</t>
  </si>
  <si>
    <t>Adventure|Animation|Comedy|Fantasy|Romance</t>
  </si>
  <si>
    <t>Delgo </t>
  </si>
  <si>
    <t>box office flop|computer animation|one word title|surrealism|villainess</t>
  </si>
  <si>
    <t>Justin Theroux</t>
  </si>
  <si>
    <t>Duplex </t>
  </si>
  <si>
    <t>christmas|duplex|television|tenant|writer</t>
  </si>
  <si>
    <t>Genndy Tartakovsky</t>
  </si>
  <si>
    <t>Animation|Comedy|Family|Fantasy</t>
  </si>
  <si>
    <t>Hotel Transylvania </t>
  </si>
  <si>
    <t>dracula|hotel|invisible man|monster|transylvania</t>
  </si>
  <si>
    <t>Rick Famuyiwa</t>
  </si>
  <si>
    <t>Kimberly Elise</t>
  </si>
  <si>
    <t>Dope </t>
  </si>
  <si>
    <t>african american|geek|hip hop|party|tomboy</t>
  </si>
  <si>
    <t>Carlos Saura</t>
  </si>
  <si>
    <t>Drama|Musical</t>
  </si>
  <si>
    <t>MÃ­a Maestro</t>
  </si>
  <si>
    <t>Tango </t>
  </si>
  <si>
    <t>dancer|director|love|musical filmmaking|tango</t>
  </si>
  <si>
    <t>Tony Goldwyn</t>
  </si>
  <si>
    <t>A Walk on the Moon </t>
  </si>
  <si>
    <t>adulterous wife|cheating wife|summer|unfaithfulness|woodstock</t>
  </si>
  <si>
    <t>Ã‰mile Gaudreault</t>
  </si>
  <si>
    <t>Paul Sorvino</t>
  </si>
  <si>
    <t>Mambo Italiano </t>
  </si>
  <si>
    <t>gay|immigrant|italian|police|police officer</t>
  </si>
  <si>
    <t>Peter Kassovitz</t>
  </si>
  <si>
    <t>Jakob the Liar </t>
  </si>
  <si>
    <t>german|ghetto|hope|nazi|radio</t>
  </si>
  <si>
    <t>Baltasar KormÃ¡kur</t>
  </si>
  <si>
    <t>Contraband </t>
  </si>
  <si>
    <t>cocaine|contraband|drug lord|prison|smuggling</t>
  </si>
  <si>
    <t>Morgan J. Freeman</t>
  </si>
  <si>
    <t>Ethan Suplee</t>
  </si>
  <si>
    <t>Desert Blue </t>
  </si>
  <si>
    <t>cola|desert|ice cream cone|teenage girl|vomiting</t>
  </si>
  <si>
    <t>Djimon Hounsou</t>
  </si>
  <si>
    <t>The Tempest </t>
  </si>
  <si>
    <t>banishment|sorcery|spirit|staff|storm at sea</t>
  </si>
  <si>
    <t>Dan Scanlon</t>
  </si>
  <si>
    <t>Monsters University </t>
  </si>
  <si>
    <t>cheating|fraternity|monster|singing in a car|university</t>
  </si>
  <si>
    <t>Tim Holmes</t>
  </si>
  <si>
    <t>Oz the Great and Powerful </t>
  </si>
  <si>
    <t>circus|magic|magician|oz|witch</t>
  </si>
  <si>
    <t>Sheryl Lee</t>
  </si>
  <si>
    <t>Vampires </t>
  </si>
  <si>
    <t>cross|relic|team|vampire|vampire hunter</t>
  </si>
  <si>
    <t>Anton Corbijn</t>
  </si>
  <si>
    <t>A Most Wanted Man </t>
  </si>
  <si>
    <t>intelligence|intelligence agency|secret service|surveillance camera|war on terror</t>
  </si>
  <si>
    <t>Michael Wadleigh</t>
  </si>
  <si>
    <t>Documentary|History|Music</t>
  </si>
  <si>
    <t>Joe Cocker</t>
  </si>
  <si>
    <t>Woodstock </t>
  </si>
  <si>
    <t>drugs|hippie|music festival|the who|woodstock</t>
  </si>
  <si>
    <t>Oprah Winfrey</t>
  </si>
  <si>
    <t>The Color Purple </t>
  </si>
  <si>
    <t>book strap|girl|racial discrimination|racial tension|stereotype</t>
  </si>
  <si>
    <t>Paul Verhoeven</t>
  </si>
  <si>
    <t>Greg Grunberg</t>
  </si>
  <si>
    <t>Hollow Man </t>
  </si>
  <si>
    <t>experiment|research|scientist|suburb|surrealism</t>
  </si>
  <si>
    <t>Alice Through the Looking Glass </t>
  </si>
  <si>
    <t>clock|dark fantasy|mad hatter|queen|sequel</t>
  </si>
  <si>
    <t>Inside Llewyn Davis </t>
  </si>
  <si>
    <t>1960s|car hitting an animal|folk singer|friend|singer</t>
  </si>
  <si>
    <t>Brooklyn's Finest </t>
  </si>
  <si>
    <t>catholic|corrupt cop|new york city|police detective|police officer killed</t>
  </si>
  <si>
    <t>Hart Bochner</t>
  </si>
  <si>
    <t>PCU </t>
  </si>
  <si>
    <t>college|high school senior|meat|protest|university</t>
  </si>
  <si>
    <t>Johnny Cannizzaro</t>
  </si>
  <si>
    <t>Jersey Boys </t>
  </si>
  <si>
    <t>band|music group|musical quartet|singer|song</t>
  </si>
  <si>
    <t>Michael Ritchie</t>
  </si>
  <si>
    <t>Mara Wilson</t>
  </si>
  <si>
    <t>A Simple Wish </t>
  </si>
  <si>
    <t>8 year old|convention|magic|magic wand|male fairy godmother</t>
  </si>
  <si>
    <t>Patrick Macnee</t>
  </si>
  <si>
    <t>A View to a Kill </t>
  </si>
  <si>
    <t>computer|earthquake|microchip|official james bond series|silicon valley</t>
  </si>
  <si>
    <t>Alfred Hitchcock</t>
  </si>
  <si>
    <t>Janet Leigh</t>
  </si>
  <si>
    <t>Psycho </t>
  </si>
  <si>
    <t>money|motel|rain|shower|theft</t>
  </si>
  <si>
    <t>Kristin Lehman</t>
  </si>
  <si>
    <t>The Way of the Gun </t>
  </si>
  <si>
    <t>criminal|drifter|gangster|money|surrogate mother</t>
  </si>
  <si>
    <t>Lawrence Kasdan</t>
  </si>
  <si>
    <t>Dreamcatcher </t>
  </si>
  <si>
    <t>alien|friend|maine|military|woods</t>
  </si>
  <si>
    <t>Good Night, and Good Luck. </t>
  </si>
  <si>
    <t>cbs|expose|fear|paranoia|reporter</t>
  </si>
  <si>
    <t>Dan Cutforth</t>
  </si>
  <si>
    <t>Lexie Contursi</t>
  </si>
  <si>
    <t>Katy Perry: Part of Me </t>
  </si>
  <si>
    <t>female protagonist|reference to britney spears|singer|song|world tour</t>
  </si>
  <si>
    <t>Arie Posin</t>
  </si>
  <si>
    <t>Rory Culkin</t>
  </si>
  <si>
    <t>The Chumscrubber </t>
  </si>
  <si>
    <t>chumscrubber|death|friend|pills|school</t>
  </si>
  <si>
    <t>Hironobu Sakaguchi</t>
  </si>
  <si>
    <t>Action|Adventure|Animation|Fantasy|Romance|Sci-Fi</t>
  </si>
  <si>
    <t>Final Fantasy: The Spirits Within </t>
  </si>
  <si>
    <t>general|military|scientist|soldier|year 2065</t>
  </si>
  <si>
    <t>Pete Travis</t>
  </si>
  <si>
    <t>Wood Harris</t>
  </si>
  <si>
    <t>Dredd </t>
  </si>
  <si>
    <t>brutality|dark humor|female antagonist|female warrior|post apocalypse</t>
  </si>
  <si>
    <t>Louis Leterrier</t>
  </si>
  <si>
    <t>Clash of the Titans </t>
  </si>
  <si>
    <t>famous line|hand to hand combat|kraken|rape|zeus</t>
  </si>
  <si>
    <t>Greg Mottola</t>
  </si>
  <si>
    <t>Bobby Lee</t>
  </si>
  <si>
    <t>Paul </t>
  </si>
  <si>
    <t>alien|geek|nerd|road trip|ufo</t>
  </si>
  <si>
    <t>A Madea Christmas </t>
  </si>
  <si>
    <t>christmas|holiday|madea series|rural setting|stubbornness</t>
  </si>
  <si>
    <t>CÃ©dric Klapisch</t>
  </si>
  <si>
    <t>L'auberge espagnole </t>
  </si>
  <si>
    <t>apartment|erasmus|language|student|trip</t>
  </si>
  <si>
    <t>Sunny Mabrey</t>
  </si>
  <si>
    <t>xXx: State of the Union </t>
  </si>
  <si>
    <t>coup d'etat|mutiny|president|u.s. navy|washington d.c.</t>
  </si>
  <si>
    <t>Rodrigo CortÃ©s</t>
  </si>
  <si>
    <t>Buried </t>
  </si>
  <si>
    <t>buried alive|coffin|iraq|one person|single set production</t>
  </si>
  <si>
    <t>The Judge </t>
  </si>
  <si>
    <t>courtroom|dysfunctional family|indiana|lawyer|trial</t>
  </si>
  <si>
    <t>Gil Junger</t>
  </si>
  <si>
    <t>10 Things I Hate About You </t>
  </si>
  <si>
    <t>dating|protective father|school|shrew|teen movie</t>
  </si>
  <si>
    <t>Kat Coiro</t>
  </si>
  <si>
    <t>Justin Kirk</t>
  </si>
  <si>
    <t>L!fe Happens </t>
  </si>
  <si>
    <t>friendship|los angeles california|one night stand|roommate|single mother</t>
  </si>
  <si>
    <t>Joe Swanberg</t>
  </si>
  <si>
    <t>Anna Kendrick</t>
  </si>
  <si>
    <t>Happy Christmas </t>
  </si>
  <si>
    <t>chicago illinois|drink|drinking|filmmaker|writer</t>
  </si>
  <si>
    <t>Christopher Landon</t>
  </si>
  <si>
    <t>Richard Cabral</t>
  </si>
  <si>
    <t>Paranormal Activity: The Marked Ones </t>
  </si>
  <si>
    <t>apartment|blood|demonic possession|neighbor|pentagram</t>
  </si>
  <si>
    <t>Matthew Diamond</t>
  </si>
  <si>
    <t>Adventure|Family|Fantasy|Musical</t>
  </si>
  <si>
    <t>The Oogieloves in the Big Balloon Adventure </t>
  </si>
  <si>
    <t>balloon|birthday|box office flop|critically bashed</t>
  </si>
  <si>
    <t>Will Gluck</t>
  </si>
  <si>
    <t>Comedy|Drama|Family|Musical</t>
  </si>
  <si>
    <t>QuvenzhanÃ© Wallis</t>
  </si>
  <si>
    <t>Annie </t>
  </si>
  <si>
    <t>billionaire|business tycoon|mayoral candidate|penthouse|reference to star trek</t>
  </si>
  <si>
    <t>Tom Welling</t>
  </si>
  <si>
    <t>Cheaper by the Dozen </t>
  </si>
  <si>
    <t>9 year old|house|illinois|new job|vomiting</t>
  </si>
  <si>
    <t>Drama|History|Romance|War</t>
  </si>
  <si>
    <t>Vanessa Redgrave</t>
  </si>
  <si>
    <t>The White Countess </t>
  </si>
  <si>
    <t>countess|diplomat|japanese|russian|shanghai</t>
  </si>
  <si>
    <t>Alan Taylor</t>
  </si>
  <si>
    <t>Terminator Genisys </t>
  </si>
  <si>
    <t>alternate timeline|cyborg|future|robot|time machine</t>
  </si>
  <si>
    <t>Win a Date with Tad Hamilton! </t>
  </si>
  <si>
    <t>best friend|contest|date|small town|west virginia</t>
  </si>
  <si>
    <t>Alice in Wonderland </t>
  </si>
  <si>
    <t>alice in wonderland|mistaking reality for dream|queen|shrinking|shrinking potion</t>
  </si>
  <si>
    <t>Anna Muylaert</t>
  </si>
  <si>
    <t>Alex Huszar</t>
  </si>
  <si>
    <t>The Second Mother </t>
  </si>
  <si>
    <t>brazil|exam|housekeeper|northeast region of brazil|portuguese language</t>
  </si>
  <si>
    <t>Portuguese</t>
  </si>
  <si>
    <t>Brazil</t>
  </si>
  <si>
    <t>Monster-in-Law </t>
  </si>
  <si>
    <t>breakdown|fight|mother in law|scheme|wedding</t>
  </si>
  <si>
    <t>Salim Akil</t>
  </si>
  <si>
    <t>Omari Hardwick</t>
  </si>
  <si>
    <t>Sparkle </t>
  </si>
  <si>
    <t>1960s|death|girl group|nightclub|sister</t>
  </si>
  <si>
    <t>Meg Foster</t>
  </si>
  <si>
    <t>They Live </t>
  </si>
  <si>
    <t>alien|brainwashing|construction worker|sunglasses|teleportation</t>
  </si>
  <si>
    <t>Comedy|Mystery|Sci-Fi|Thriller</t>
  </si>
  <si>
    <t>Southland Tales </t>
  </si>
  <si>
    <t>amnesia|boxer|conspiracy|police|porn star</t>
  </si>
  <si>
    <t>Billy Bob Thornton</t>
  </si>
  <si>
    <t>Sling Blade </t>
  </si>
  <si>
    <t>friend|mental institution|murder|repair shop|small town</t>
  </si>
  <si>
    <t>The Lives of Others </t>
  </si>
  <si>
    <t>east germany|police|secret police|stasi|writer</t>
  </si>
  <si>
    <t>Hunter Richards</t>
  </si>
  <si>
    <t>London </t>
  </si>
  <si>
    <t>bar|coke|drugs|party|snorting</t>
  </si>
  <si>
    <t>Gary Ross</t>
  </si>
  <si>
    <t>The Hunger Games </t>
  </si>
  <si>
    <t>fight to the death|game|massacre|self survival|suicide attempt</t>
  </si>
  <si>
    <t>Janet Jackson</t>
  </si>
  <si>
    <t>Poetic Justice </t>
  </si>
  <si>
    <t>african american|mail carrier|poetry|postal worker|south central los angeles</t>
  </si>
  <si>
    <t>Judd Apatow</t>
  </si>
  <si>
    <t>Funny People </t>
  </si>
  <si>
    <t>breasts|comedian|craigslist|infidelity|stand up comedian</t>
  </si>
  <si>
    <t>Rachel Talalay</t>
  </si>
  <si>
    <t>Tank Girl </t>
  </si>
  <si>
    <t>2030s|21st century|desert|jet|tank</t>
  </si>
  <si>
    <t>Bart Freundlich</t>
  </si>
  <si>
    <t>Catch That Kid </t>
  </si>
  <si>
    <t>caper|computer genius|dog|heist|security chief</t>
  </si>
  <si>
    <t>William Dear</t>
  </si>
  <si>
    <t>The Perfect Game </t>
  </si>
  <si>
    <t>baseball movie|little league|little league baseball|mexico|three word title</t>
  </si>
  <si>
    <t>Joseph Kahn</t>
  </si>
  <si>
    <t>Dane Cook</t>
  </si>
  <si>
    <t>Torque </t>
  </si>
  <si>
    <t>murder|on the run|security camera|surveillance footage|timebomb</t>
  </si>
  <si>
    <t>Speed </t>
  </si>
  <si>
    <t>bomb|bus|elevator|explosive|rescue</t>
  </si>
  <si>
    <t>Nick Hurran</t>
  </si>
  <si>
    <t>Holly Hunter</t>
  </si>
  <si>
    <t>Little Black Book </t>
  </si>
  <si>
    <t>electronic devices|gynecologist|little black book|plan|set up</t>
  </si>
  <si>
    <t>Benson Lee</t>
  </si>
  <si>
    <t>Battle of the Year </t>
  </si>
  <si>
    <t>3 dimensional|box office flop|critically bashed|dancing</t>
  </si>
  <si>
    <t>Peter Landesman</t>
  </si>
  <si>
    <t>Concussion </t>
  </si>
  <si>
    <t>chronic traumatic encephalopathy|concussion|football|football player|pathologist</t>
  </si>
  <si>
    <t>Iain Softley</t>
  </si>
  <si>
    <t>Drama|Mystery|Sci-Fi</t>
  </si>
  <si>
    <t>K-PAX </t>
  </si>
  <si>
    <t>extraterrestrial|hospital|patient|planet|science</t>
  </si>
  <si>
    <t>Bruce Hunt</t>
  </si>
  <si>
    <t>The Cave </t>
  </si>
  <si>
    <t>cave|diver|diving|flare|parasite</t>
  </si>
  <si>
    <t>David Mamet</t>
  </si>
  <si>
    <t>Alice Braga</t>
  </si>
  <si>
    <t>Redbelt </t>
  </si>
  <si>
    <t>bar|debt|fight|instructor|jujitsu</t>
  </si>
  <si>
    <t>Action|Adventure|Biography|Drama|History|Romance|War</t>
  </si>
  <si>
    <t>Alexander </t>
  </si>
  <si>
    <t>ancient greece|conquest|greek|greek myth|king</t>
  </si>
  <si>
    <t>Jeremy Shada</t>
  </si>
  <si>
    <t>Team America: World Police </t>
  </si>
  <si>
    <t>actor|arab stereotype|broadway|terrorist|vomiting</t>
  </si>
  <si>
    <t>Kevin Rodney Sullivan</t>
  </si>
  <si>
    <t>Guess Who </t>
  </si>
  <si>
    <t>argument|engagement|family relationships|love|undressing</t>
  </si>
  <si>
    <t>Chris Columbus</t>
  </si>
  <si>
    <t>Home Alone </t>
  </si>
  <si>
    <t>airport|child protagonist|child swearing|christmas|home alone</t>
  </si>
  <si>
    <t>Mary Lambert</t>
  </si>
  <si>
    <t>Miko Hughes</t>
  </si>
  <si>
    <t>Pet Sematary </t>
  </si>
  <si>
    <t>cat|cemetery|maine|secret|woods</t>
  </si>
  <si>
    <t>Last Action Hero </t>
  </si>
  <si>
    <t>action hero|hero|magic|ticket|video store</t>
  </si>
  <si>
    <t>John Eng</t>
  </si>
  <si>
    <t>Adventure|Animation|Comedy|Family|Fantasy|Musical</t>
  </si>
  <si>
    <t>Elizabeth Daily</t>
  </si>
  <si>
    <t>Rugrats Go Wild </t>
  </si>
  <si>
    <t>kid|oxygen|rugrats|trapped underwater|underwater</t>
  </si>
  <si>
    <t>Evil Dead II </t>
  </si>
  <si>
    <t>cabin|cabin in the woods|demon|evil dead|woods</t>
  </si>
  <si>
    <t>Jean-Marc VallÃ©e</t>
  </si>
  <si>
    <t>Dallas Buyers Club </t>
  </si>
  <si>
    <t>drugs|fda|gay community|hiv|homophobia</t>
  </si>
  <si>
    <t>Dean DeBlois</t>
  </si>
  <si>
    <t>Adventure|Animation|Comedy|Drama|Family|Fantasy|Sci-Fi</t>
  </si>
  <si>
    <t>Tia Carrere</t>
  </si>
  <si>
    <t>Lilo &amp; Stitch </t>
  </si>
  <si>
    <t>alien|escape|fugitive|hawaii|social worker</t>
  </si>
  <si>
    <t>Isabelle Huppert</t>
  </si>
  <si>
    <t>Amour </t>
  </si>
  <si>
    <t>aging|daughter|old couple|old love|stroke</t>
  </si>
  <si>
    <t>Luis Valdez</t>
  </si>
  <si>
    <t>Esai Morales</t>
  </si>
  <si>
    <t>La Bamba </t>
  </si>
  <si>
    <t>crash|hispanic|interracial relationship|interracial romance|racism</t>
  </si>
  <si>
    <t>Anna Friel</t>
  </si>
  <si>
    <t>An Everlasting Piece </t>
  </si>
  <si>
    <t>alopecia|belfast northern ireland|ireland|irish republican army|scalper</t>
  </si>
  <si>
    <t>All the Pretty Horses </t>
  </si>
  <si>
    <t>1940s|cowboy|mexico|railway station|texas</t>
  </si>
  <si>
    <t>Zooey Deschanel</t>
  </si>
  <si>
    <t>Big Trouble </t>
  </si>
  <si>
    <t>airport|fbi agent|person in a car trunk|suitcase|suitcase bomb</t>
  </si>
  <si>
    <t>John Schultz</t>
  </si>
  <si>
    <t>Stephen Collins</t>
  </si>
  <si>
    <t>Drive Me Crazy </t>
  </si>
  <si>
    <t>centennial|girl|next door neighbor|prom|school</t>
  </si>
  <si>
    <t>Bottle Rocket </t>
  </si>
  <si>
    <t>caper|escapade|motel|robbery|texas</t>
  </si>
  <si>
    <t>Patrick Stettner</t>
  </si>
  <si>
    <t>The Night Listener </t>
  </si>
  <si>
    <t>boy|radio show|social worker|telephone|wisconsin</t>
  </si>
  <si>
    <t>Byron Howard</t>
  </si>
  <si>
    <t>Adventure|Animation|Comedy|Drama|Family</t>
  </si>
  <si>
    <t>Bolt </t>
  </si>
  <si>
    <t>cat|dog|hamster|new york city|superpower</t>
  </si>
  <si>
    <t>Randall Miller</t>
  </si>
  <si>
    <t>Bottle Shock </t>
  </si>
  <si>
    <t>airport|california|flat tire|overalls|wine</t>
  </si>
  <si>
    <t>Comedy|Mystery|Romance</t>
  </si>
  <si>
    <t>Monica Potter</t>
  </si>
  <si>
    <t>Head Over Heels </t>
  </si>
  <si>
    <t>apartment|fast motion scene|model|private investigation|suspected murder</t>
  </si>
  <si>
    <t>The Covenant </t>
  </si>
  <si>
    <t>family secret|friendship between men|magic|supernatural power|teenager</t>
  </si>
  <si>
    <t>Vernon Dobtcheff</t>
  </si>
  <si>
    <t>Before Sunset </t>
  </si>
  <si>
    <t>book|bookstore|love|simultaneity|train</t>
  </si>
  <si>
    <t>Little Fockers </t>
  </si>
  <si>
    <t>birthday|critically bashed|male nurse|nurse|suspicion</t>
  </si>
  <si>
    <t>Mickey Liddell</t>
  </si>
  <si>
    <t>Jessica Lowndes</t>
  </si>
  <si>
    <t>The Haunting of Molly Hartley </t>
  </si>
  <si>
    <t>18th birthday|birthday|community center|resurrection|teenager</t>
  </si>
  <si>
    <t>Todd Phillips</t>
  </si>
  <si>
    <t>Jon Heder</t>
  </si>
  <si>
    <t>School for Scoundrels </t>
  </si>
  <si>
    <t>paintball|paintball gun|pepper spray|tennis|what happened to epilogue</t>
  </si>
  <si>
    <t>Pat O'Connor</t>
  </si>
  <si>
    <t>Sweet November </t>
  </si>
  <si>
    <t>advertising|cancer|dog|san francisco california|terminal illness</t>
  </si>
  <si>
    <t>Get on the Bus </t>
  </si>
  <si>
    <t>actor|bus|march|million man march|religion</t>
  </si>
  <si>
    <t>Kirk De Micco</t>
  </si>
  <si>
    <t>The Croods </t>
  </si>
  <si>
    <t>cave|caveman|journey|strict father|survival</t>
  </si>
  <si>
    <t>Donnie Darko </t>
  </si>
  <si>
    <t>1980s|death|insanity|parallel universe|time travel</t>
  </si>
  <si>
    <t>Adventure|Drama|Thriller</t>
  </si>
  <si>
    <t>Blood Diamond </t>
  </si>
  <si>
    <t>diamond|elephant|fisherman|rebel|sierra leone</t>
  </si>
  <si>
    <t>Erika Christensen</t>
  </si>
  <si>
    <t>Flightplan </t>
  </si>
  <si>
    <t>captain|flight|flight attendant|plane|search</t>
  </si>
  <si>
    <t>Old School </t>
  </si>
  <si>
    <t>college|fraternity|friend|house|party</t>
  </si>
  <si>
    <t>John R. Leonetti</t>
  </si>
  <si>
    <t>Brian Thompson</t>
  </si>
  <si>
    <t>Mortal Kombat: Annihilation </t>
  </si>
  <si>
    <t>alternate reality|battle|martial arts|mortal kombat|warrior</t>
  </si>
  <si>
    <t>Steve Trenbirth</t>
  </si>
  <si>
    <t>Adventure|Animation|Family|Musical</t>
  </si>
  <si>
    <t>The Jungle Book 2 </t>
  </si>
  <si>
    <t>dog|jungle|shot gun|tiger|village</t>
  </si>
  <si>
    <t>Roy Scheider</t>
  </si>
  <si>
    <t>Jaws </t>
  </si>
  <si>
    <t>beach|blockbuster|fishing|great white shark|shark</t>
  </si>
  <si>
    <t>John Milius</t>
  </si>
  <si>
    <t>Adventure|Fantasy</t>
  </si>
  <si>
    <t>William Smith</t>
  </si>
  <si>
    <t>Conan the Barbarian </t>
  </si>
  <si>
    <t>actual animal killed|cult|evil sorcerer|gladiator|warlord</t>
  </si>
  <si>
    <t>The Virgin Suicides </t>
  </si>
  <si>
    <t>catholic|five sisters|isolation|school|suicide</t>
  </si>
  <si>
    <t>Adventure|Comedy|Drama|Fantasy</t>
  </si>
  <si>
    <t>Dogma </t>
  </si>
  <si>
    <t>abortion|abortion clinic|angel|church|clinic</t>
  </si>
  <si>
    <t>Victor Salva</t>
  </si>
  <si>
    <t>Nicki Aycox</t>
  </si>
  <si>
    <t>Jeepers Creepers II </t>
  </si>
  <si>
    <t>cheerleader|farmer|fear|high school basketball|nightmare</t>
  </si>
  <si>
    <t>Andrew Dominik</t>
  </si>
  <si>
    <t>Killing Them Softly </t>
  </si>
  <si>
    <t>exploding car|hit by a car|poker game|punched in the face|shot to death</t>
  </si>
  <si>
    <t>27 Dresses </t>
  </si>
  <si>
    <t>boss|bridesmaid|friend|love|wedding</t>
  </si>
  <si>
    <t>Jean-Marie PoirÃ©</t>
  </si>
  <si>
    <t>Comedy|Fantasy|Sci-Fi</t>
  </si>
  <si>
    <t>Christian Clavier</t>
  </si>
  <si>
    <t>Les visiteurs </t>
  </si>
  <si>
    <t>distant past|future time travel|nobleman|squire|trapped in the past</t>
  </si>
  <si>
    <t>Biography|Comedy|Drama|History</t>
  </si>
  <si>
    <t>Charlie Wilson's War </t>
  </si>
  <si>
    <t>afghanistan|arms dealer|based on true story|cia|texas</t>
  </si>
  <si>
    <t>The Proposal </t>
  </si>
  <si>
    <t>alaska|deportation|father son relationship|male objectification|sitka alaska</t>
  </si>
  <si>
    <t>Lupe Ontiveros</t>
  </si>
  <si>
    <t>As Good as It Gets </t>
  </si>
  <si>
    <t>dog|friendship|neighbor|unlikely friendship|writer</t>
  </si>
  <si>
    <t>Rob Zombie</t>
  </si>
  <si>
    <t>Crime|Horror</t>
  </si>
  <si>
    <t>Sid Haig</t>
  </si>
  <si>
    <t>The Devil's Rejects </t>
  </si>
  <si>
    <t>escape|police|road trip|sheriff|texas</t>
  </si>
  <si>
    <t>Capote </t>
  </si>
  <si>
    <t>book|holcomb kansas|kansas|killer|truman capote</t>
  </si>
  <si>
    <t>Biography|Comedy|Crime|Drama|Romance</t>
  </si>
  <si>
    <t>Dameon Clarke</t>
  </si>
  <si>
    <t>I Love You Phillip Morris </t>
  </si>
  <si>
    <t>character name in title|con artist|fraud|gay|prison break</t>
  </si>
  <si>
    <t>Michael Cimino</t>
  </si>
  <si>
    <t>Heaven's Gate </t>
  </si>
  <si>
    <t>1890s|hired gun|immigrant|johnson county war|sheriff</t>
  </si>
  <si>
    <t>Welcome Home, Roscoe Jenkins </t>
  </si>
  <si>
    <t>african american protagonist|comma in title|four word title|name in title|talk show host</t>
  </si>
  <si>
    <t>Roger Kumble</t>
  </si>
  <si>
    <t>Judith Chapman</t>
  </si>
  <si>
    <t>The Sweetest Thing </t>
  </si>
  <si>
    <t>female removes her clothes|roommate|voyeur|voyeurism|wedding</t>
  </si>
  <si>
    <t>Mission to Mars </t>
  </si>
  <si>
    <t>astronaut|mars|mars the planet|outer space|zero gravity</t>
  </si>
  <si>
    <t>Steve Carr</t>
  </si>
  <si>
    <t>John Witherspoon</t>
  </si>
  <si>
    <t>Next Friday </t>
  </si>
  <si>
    <t>african american|flashback|marijuana joint|porn magazine|suburb</t>
  </si>
  <si>
    <t>Francis Lawrence</t>
  </si>
  <si>
    <t>Water for Elephants </t>
  </si>
  <si>
    <t>circus|circus vargas|elephant|fear|train</t>
  </si>
  <si>
    <t>Miguel Ferrer</t>
  </si>
  <si>
    <t>The Man </t>
  </si>
  <si>
    <t>buddy comedy|criminal|gun smuggling|mistaken identity|salesman</t>
  </si>
  <si>
    <t>Mr. Deeds </t>
  </si>
  <si>
    <t>abbreviation in title|reporter|small town|sudden wealth|unknowing heir</t>
  </si>
  <si>
    <t>Jerome Robbins</t>
  </si>
  <si>
    <t>Crime|Drama|Musical|Romance|Thriller</t>
  </si>
  <si>
    <t>Rita Moreno</t>
  </si>
  <si>
    <t>West Side Story </t>
  </si>
  <si>
    <t>dance|gang|new york city|puerto rican|tragedy</t>
  </si>
  <si>
    <t>Steven Quale</t>
  </si>
  <si>
    <t>Matt Walsh</t>
  </si>
  <si>
    <t>Into the Storm </t>
  </si>
  <si>
    <t>danger|graduation|storm|teenage boy|tornado</t>
  </si>
  <si>
    <t>Curtis Hanson</t>
  </si>
  <si>
    <t>Mekhi Phifer</t>
  </si>
  <si>
    <t>8 Mile </t>
  </si>
  <si>
    <t>competition|contest|friend|self expression|white rapper</t>
  </si>
  <si>
    <t>The Girl with the Dragon Tattoo </t>
  </si>
  <si>
    <t>computer hacker|hacker|investigation|journalist|punk</t>
  </si>
  <si>
    <t>Guy Ritchie</t>
  </si>
  <si>
    <t>Action|Adventure|Crime|Mystery|Thriller</t>
  </si>
  <si>
    <t>Sherlock Holmes </t>
  </si>
  <si>
    <t>black magic|bridge construction|professor moriarty|scotland yard inspector|sherlock holmes</t>
  </si>
  <si>
    <t>Jason Reitman</t>
  </si>
  <si>
    <t>Charlize Theron</t>
  </si>
  <si>
    <t>Young Adult </t>
  </si>
  <si>
    <t>car damage|computer printer|female band|fingernail polish|narcissism</t>
  </si>
  <si>
    <t>Mo' Better Blues </t>
  </si>
  <si>
    <t>comeback|friend|jazz|stage|trumpet</t>
  </si>
  <si>
    <t>Adventure|Comedy|Crime|Family|Mystery</t>
  </si>
  <si>
    <t>Roger Rees</t>
  </si>
  <si>
    <t>The Pink Panther </t>
  </si>
  <si>
    <t>diamond|france|investigation|pink panther|soccer</t>
  </si>
  <si>
    <t>James DeMonaco</t>
  </si>
  <si>
    <t>Rhys Wakefield</t>
  </si>
  <si>
    <t>The Purge </t>
  </si>
  <si>
    <t>class differences|killing spree|one night|suburb|violence</t>
  </si>
  <si>
    <t>Kenneth Branagh</t>
  </si>
  <si>
    <t>Much Ado About Nothing </t>
  </si>
  <si>
    <t>16th century|bachelor|dishonor|masquerade party|wedding</t>
  </si>
  <si>
    <t>Gary Sherman</t>
  </si>
  <si>
    <t>Tom Skerritt</t>
  </si>
  <si>
    <t>Poltergeist III </t>
  </si>
  <si>
    <t>aunt niece relationship|brother sister relationship|building|father daughter relationship|mirror</t>
  </si>
  <si>
    <t>Michael Landon Jr.</t>
  </si>
  <si>
    <t>Henry Thomas</t>
  </si>
  <si>
    <t>The Last Sin Eater </t>
  </si>
  <si>
    <t>1850s|christian film|dark secret|funeral|sin eater</t>
  </si>
  <si>
    <t>Preston A. Whitmore II</t>
  </si>
  <si>
    <t>This Christmas </t>
  </si>
  <si>
    <t>christmas|family home|musician|piano|secret</t>
  </si>
  <si>
    <t>The Other Woman </t>
  </si>
  <si>
    <t>beach house|blonde bombshell|cheating husband|revenge|wife meets mistress</t>
  </si>
  <si>
    <t>Comedy|Crime|Drama|Thriller</t>
  </si>
  <si>
    <t>Death to Smoochy </t>
  </si>
  <si>
    <t>children|children's tv show|money|revenge|scandal</t>
  </si>
  <si>
    <t>John Frankenheimer</t>
  </si>
  <si>
    <t>The Island of Dr. Moreau </t>
  </si>
  <si>
    <t>animal experimentation|chimera|island|jungle|mutant</t>
  </si>
  <si>
    <t>Pamela Reed</t>
  </si>
  <si>
    <t>Proof of Life </t>
  </si>
  <si>
    <t>jungle|pipeline|prisoner|ransom|south america</t>
  </si>
  <si>
    <t>Chuck Sheetz</t>
  </si>
  <si>
    <t>Animation|Comedy|Family|Mystery|Sci-Fi</t>
  </si>
  <si>
    <t>Diedrich Bader</t>
  </si>
  <si>
    <t>Recess: School's Out </t>
  </si>
  <si>
    <t>friend|principal|summer|summer camp|summer vacation</t>
  </si>
  <si>
    <t>Dagur KÃ¡ri</t>
  </si>
  <si>
    <t>Alice Olivia Clarke</t>
  </si>
  <si>
    <t>The Good Heart </t>
  </si>
  <si>
    <t>bar|bartender|death|heart attack|mentor protege relationship</t>
  </si>
  <si>
    <t>Iceland</t>
  </si>
  <si>
    <t>Adventure|Biography|Drama|Thriller</t>
  </si>
  <si>
    <t>The Walk </t>
  </si>
  <si>
    <t>1970s|based on true story|new york city|skyscraper|tightrope walker</t>
  </si>
  <si>
    <t>Terence Young</t>
  </si>
  <si>
    <t>Robert Shaw</t>
  </si>
  <si>
    <t>From Russia with Love </t>
  </si>
  <si>
    <t>assassin|british agent|british secret service|decoder|russian</t>
  </si>
  <si>
    <t>Fina Torres</t>
  </si>
  <si>
    <t>Harold Perrineau</t>
  </si>
  <si>
    <t>Woman on Top </t>
  </si>
  <si>
    <t>cross dresser|food|friend|motion sickness|restaurant</t>
  </si>
  <si>
    <t>Action|Comedy|Crime|Romance</t>
  </si>
  <si>
    <t>Candice Bergen</t>
  </si>
  <si>
    <t>Miss Congeniality </t>
  </si>
  <si>
    <t>beauty pageant|fbi|female agent|pageant|undercover</t>
  </si>
  <si>
    <t>Anthony Hemingway</t>
  </si>
  <si>
    <t>David Oyelowo</t>
  </si>
  <si>
    <t>Red Tails </t>
  </si>
  <si>
    <t>african american|battle|italy|tuskegee airmen|world war two</t>
  </si>
  <si>
    <t>Drama|Fantasy|Romance</t>
  </si>
  <si>
    <t>City of Angels </t>
  </si>
  <si>
    <t>angel|doctor|fall|heart surgeon|hospital</t>
  </si>
  <si>
    <t>Action|Drama|Romance</t>
  </si>
  <si>
    <t>Chen Chang</t>
  </si>
  <si>
    <t>Crouching Tiger, Hidden Dragon </t>
  </si>
  <si>
    <t>bare midriff|china|magical realism|martial arts|sword</t>
  </si>
  <si>
    <t>Mandarin</t>
  </si>
  <si>
    <t>Taiwan</t>
  </si>
  <si>
    <t>The 40-Year-Old Virgin </t>
  </si>
  <si>
    <t>40 year old|car accident|cheating on girlfriend|collection|porno movie</t>
  </si>
  <si>
    <t>Marius A. Markevicius</t>
  </si>
  <si>
    <t>Tommy Sheppard</t>
  </si>
  <si>
    <t>The Other Dream Team </t>
  </si>
  <si>
    <t>basketball|basketball team|grateful dead|lithuanian|olympics</t>
  </si>
  <si>
    <t>Daniel Kaluuya</t>
  </si>
  <si>
    <t>Johnny English Reborn </t>
  </si>
  <si>
    <t>assassin|chinese|conspiracy|gadget|premier</t>
  </si>
  <si>
    <t>Action|Adventure|History</t>
  </si>
  <si>
    <t>Tony Curran</t>
  </si>
  <si>
    <t>The 13th Warrior </t>
  </si>
  <si>
    <t>arab|battle|combat|viking|warrior</t>
  </si>
  <si>
    <t>Theodore Melfi</t>
  </si>
  <si>
    <t>St. Vincent </t>
  </si>
  <si>
    <t>bullying|grumpy old man|school presentation|stroke|stroke recovery</t>
  </si>
  <si>
    <t>Action|Adventure|Drama|Thriller|Western</t>
  </si>
  <si>
    <t>Texas Rangers </t>
  </si>
  <si>
    <t>army|mexican|orphan|texas|texas ranger</t>
  </si>
  <si>
    <t>Scream </t>
  </si>
  <si>
    <t>mask|mystery killer|slasher|teenage girl|telephone</t>
  </si>
  <si>
    <t>Peter Lord</t>
  </si>
  <si>
    <t>Imelda Staunton</t>
  </si>
  <si>
    <t>Chicken Run </t>
  </si>
  <si>
    <t>chicken|escape|farm|freedom|rooster</t>
  </si>
  <si>
    <t>Rob Letterman</t>
  </si>
  <si>
    <t>Adventure|Comedy|Family|Fantasy|Horror</t>
  </si>
  <si>
    <t>Odeya Rush</t>
  </si>
  <si>
    <t>Goosebumps </t>
  </si>
  <si>
    <t>based on book|blob|ferris wheel|manuscript|monster</t>
  </si>
  <si>
    <t>Tate Taylor</t>
  </si>
  <si>
    <t>Tika Sumpter</t>
  </si>
  <si>
    <t>Get on Up </t>
  </si>
  <si>
    <t>1970s|1980s|african american|breaking the fourth wall|mother son relationship</t>
  </si>
  <si>
    <t>Khalid Mohamed</t>
  </si>
  <si>
    <t>Karisma Kapoor</t>
  </si>
  <si>
    <t>Fiza </t>
  </si>
  <si>
    <t>mumbai riots|politician|riot|suicide|tragic event</t>
  </si>
  <si>
    <t>Henry Joost</t>
  </si>
  <si>
    <t>Johanna Braddy</t>
  </si>
  <si>
    <t>Paranormal Activity 3 </t>
  </si>
  <si>
    <t>animate object|imaginary friend|reference to macgyver|whispering|woman wearing only a man's shirt</t>
  </si>
  <si>
    <t>David Kellogg</t>
  </si>
  <si>
    <t>Action|Adventure|Comedy|Family|Sci-Fi</t>
  </si>
  <si>
    <t>Inspector Gadget </t>
  </si>
  <si>
    <t>actor playing multiple roles|claw|gadget|inspector|police</t>
  </si>
  <si>
    <t>Tamra Davis</t>
  </si>
  <si>
    <t>Half Baked </t>
  </si>
  <si>
    <t>bail|diabetic|friend|jail|pharmaceutical lab</t>
  </si>
  <si>
    <t>Jimmy Hayward</t>
  </si>
  <si>
    <t>Free Birds </t>
  </si>
  <si>
    <t>chipmunk|hunting dog|sabotage|thanksgiving|turkey the bird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</si>
  <si>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</si>
  <si>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</si>
  <si>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</si>
  <si>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</si>
  <si>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Ted Danson</t>
  </si>
  <si>
    <t>Big Miracle </t>
  </si>
  <si>
    <t>arctic circle|reporter|small town|volunteer|whale</t>
  </si>
  <si>
    <t>Michael Schultz</t>
  </si>
  <si>
    <t>Action|Comedy|Drama|Music</t>
  </si>
  <si>
    <t>Mike Starr</t>
  </si>
  <si>
    <t>The Last Dragon </t>
  </si>
  <si>
    <t>cult film|kung fu|kung fu classic|martial arts|title spoken by character</t>
  </si>
  <si>
    <t>Adventure|Biography|Crime|Drama|Western</t>
  </si>
  <si>
    <t>Wyatt Earp </t>
  </si>
  <si>
    <t>historically inaccurate|name calling|penis slur|vomiting|wyatt earp</t>
  </si>
  <si>
    <t>Clerks II </t>
  </si>
  <si>
    <t>fast food|fast food restaurant|new jersey|quick stop|restaurant</t>
  </si>
  <si>
    <t>Kevin Jordan</t>
  </si>
  <si>
    <t>Derick Martini</t>
  </si>
  <si>
    <t>Smiling Fish &amp; Goat on Fire </t>
  </si>
  <si>
    <t>accountant|actor|animal in title|mail carrier|single parent</t>
  </si>
  <si>
    <t>Raymond J. Barry</t>
  </si>
  <si>
    <t>Interview with the Assassin </t>
  </si>
  <si>
    <t>conspiracy theory|kennedy assassination|mock documentary|paranoia</t>
  </si>
  <si>
    <t>Crime|Drama|Mystery|Thriller|Western</t>
  </si>
  <si>
    <t>Craig Stark</t>
  </si>
  <si>
    <t>The Hateful Eight </t>
  </si>
  <si>
    <t>blizzard|blood vomiting|bounty hunter|murder|shot in the crotch</t>
  </si>
  <si>
    <t>Crime|Drama|History</t>
  </si>
  <si>
    <t>The Conspirator </t>
  </si>
  <si>
    <t>john wilkes booth|lawyer|lincoln assassination|trial|truth</t>
  </si>
  <si>
    <t>Outbreak </t>
  </si>
  <si>
    <t>disease|epidemic|monkey|quarantine|virus</t>
  </si>
  <si>
    <t>Brian Bosworth</t>
  </si>
  <si>
    <t>Stone Cold </t>
  </si>
  <si>
    <t>biker|biker gang|fbi|mississippi|undercover</t>
  </si>
  <si>
    <t>Action|Adventure|Animation|Comedy|Crime|Family|Fantasy</t>
  </si>
  <si>
    <t>Osmosis Jones </t>
  </si>
  <si>
    <t>blood|body|egg|virus|white blood cell</t>
  </si>
  <si>
    <t>Vic Armstrong</t>
  </si>
  <si>
    <t>Action|Drama|Fantasy|Mystery|Thriller</t>
  </si>
  <si>
    <t>Left Behind </t>
  </si>
  <si>
    <t>bible quote|chaos|faith|riot|shrine</t>
  </si>
  <si>
    <t>The Bounty Hunter </t>
  </si>
  <si>
    <t>bounty hunter|death|murder|police officer|reporter</t>
  </si>
  <si>
    <t>Action|Adventure|Fantasy|Horror|Sci-Fi</t>
  </si>
  <si>
    <t>Seth MacFarlane</t>
  </si>
  <si>
    <t>Hellboy II: The Golden Army </t>
  </si>
  <si>
    <t>creature|elf|prince|rebellion|superhero</t>
  </si>
  <si>
    <t>Alfre Woodard</t>
  </si>
  <si>
    <t>Crooklyn </t>
  </si>
  <si>
    <t>argument|birthday|bully|coming of age|semi autobiographical</t>
  </si>
  <si>
    <t>Michael McCullers</t>
  </si>
  <si>
    <t>Tina Fey</t>
  </si>
  <si>
    <t>Baby Mama </t>
  </si>
  <si>
    <t>baby|book|cartoon on tv|female protagonist|male anorexia</t>
  </si>
  <si>
    <t>The Hurricane </t>
  </si>
  <si>
    <t>african american|book|boxer|boxing|murder</t>
  </si>
  <si>
    <t>Jim Goddard</t>
  </si>
  <si>
    <t>Adventure|Crime|Drama|Romance</t>
  </si>
  <si>
    <t>Victor Wong</t>
  </si>
  <si>
    <t>Shanghai Surprise </t>
  </si>
  <si>
    <t>china|missionary|opium|villain|year 1937</t>
  </si>
  <si>
    <t>Independence Day </t>
  </si>
  <si>
    <t>alien|area 51|military|spacecraft|spaceship</t>
  </si>
  <si>
    <t>Michael Mayer</t>
  </si>
  <si>
    <t>Flicka </t>
  </si>
  <si>
    <t>father son relationship|horse|horse ranch|ranch|wild mustang</t>
  </si>
  <si>
    <t>Frank Nissen</t>
  </si>
  <si>
    <t>Animation|Family|Fantasy|Mystery</t>
  </si>
  <si>
    <t>Pooh's Heffalump Movie </t>
  </si>
  <si>
    <t>creature|forest|mother son relationship|rabbit|winnie the pooh</t>
  </si>
  <si>
    <t>Andrew Niccol</t>
  </si>
  <si>
    <t>Lord of War </t>
  </si>
  <si>
    <t>1980s|arms dealer|immorality|ukrainian|warlord</t>
  </si>
  <si>
    <t>Mike Nawrocki</t>
  </si>
  <si>
    <t>Adventure|Animation|Comedy|Drama|Family|Musical</t>
  </si>
  <si>
    <t>Phil Vischer</t>
  </si>
  <si>
    <t>Jonah: A VeggieTales Movie </t>
  </si>
  <si>
    <t>anthropomorphism|pirate|pirate ship|tomato|whale</t>
  </si>
  <si>
    <t>Top Gun </t>
  </si>
  <si>
    <t>flying|gay subtext|machismo|male objectification|pilot</t>
  </si>
  <si>
    <t>Unknown </t>
  </si>
  <si>
    <t>agriculture|airport|amnesia|nurse|scientist</t>
  </si>
  <si>
    <t>Comedy|Sport</t>
  </si>
  <si>
    <t>Happy Gilmore </t>
  </si>
  <si>
    <t>golf|golf ball|golfer|grandmother's house|tournament</t>
  </si>
  <si>
    <t>Crime|Horror|Mystery|Thriller</t>
  </si>
  <si>
    <t>Mindhunters </t>
  </si>
  <si>
    <t>fbi|group|island|serial killer|training</t>
  </si>
  <si>
    <t>Neil Jordan</t>
  </si>
  <si>
    <t>Michael Collins </t>
  </si>
  <si>
    <t>ireland|irish|irish civil war|irish free state|sinn fein</t>
  </si>
  <si>
    <t>Ol Parker</t>
  </si>
  <si>
    <t>Celia Imrie</t>
  </si>
  <si>
    <t>Imagine Me &amp; You </t>
  </si>
  <si>
    <t>florist|friend|friendship|lesbian|love</t>
  </si>
  <si>
    <t>Kevin Lima</t>
  </si>
  <si>
    <t>102 Dalmatians </t>
  </si>
  <si>
    <t>dog|parole|parole officer|prison|puppy</t>
  </si>
  <si>
    <t>Colin Trevorrow</t>
  </si>
  <si>
    <t>Jurassic World </t>
  </si>
  <si>
    <t>dinosaur|disaster film|experiment gone wrong|jurassic park|velociraptor</t>
  </si>
  <si>
    <t>Drama|Mystery|Romance</t>
  </si>
  <si>
    <t>Random Hearts </t>
  </si>
  <si>
    <t>death|plane crash|police|police sergeant|politician</t>
  </si>
  <si>
    <t>Carl Franklin</t>
  </si>
  <si>
    <t>One True Thing </t>
  </si>
  <si>
    <t>cancer|job|love|new york|professor</t>
  </si>
  <si>
    <t>Boris Kodjoe</t>
  </si>
  <si>
    <t>Madea's Family Reunion </t>
  </si>
  <si>
    <t>cross dressing|family reunion|madea series|reflective|sister sister relationship</t>
  </si>
  <si>
    <t>William Wyler</t>
  </si>
  <si>
    <t>Drama|Romance|War</t>
  </si>
  <si>
    <t>Myrna Loy</t>
  </si>
  <si>
    <t>The Best Years of Our Lives </t>
  </si>
  <si>
    <t>love|pity|readjusting to civilian life|veteran|world war two veteran</t>
  </si>
  <si>
    <t>Law Abiding Citizen </t>
  </si>
  <si>
    <t>attorney|deal|district attorney|investigation|justice</t>
  </si>
  <si>
    <t>Mike Bigelow</t>
  </si>
  <si>
    <t>Carlos Ponce</t>
  </si>
  <si>
    <t>Deuce Bigalow: European Gigolo </t>
  </si>
  <si>
    <t>dolphin|gigolo|pimp|serial killer|villain arrested</t>
  </si>
  <si>
    <t>Joe Roth</t>
  </si>
  <si>
    <t>America's Sweethearts </t>
  </si>
  <si>
    <t>actor|love|movie star|press|publicist</t>
  </si>
  <si>
    <t>Jacques Perrin</t>
  </si>
  <si>
    <t>Documentary|Drama</t>
  </si>
  <si>
    <t>Pedro ArmendÃ¡riz Jr.</t>
  </si>
  <si>
    <t>Oceans </t>
  </si>
  <si>
    <t>damselfish|ocean habitat|ocean life|razorfish|spider crab</t>
  </si>
  <si>
    <t>John Herzfeld</t>
  </si>
  <si>
    <t>15 Minutes </t>
  </si>
  <si>
    <t>criminal|detective|fire|homicide|media</t>
  </si>
  <si>
    <t>Action|Adventure|Family|Sci-Fi</t>
  </si>
  <si>
    <t>Kevin Zegers</t>
  </si>
  <si>
    <t>Zoom </t>
  </si>
  <si>
    <t>bruise|female hero|super strength|superhero|teenage superhero</t>
  </si>
  <si>
    <t>Ted 2 </t>
  </si>
  <si>
    <t>baby|f word|fight|lawyer|marriage</t>
  </si>
  <si>
    <t>Adventure|Crime|Drama|Western</t>
  </si>
  <si>
    <t>3:10 to Yuma </t>
  </si>
  <si>
    <t>outlaw|rancher|small western town|stagecoach|train</t>
  </si>
  <si>
    <t>Sean Penn</t>
  </si>
  <si>
    <t>Costas Mandylor</t>
  </si>
  <si>
    <t>The Pledge </t>
  </si>
  <si>
    <t>nevada|pledge|police|porcupine|search</t>
  </si>
  <si>
    <t>Brad Furman</t>
  </si>
  <si>
    <t>Runner Runner </t>
  </si>
  <si>
    <t>costa rica|fbi agent|gambling|money|online gambling</t>
  </si>
  <si>
    <t>Joshua Michael Stern</t>
  </si>
  <si>
    <t>Swing Vote </t>
  </si>
  <si>
    <t>ballot|election|new mexico|vote|voting</t>
  </si>
  <si>
    <t>Lasse HallstrÃ¶m</t>
  </si>
  <si>
    <t>Dear John </t>
  </si>
  <si>
    <t>army|coin collector|love|surfboard|u.s. army</t>
  </si>
  <si>
    <t>Action|Crime|Drama|Western</t>
  </si>
  <si>
    <t>Silverado </t>
  </si>
  <si>
    <t>1880s|kiss|small town|table broken in fight|wild west</t>
  </si>
  <si>
    <t>Christopher Lambert</t>
  </si>
  <si>
    <t>Mortal Kombat </t>
  </si>
  <si>
    <t>based on video game|island|mortal kombat|tournament|warrior</t>
  </si>
  <si>
    <t>Dennis Iliadis</t>
  </si>
  <si>
    <t>Crime|Horror|Thriller</t>
  </si>
  <si>
    <t>The Last House on the Left </t>
  </si>
  <si>
    <t>kidnapping|lake|microwave oven|psychopath|woods</t>
  </si>
  <si>
    <t>Stewart Hendler</t>
  </si>
  <si>
    <t>Julian Morris</t>
  </si>
  <si>
    <t>Sorority Row </t>
  </si>
  <si>
    <t>prank gone wrong|scantily clad female|shotgun|sorority house|stabbed in the neck</t>
  </si>
  <si>
    <t>Shari Springer Berman</t>
  </si>
  <si>
    <t>Lynn Cohen</t>
  </si>
  <si>
    <t>The Extra Man </t>
  </si>
  <si>
    <t>co worker|escort|magazine|teacher|writer</t>
  </si>
  <si>
    <t>Takashi Shimizu</t>
  </si>
  <si>
    <t>Sarah Michelle Gellar</t>
  </si>
  <si>
    <t>The Grudge </t>
  </si>
  <si>
    <t>american|curse|japan|nurse|rage</t>
  </si>
  <si>
    <t>Scout Taylor-Compton</t>
  </si>
  <si>
    <t>Halloween II </t>
  </si>
  <si>
    <t>halloween|hospital|michael myers|rampage|vomiting</t>
  </si>
  <si>
    <t>Jon Avnet</t>
  </si>
  <si>
    <t>88 Minutes </t>
  </si>
  <si>
    <t>death|fbi|forensics|murder|serial killer</t>
  </si>
  <si>
    <t>Takeshi Kitano</t>
  </si>
  <si>
    <t>Omar Epps</t>
  </si>
  <si>
    <t>Brother </t>
  </si>
  <si>
    <t>gang|gangster|subjective camera|written and directed by cast member|yakuza</t>
  </si>
  <si>
    <t>Maurice Joyce</t>
  </si>
  <si>
    <t>Animation|Comedy|Family</t>
  </si>
  <si>
    <t>Frank Welker</t>
  </si>
  <si>
    <t>Doug's 1st Movie </t>
  </si>
  <si>
    <t>dance|friend|monster|reference to batman|valentine</t>
  </si>
  <si>
    <t>Envy </t>
  </si>
  <si>
    <t>best friend|dog|envy|jealousy|neighbor</t>
  </si>
  <si>
    <t>FranÃ§ois Ozon</t>
  </si>
  <si>
    <t>Comedy|Crime|Musical|Romance</t>
  </si>
  <si>
    <t>8 Women </t>
  </si>
  <si>
    <t>cook|industrialist|secret|snowstorm|suspect</t>
  </si>
  <si>
    <t>Percy Jackson &amp; the Olympians: The Lightning Thief </t>
  </si>
  <si>
    <t>greek|lightning|lightning bolt|poseidon|teenager</t>
  </si>
  <si>
    <t>Chris Elliott</t>
  </si>
  <si>
    <t>Snow Day </t>
  </si>
  <si>
    <t>meteorologist|snow|snowed in|snowplow|weather</t>
  </si>
  <si>
    <t>Gladiator </t>
  </si>
  <si>
    <t>battlefield|blood|combat|gladiator|roman empire</t>
  </si>
  <si>
    <t>Flight of the Phoenix </t>
  </si>
  <si>
    <t>captain|desert|rescue|stranded|survivor</t>
  </si>
  <si>
    <t>Peter Hyams</t>
  </si>
  <si>
    <t>Action|Adventure|Horror|Sci-Fi|Thriller</t>
  </si>
  <si>
    <t>A Sound of Thunder </t>
  </si>
  <si>
    <t>butterfly|hunter|time|time travel|wave</t>
  </si>
  <si>
    <t>Sean Pertwee</t>
  </si>
  <si>
    <t>Event Horizon </t>
  </si>
  <si>
    <t>solar system|space|spaceship|starship|year 2047</t>
  </si>
  <si>
    <t>Mark Rosman</t>
  </si>
  <si>
    <t>Ben Feldman</t>
  </si>
  <si>
    <t>The Perfect Man </t>
  </si>
  <si>
    <t>e mail|moving|perfect man|secret admirer|suitor</t>
  </si>
  <si>
    <t>Crimson Tide </t>
  </si>
  <si>
    <t>alabama|mutiny|order|radio|submarine</t>
  </si>
  <si>
    <t>Sergey Bodrov</t>
  </si>
  <si>
    <t>Seventh Son </t>
  </si>
  <si>
    <t>apprentice|demon|exorcism|master apprentice relationship|witch</t>
  </si>
  <si>
    <t>Anand Tucker</t>
  </si>
  <si>
    <t>When Did You Last See Your Father? </t>
  </si>
  <si>
    <t>cancer|children|death|terminal cancer|time</t>
  </si>
  <si>
    <t>Steve Pink</t>
  </si>
  <si>
    <t>Comedy|Sci-Fi</t>
  </si>
  <si>
    <t>Hot Tub Time Machine 2 </t>
  </si>
  <si>
    <t>acid trip|gameshow|hot tub|time lord|time machine</t>
  </si>
  <si>
    <t>Action|Adventure|Fantasy|Romance</t>
  </si>
  <si>
    <t>Spider-Man </t>
  </si>
  <si>
    <t>evil|goblin|spider|spider man|superhero</t>
  </si>
  <si>
    <t>Vondie Curtis-Hall</t>
  </si>
  <si>
    <t>Mariah Carey</t>
  </si>
  <si>
    <t>Glitter </t>
  </si>
  <si>
    <t>cult film|disc jockey|female protagonist|music business|one word title</t>
  </si>
  <si>
    <t>John Saxon</t>
  </si>
  <si>
    <t>A Nightmare on Elm Street 3: Dream Warriors </t>
  </si>
  <si>
    <t>dream|freddy krueger|killer|nightmare|springwood ohio</t>
  </si>
  <si>
    <t>Bruce Greenwood</t>
  </si>
  <si>
    <t>Swept Away </t>
  </si>
  <si>
    <t>island|sailor|storm|stranded|vacation</t>
  </si>
  <si>
    <t>Marmaduke </t>
  </si>
  <si>
    <t>dog|great dane|rivalry|talking animal|talking cat</t>
  </si>
  <si>
    <t>Sam Weisman</t>
  </si>
  <si>
    <t>Kevin Grevioux</t>
  </si>
  <si>
    <t>Dickie Roberts: Former Child Star </t>
  </si>
  <si>
    <t>dental braces|dental headgear|former child star|panties|white panties</t>
  </si>
  <si>
    <t>Adventure|Mystery|Thriller</t>
  </si>
  <si>
    <t>A Perfect Getaway </t>
  </si>
  <si>
    <t>cliff|hawaii|island|newlywed|waterfall</t>
  </si>
  <si>
    <t>Mike Mills</t>
  </si>
  <si>
    <t>Thumbsucker </t>
  </si>
  <si>
    <t>attention deficit disorder|debate|drugs|psychologist|school</t>
  </si>
  <si>
    <t>Larry Clark</t>
  </si>
  <si>
    <t>Rosario Dawson</t>
  </si>
  <si>
    <t>Kids </t>
  </si>
  <si>
    <t>coming of age|marijuana|rape|virgin|weed</t>
  </si>
  <si>
    <t>Adventure|Comedy|Sci-Fi|Western</t>
  </si>
  <si>
    <t>Lea Thompson</t>
  </si>
  <si>
    <t>Back to the Future Part III </t>
  </si>
  <si>
    <t>band|dog|letter|time machine|tombstone</t>
  </si>
  <si>
    <t>Indiana Jones and the Kingdom of the Crystal Skull </t>
  </si>
  <si>
    <t>cult figure|femme fatale|indiana jones|unsubtitled foreign language|year 1957</t>
  </si>
  <si>
    <t>The Manchurian Candidate </t>
  </si>
  <si>
    <t>brainwashed assassin|conspiracy|critically acclaimed|mother son relationship|soldier</t>
  </si>
  <si>
    <t>Jake Schreier</t>
  </si>
  <si>
    <t>Comedy|Crime|Drama|Sci-Fi</t>
  </si>
  <si>
    <t>Robot &amp; Frank </t>
  </si>
  <si>
    <t>burglary|dementia|near future|robot|thief</t>
  </si>
  <si>
    <t>Chris Noonan</t>
  </si>
  <si>
    <t>Miriam Margolyes</t>
  </si>
  <si>
    <t>Babe </t>
  </si>
  <si>
    <t>dog|farmer|pig|sheep|sheepdog</t>
  </si>
  <si>
    <t>Gary Hardwick</t>
  </si>
  <si>
    <t>Julie Benz</t>
  </si>
  <si>
    <t>The Brothers </t>
  </si>
  <si>
    <t>african american|commitment|friend|friendship|playboy</t>
  </si>
  <si>
    <t>Last Vegas </t>
  </si>
  <si>
    <t>bachelor party|bloody mary the drink|bouncer|brooklyn new york city|vegas</t>
  </si>
  <si>
    <t>Susanna White</t>
  </si>
  <si>
    <t>Daniel Mays</t>
  </si>
  <si>
    <t>Nanny McPhee Returns </t>
  </si>
  <si>
    <t>farm|magic|mother daughter relationship|overalls|title directed by female</t>
  </si>
  <si>
    <t>Alan Rudolph</t>
  </si>
  <si>
    <t>Breakfast of Champions </t>
  </si>
  <si>
    <t>breakfast|manitoba|science fiction writer|suicide|writer</t>
  </si>
  <si>
    <t>Biography|Drama|History|War</t>
  </si>
  <si>
    <t>Eddie Redmayne</t>
  </si>
  <si>
    <t>Elizabeth: The Golden Age </t>
  </si>
  <si>
    <t>court|intrigue|queen|spain|virgin</t>
  </si>
  <si>
    <t>Lajos Koltai</t>
  </si>
  <si>
    <t>Marcell Nagy</t>
  </si>
  <si>
    <t>Fateless </t>
  </si>
  <si>
    <t>bus|death|gay slur|hatred|jewish</t>
  </si>
  <si>
    <t>Hungarian</t>
  </si>
  <si>
    <t>Hungary</t>
  </si>
  <si>
    <t>Cast Away </t>
  </si>
  <si>
    <t>christmas|island|love|survival|talking to inanimate object</t>
  </si>
  <si>
    <t>Vantage Point </t>
  </si>
  <si>
    <t>explosion|multiple perspectives|president|secret service|shooting</t>
  </si>
  <si>
    <t>Planet of the Apes </t>
  </si>
  <si>
    <t>astronaut|cage|planet|wilhelm scream|year 2029</t>
  </si>
  <si>
    <t>Dario Argento</t>
  </si>
  <si>
    <t>Two Evil Eyes </t>
  </si>
  <si>
    <t>black cat|cat|evil|photographer|undead</t>
  </si>
  <si>
    <t>Martin Short</t>
  </si>
  <si>
    <t>The Spiderwick Chronicles </t>
  </si>
  <si>
    <t>actor playing multiple roles|brownie the creature|closing credits sequence|family relationships|magical creature</t>
  </si>
  <si>
    <t>Frank Darabont</t>
  </si>
  <si>
    <t>Martin Landau</t>
  </si>
  <si>
    <t>The Majestic </t>
  </si>
  <si>
    <t>amnesia|california|communist|small town|writer</t>
  </si>
  <si>
    <t>Jean-Jacques Annaud</t>
  </si>
  <si>
    <t>Enemy at the Gates </t>
  </si>
  <si>
    <t>battle|german|russian|sniper|stalingrad</t>
  </si>
  <si>
    <t>Jonas Elmer</t>
  </si>
  <si>
    <t>New in Town </t>
  </si>
  <si>
    <t>love|manufacturing|minnesota|plant|small town</t>
  </si>
  <si>
    <t>Mike Disa</t>
  </si>
  <si>
    <t>Hoodwinked Too! Hood vs. Evil </t>
  </si>
  <si>
    <t>3 dimensional|box office flop|critically bashed|red riding hood|wolf</t>
  </si>
  <si>
    <t>American Gangster </t>
  </si>
  <si>
    <t>death|heroin|popcorn|smuggling|vietnam</t>
  </si>
  <si>
    <t>Action|Drama|Fantasy|Thriller|Western</t>
  </si>
  <si>
    <t>Jonah Hex </t>
  </si>
  <si>
    <t>confederate|death|independence day|military|terrorist</t>
  </si>
  <si>
    <t>Heather O'Rourke</t>
  </si>
  <si>
    <t>Poltergeist </t>
  </si>
  <si>
    <t>ghost|haunted|haunting|house|paranormal investigator</t>
  </si>
  <si>
    <t>Crash </t>
  </si>
  <si>
    <t>race relations|racism|racist|social problem|stereotype</t>
  </si>
  <si>
    <t>Comedy|Drama|Horror</t>
  </si>
  <si>
    <t>Tusk </t>
  </si>
  <si>
    <t>canada|human becoming an animal|mad scientist|part of trilogy|walrus</t>
  </si>
  <si>
    <t>Uwe Boll</t>
  </si>
  <si>
    <t>Action|Adventure|Fantasy|Thriller</t>
  </si>
  <si>
    <t>In the Name of the King: A Dungeon Siege Tale </t>
  </si>
  <si>
    <t>farmer|king|krug|rescue|wizard</t>
  </si>
  <si>
    <t>Scream 2 </t>
  </si>
  <si>
    <t>college|ghostface|killer|killing spree|murder</t>
  </si>
  <si>
    <t>Small Soldiers </t>
  </si>
  <si>
    <t>action figure|battle|computer|military|toy</t>
  </si>
  <si>
    <t>The Monuments Men </t>
  </si>
  <si>
    <t>art|art expert|nazi stolen art|soldier|world war two</t>
  </si>
  <si>
    <t>Richard III </t>
  </si>
  <si>
    <t>1930s|abuse of power|england|king|murder</t>
  </si>
  <si>
    <t>Niki Caro</t>
  </si>
  <si>
    <t>Morgan Saylor</t>
  </si>
  <si>
    <t>McFarland, USA </t>
  </si>
  <si>
    <t>coach|high school|place name in title|school|student</t>
  </si>
  <si>
    <t>Fernando Meirelles</t>
  </si>
  <si>
    <t>Don McKellar</t>
  </si>
  <si>
    <t>Blindness </t>
  </si>
  <si>
    <t>blindness|epidemic|hospital|pubic hair|quarantine</t>
  </si>
  <si>
    <t>Kathleen Turner</t>
  </si>
  <si>
    <t>Serial Mom </t>
  </si>
  <si>
    <t>dentist|housewife|howie scream|murder|perfection</t>
  </si>
  <si>
    <t>Michael Tiddes</t>
  </si>
  <si>
    <t>Essence Atkins</t>
  </si>
  <si>
    <t>A Haunted House </t>
  </si>
  <si>
    <t>hamburger|parody|priest|psychic|woman in a bikini</t>
  </si>
  <si>
    <t>Action|Adventure|Romance|Sci-Fi</t>
  </si>
  <si>
    <t>Margot Kidder</t>
  </si>
  <si>
    <t>Superman II </t>
  </si>
  <si>
    <t>alien invasion|based on comic book|flying superhero|phantom zone|revenge</t>
  </si>
  <si>
    <t>Benedikt Erlingsson</t>
  </si>
  <si>
    <t>Ingvar Eggert SigurÃ°sson</t>
  </si>
  <si>
    <t>Of Horses and Men </t>
  </si>
  <si>
    <t>barbed wire|barbed wire fence|horse|nature|snowstorm</t>
  </si>
  <si>
    <t>Icelandic</t>
  </si>
  <si>
    <t>Ben Falcone</t>
  </si>
  <si>
    <t>Gary Cole</t>
  </si>
  <si>
    <t>Tammy </t>
  </si>
  <si>
    <t>alcoholic|grandmother|highway travel|niagara falls|on the road</t>
  </si>
  <si>
    <t>Mark Dindal</t>
  </si>
  <si>
    <t>Eartha Kitt</t>
  </si>
  <si>
    <t>The Emperor's New Groove </t>
  </si>
  <si>
    <t>antidote|disney|emperor|first part|llama</t>
  </si>
  <si>
    <t>Knowing </t>
  </si>
  <si>
    <t>disaster|end of the world|number|student|time capsule</t>
  </si>
  <si>
    <t>Jerry Maguire </t>
  </si>
  <si>
    <t>agent|career|client|fiance|sports agent</t>
  </si>
  <si>
    <t>Jake Paltrow</t>
  </si>
  <si>
    <t>Comedy|Drama|Fantasy|Music|Romance</t>
  </si>
  <si>
    <t>Stephen Graham</t>
  </si>
  <si>
    <t>The Good Night </t>
  </si>
  <si>
    <t>commercial|dream|dreaming|girl|new york city</t>
  </si>
  <si>
    <t>Damien Chazelle</t>
  </si>
  <si>
    <t>Whiplash </t>
  </si>
  <si>
    <t>conservatory|drummer|emotional abuse|music school|obsession</t>
  </si>
  <si>
    <t>Eli Roth</t>
  </si>
  <si>
    <t>Jay Hernandez</t>
  </si>
  <si>
    <t>Hostel: Part II </t>
  </si>
  <si>
    <t>american|hostel|slovakia|torture|train</t>
  </si>
  <si>
    <t>Martin Brest</t>
  </si>
  <si>
    <t>Meet Joe Black </t>
  </si>
  <si>
    <t>birthday|death|death personified|fear of death|wealth</t>
  </si>
  <si>
    <t>Insurgent </t>
  </si>
  <si>
    <t>action heroine|falling from height|mind control|trainhopping|truth serum</t>
  </si>
  <si>
    <t>Miguel Arteta</t>
  </si>
  <si>
    <t>Alexander and the Terrible, Horrible, No Good, Very Bad Day </t>
  </si>
  <si>
    <t>bad day|based on book|birthday|job interview|long title</t>
  </si>
  <si>
    <t>Francesca Gregorini</t>
  </si>
  <si>
    <t>Tom Everett Scott</t>
  </si>
  <si>
    <t>Tanner Hall </t>
  </si>
  <si>
    <t>boarding school|coming of age|female friendship|lesbian|new england</t>
  </si>
  <si>
    <t>Carroll Ballard</t>
  </si>
  <si>
    <t>Eamonn Walker</t>
  </si>
  <si>
    <t>Duma </t>
  </si>
  <si>
    <t>africa|bed|boy|cheetah|south africa</t>
  </si>
  <si>
    <t>Andrew Douglas</t>
  </si>
  <si>
    <t>The Amityville Horror </t>
  </si>
  <si>
    <t>ghost|haunted house|murder|nightmare|priest</t>
  </si>
  <si>
    <t>Kevin Donovan</t>
  </si>
  <si>
    <t>Romany Malco</t>
  </si>
  <si>
    <t>The Tuxedo </t>
  </si>
  <si>
    <t>chauffeur|hospital|secret agent|spying|tuxedo</t>
  </si>
  <si>
    <t>Toy Story </t>
  </si>
  <si>
    <t>claw crane|cowboy|jealousy|rivalry|toy</t>
  </si>
  <si>
    <t>Damian Nieman</t>
  </si>
  <si>
    <t>Glenn Plummer</t>
  </si>
  <si>
    <t>Shade </t>
  </si>
  <si>
    <t>bar|strip club|stripper|texas hold 'em|thong</t>
  </si>
  <si>
    <t>Sam Mendes</t>
  </si>
  <si>
    <t>Albert Finney</t>
  </si>
  <si>
    <t>Skyfall </t>
  </si>
  <si>
    <t>brawl|childhood home|computer cracker|intelligence agency|terrorist cell</t>
  </si>
  <si>
    <t>Kill Bill: Vol. 2 </t>
  </si>
  <si>
    <t>assassin|assassination|bride|death|vengeance</t>
  </si>
  <si>
    <t>Anurag Basu</t>
  </si>
  <si>
    <t>Action|Drama|Romance|Thriller</t>
  </si>
  <si>
    <t>BÃ¡rbara Mori</t>
  </si>
  <si>
    <t>Kites </t>
  </si>
  <si>
    <t>casino|desert|love|suicide|tragic event</t>
  </si>
  <si>
    <t>Billy Wilder</t>
  </si>
  <si>
    <t>Nehemiah Persoff</t>
  </si>
  <si>
    <t>Some Like It Hot </t>
  </si>
  <si>
    <t>all girl band|band|cross dressing|musician|yacht</t>
  </si>
  <si>
    <t>Still Alice </t>
  </si>
  <si>
    <t>alzheimer's disease|bechdel test passed|linguistics professor|new york city|reference to angels in america the play</t>
  </si>
  <si>
    <t>Mean Girls </t>
  </si>
  <si>
    <t>bully|clique|high school|high school girl|secret</t>
  </si>
  <si>
    <t>Robert Butler</t>
  </si>
  <si>
    <t>Turbulence </t>
  </si>
  <si>
    <t>airplane|christmas|marshal|pilot|u.s. marshal</t>
  </si>
  <si>
    <t>John Stockwell</t>
  </si>
  <si>
    <t>Crazy/Beautiful </t>
  </si>
  <si>
    <t>congressman|high school|latino|pacific palisades|school</t>
  </si>
  <si>
    <t>Drama|Western</t>
  </si>
  <si>
    <t>Django Unchained </t>
  </si>
  <si>
    <t>dynamite|historically inaccurate|ku klux klan|n word|slavery</t>
  </si>
  <si>
    <t>Peter Hedges</t>
  </si>
  <si>
    <t>Pieces of April </t>
  </si>
  <si>
    <t>apartment|oven|stove|thanksgiving|thanksgiving dinner</t>
  </si>
  <si>
    <t>Brendan Malloy</t>
  </si>
  <si>
    <t>Lee Majors</t>
  </si>
  <si>
    <t>Out Cold </t>
  </si>
  <si>
    <t>alaska|mountain|ski resort|snowboard|snowboarding</t>
  </si>
  <si>
    <t>Chocolat </t>
  </si>
  <si>
    <t>chocolate|chocolate shop|food|france|village</t>
  </si>
  <si>
    <t>Drama|Fantasy|Mystery|Romance|Thriller</t>
  </si>
  <si>
    <t>Joe Morton</t>
  </si>
  <si>
    <t>Dragonfly </t>
  </si>
  <si>
    <t>death|doctor|grave|patient|venezuela</t>
  </si>
  <si>
    <t>Comedy|Documentary</t>
  </si>
  <si>
    <t>Eddie Griffin</t>
  </si>
  <si>
    <t>DysFunktional Family </t>
  </si>
  <si>
    <t>african american|family relationships|stand up comedian|stand up comedy</t>
  </si>
  <si>
    <t>The Exorcism of Emily Rose </t>
  </si>
  <si>
    <t>death|demonic possession|exorcism|lawyer|priest</t>
  </si>
  <si>
    <t>The Weather Man </t>
  </si>
  <si>
    <t>corndog|failure|funeral in the rain|new york city|weatherman</t>
  </si>
  <si>
    <t>Seth Gordon</t>
  </si>
  <si>
    <t>Horrible Bosses </t>
  </si>
  <si>
    <t>black comedy|boss|chemical company|dental assistant|murder</t>
  </si>
  <si>
    <t>Nnegest LikkÃ©</t>
  </si>
  <si>
    <t>Phat Girlz </t>
  </si>
  <si>
    <t>female protagonist|size positive|thin|title directed by female|wet dream</t>
  </si>
  <si>
    <t>Ruggero Deodato</t>
  </si>
  <si>
    <t>Michael Berryman</t>
  </si>
  <si>
    <t>The Barbarians </t>
  </si>
  <si>
    <t>bare breasts|comic relief|dragon|gladiator|harem</t>
  </si>
  <si>
    <t>Biography|Crime|Drama|Romance</t>
  </si>
  <si>
    <t>Christoph Waltz</t>
  </si>
  <si>
    <t>Big Eyes </t>
  </si>
  <si>
    <t>1950s|abusive husband|artist|painting|secret</t>
  </si>
  <si>
    <t>Danny Boyle</t>
  </si>
  <si>
    <t>Noah Huntley</t>
  </si>
  <si>
    <t>28 Days Later... </t>
  </si>
  <si>
    <t>laboratory|london england|military|virus|zombie apocalypse</t>
  </si>
  <si>
    <t>Ronny Yu</t>
  </si>
  <si>
    <t>Marley Shelton</t>
  </si>
  <si>
    <t>Warriors of Virtue </t>
  </si>
  <si>
    <t>anthropomorphic animal|football|kangaroo|sword and sorcery|water boy</t>
  </si>
  <si>
    <t>Howard Deutch</t>
  </si>
  <si>
    <t>The Whole Ten Yards </t>
  </si>
  <si>
    <t>dentist|face slap|flashback|hitman|killing an animal</t>
  </si>
  <si>
    <t>Shallow Hal </t>
  </si>
  <si>
    <t>dying|friend|inner beauty|love|self help guru</t>
  </si>
  <si>
    <t>Jeff Nichols</t>
  </si>
  <si>
    <t>Katy Mixon</t>
  </si>
  <si>
    <t>Take Shelter </t>
  </si>
  <si>
    <t>ambiguous ending|firefly|mysterious event|schizophrenia|storm</t>
  </si>
  <si>
    <t>Baz Luhrmann</t>
  </si>
  <si>
    <t>Moulin Rouge! </t>
  </si>
  <si>
    <t>death of main character|eiffel tower paris|jealousy|tragedy|two suitors</t>
  </si>
  <si>
    <t>Matthew Settle</t>
  </si>
  <si>
    <t>The In Crowd </t>
  </si>
  <si>
    <t>clique|country club|female protagonist|lip gloss|title directed by female</t>
  </si>
  <si>
    <t>Alan J. Pakula</t>
  </si>
  <si>
    <t>The Pelican Brief </t>
  </si>
  <si>
    <t>college professor|fbi|president|professor|supreme court</t>
  </si>
  <si>
    <t>Michael Wincott</t>
  </si>
  <si>
    <t>The Doors </t>
  </si>
  <si>
    <t>death|paris france|rock band|singer|the doors</t>
  </si>
  <si>
    <t>Doug Liman</t>
  </si>
  <si>
    <t>Fair Game </t>
  </si>
  <si>
    <t>bush administration|cia|interview|iraq|new york times</t>
  </si>
  <si>
    <t>Freddy's Dead: The Final Nightmare </t>
  </si>
  <si>
    <t>dark comedy|dream|freddy krueger|nightmare|serial murder</t>
  </si>
  <si>
    <t>Ã“scar Jaenada</t>
  </si>
  <si>
    <t>The Shallows </t>
  </si>
  <si>
    <t>beach|island|mexico|prey|trapped</t>
  </si>
  <si>
    <t>DJ Pooh</t>
  </si>
  <si>
    <t>3 Strikes </t>
  </si>
  <si>
    <t>adult diaper|diaper|digit in title|dream|sawed off shotgun</t>
  </si>
  <si>
    <t>Nicholas Stoller</t>
  </si>
  <si>
    <t>Neighbors 2: Sorority Rising </t>
  </si>
  <si>
    <t>bare chested male|gay|gay best friend|gay man|gay marriage proposal</t>
  </si>
  <si>
    <t>Mission: Impossible II </t>
  </si>
  <si>
    <t>cure|mission|terrorist|thief|virus</t>
  </si>
  <si>
    <t>James David Pasternak</t>
  </si>
  <si>
    <t>Certifiably Jonathan </t>
  </si>
  <si>
    <t>las vegas nevada|museum|reference to mr. rogers|reference to vincent van gogh|talking about suicide</t>
  </si>
  <si>
    <t>Road Trip </t>
  </si>
  <si>
    <t>blonde|college|friend|highway travel|road trip</t>
  </si>
  <si>
    <t>Jessica Barden</t>
  </si>
  <si>
    <t>Hanna </t>
  </si>
  <si>
    <t>assassin|female warrior|martial arts|playground|training</t>
  </si>
  <si>
    <t>Comedy|Family|Musical|Romance|Short</t>
  </si>
  <si>
    <t>William Hurt</t>
  </si>
  <si>
    <t>Marilyn Hotchkiss' Ballroom Dancing and Charm School </t>
  </si>
  <si>
    <t>student film|wonder years</t>
  </si>
  <si>
    <t>Action|Adventure|Drama</t>
  </si>
  <si>
    <t>Exodus: Gods and Kings </t>
  </si>
  <si>
    <t>egypt|exodus|moses|pharaoh|plague</t>
  </si>
  <si>
    <t>Action|Western</t>
  </si>
  <si>
    <t>Gregory Smith</t>
  </si>
  <si>
    <t>American Outlaws </t>
  </si>
  <si>
    <t>legend|old west|outlaw|railroad|stealing from the rich</t>
  </si>
  <si>
    <t>Lady in the Water </t>
  </si>
  <si>
    <t>apartment|bedtime story|eagle|stuttering|swimming pool</t>
  </si>
  <si>
    <t>Alan Cohn</t>
  </si>
  <si>
    <t>Alyson Hannigan</t>
  </si>
  <si>
    <t>Dead Man on Campus </t>
  </si>
  <si>
    <t>college|college roommate|party|roommate|student</t>
  </si>
  <si>
    <t>Laurie Collyer</t>
  </si>
  <si>
    <t>Brad William Henke</t>
  </si>
  <si>
    <t>Sherrybaby </t>
  </si>
  <si>
    <t>ex convict|halfway house|nipples visible through clothing|orgasm|parole officer</t>
  </si>
  <si>
    <t>As Above, So Below </t>
  </si>
  <si>
    <t>archeologist|catacomb|found footage|paris france|philosopher's stone</t>
  </si>
  <si>
    <t>Ornella Muti</t>
  </si>
  <si>
    <t>To Rome with Love </t>
  </si>
  <si>
    <t>architect|celebrity|prostitute|shower|tourist</t>
  </si>
  <si>
    <t>Jason Zada</t>
  </si>
  <si>
    <t>Eoin Macken</t>
  </si>
  <si>
    <t>The Forest </t>
  </si>
  <si>
    <t>forest|japan|suicide|suicide forest|supernatural</t>
  </si>
  <si>
    <t>Steven R. Monroe</t>
  </si>
  <si>
    <t>Sarah Butler</t>
  </si>
  <si>
    <t>I Spit on Your Grave </t>
  </si>
  <si>
    <t>horror movie remake|rape|rape and revenge|rape victim|revenge</t>
  </si>
  <si>
    <t>Josh Charles</t>
  </si>
  <si>
    <t>Four Brothers </t>
  </si>
  <si>
    <t>bare butt|corrupt police|four brothers|funeral|murder</t>
  </si>
  <si>
    <t>Alice Krige</t>
  </si>
  <si>
    <t>Chariots of Fire </t>
  </si>
  <si>
    <t>athlete|jew|missionary|olympic games|race</t>
  </si>
  <si>
    <t>Burr Steers</t>
  </si>
  <si>
    <t>Kieran Culkin</t>
  </si>
  <si>
    <t>Igby Goes Down </t>
  </si>
  <si>
    <t>boy|mistress|money|schizophrenic|school</t>
  </si>
  <si>
    <t>21 Grams </t>
  </si>
  <si>
    <t>accident|faith|love|mathematician|nonlinear timeline</t>
  </si>
  <si>
    <t>Colm Feore</t>
  </si>
  <si>
    <t>Jack Ryan: Shadow Recruit </t>
  </si>
  <si>
    <t>covert analyst|marine|russian|spy|stock market</t>
  </si>
  <si>
    <t>Tod Williams</t>
  </si>
  <si>
    <t>Sprague Grayden</t>
  </si>
  <si>
    <t>Paranormal Activity 2 </t>
  </si>
  <si>
    <t>california|carlsbad california|house|nanny|security camera</t>
  </si>
  <si>
    <t>Richard LaGravenese</t>
  </si>
  <si>
    <t>Freedom Writers </t>
  </si>
  <si>
    <t>gang violence|high school|journal|marriage|teacher</t>
  </si>
  <si>
    <t>We're No Angels </t>
  </si>
  <si>
    <t>con|convict|escape|police|priest</t>
  </si>
  <si>
    <t>Blades of Glory </t>
  </si>
  <si>
    <t>competition|fight|ice|jock strap|nintendo game boy advance</t>
  </si>
  <si>
    <t>Brad Bird</t>
  </si>
  <si>
    <t>Mission: Impossible - Ghost Protocol </t>
  </si>
  <si>
    <t>dubai|kremlin|race against time|russian|terrorist</t>
  </si>
  <si>
    <t>Oscar and Lucinda </t>
  </si>
  <si>
    <t>australia|church|glass|inheritance|wager</t>
  </si>
  <si>
    <t>Demian Lichtenstein</t>
  </si>
  <si>
    <t>3000 Miles to Graceland </t>
  </si>
  <si>
    <t>casino|elvis impersonator|gun|heist|rascal</t>
  </si>
  <si>
    <t>Chris Wedge</t>
  </si>
  <si>
    <t>Ice Age </t>
  </si>
  <si>
    <t>baby|ice|ice age|sleeping|sloth</t>
  </si>
  <si>
    <t>Anthony Minghella</t>
  </si>
  <si>
    <t>The English Patient </t>
  </si>
  <si>
    <t>church|english|flashback|nurse|patient</t>
  </si>
  <si>
    <t>Lucrecia Martel</t>
  </si>
  <si>
    <t>The Holy Girl </t>
  </si>
  <si>
    <t>16 year old|doctor|hotel|tinnitus|title directed by female</t>
  </si>
  <si>
    <t>Thor: The Dark World </t>
  </si>
  <si>
    <t>arrest|portal|thor|warrior|weapon</t>
  </si>
  <si>
    <t>Comedy|Family|Romance|Sport</t>
  </si>
  <si>
    <t>Kicking &amp; Screaming </t>
  </si>
  <si>
    <t>book|child|slapstick comedy|soccer|suburb</t>
  </si>
  <si>
    <t>Kiss the Girls </t>
  </si>
  <si>
    <t>detective|kidnapping|punching a heavy bag|serial killer|tied to a tree</t>
  </si>
  <si>
    <t>Chris Buck</t>
  </si>
  <si>
    <t>Josh Gad</t>
  </si>
  <si>
    <t>Frozen </t>
  </si>
  <si>
    <t>magic|sister love|sister sister relationship|snow|snowman</t>
  </si>
  <si>
    <t>Tom McLoughlin</t>
  </si>
  <si>
    <t>Jason Lives: Friday the 13th Part VI </t>
  </si>
  <si>
    <t>actual animal killed|death|jason voorhees|slasher flick|teen horror</t>
  </si>
  <si>
    <t>Christopher Spencer</t>
  </si>
  <si>
    <t>Roma Downey</t>
  </si>
  <si>
    <t>Son of God </t>
  </si>
  <si>
    <t>bare chested male bondage|crucifixion|loincloth|reference to god|resurrection</t>
  </si>
  <si>
    <t>Nomad: The Warrior </t>
  </si>
  <si>
    <t>1800s|kazakhstan|nomad</t>
  </si>
  <si>
    <t>Kazakh</t>
  </si>
  <si>
    <t>Crime|Drama|Music|Romance</t>
  </si>
  <si>
    <t>Step Up </t>
  </si>
  <si>
    <t>dance|dancer|school|showcase|student</t>
  </si>
  <si>
    <t>Kar-Wai Wong</t>
  </si>
  <si>
    <t>Drama|Romance|Sci-Fi</t>
  </si>
  <si>
    <t>Li Gong</t>
  </si>
  <si>
    <t>2046 </t>
  </si>
  <si>
    <t>number in title|train|woman slaps a man|woman slaps man|written by director</t>
  </si>
  <si>
    <t>Claude Miller</t>
  </si>
  <si>
    <t>Comedy|Crime|Drama|Romance|Thriller</t>
  </si>
  <si>
    <t>Sandrine Kiberlain</t>
  </si>
  <si>
    <t>Alias Betty </t>
  </si>
  <si>
    <t>child|criminal|death|depression|novelist</t>
  </si>
  <si>
    <t>Uli Edel</t>
  </si>
  <si>
    <t>Richard E. Grant</t>
  </si>
  <si>
    <t>The Little Vampire </t>
  </si>
  <si>
    <t>boy|pushed off a cliff|rat|secret passage|vampire</t>
  </si>
  <si>
    <t>The Day the Earth Stood Still </t>
  </si>
  <si>
    <t>alien|earth|giant robot|military|scientist</t>
  </si>
  <si>
    <t>Mark Illsley</t>
  </si>
  <si>
    <t>Ally Walker</t>
  </si>
  <si>
    <t>Happy, Texas </t>
  </si>
  <si>
    <t>banker|beauty pageant|escaped convict|gay|pageant</t>
  </si>
  <si>
    <t>David Lean</t>
  </si>
  <si>
    <t>Claude Rains</t>
  </si>
  <si>
    <t>Lawrence of Arabia </t>
  </si>
  <si>
    <t>arab|british military|desert|ottoman empire|t.e. lawrence</t>
  </si>
  <si>
    <t>Jeff Franklin</t>
  </si>
  <si>
    <t>Ivana Milicevic</t>
  </si>
  <si>
    <t>Love Stinks </t>
  </si>
  <si>
    <t>black comedy|marriage|marriage proposal|not taking no for an answer|obsessive woman</t>
  </si>
  <si>
    <t>Alessandro Nivola</t>
  </si>
  <si>
    <t>Coco Before Chanel </t>
  </si>
  <si>
    <t>baron|fashion|hat|nickname|orphanage</t>
  </si>
  <si>
    <t>Rob Reiner</t>
  </si>
  <si>
    <t>Adventure|Family|Fantasy|Romance</t>
  </si>
  <si>
    <t>The Princess Bride </t>
  </si>
  <si>
    <t>fairy tale|giant|pirate|princess|true love</t>
  </si>
  <si>
    <t>Jeremy Saulnier</t>
  </si>
  <si>
    <t>Devin Ratray</t>
  </si>
  <si>
    <t>Blue Ruin </t>
  </si>
  <si>
    <t>blood splatter|car|neo noir|vengeance|vomiting</t>
  </si>
  <si>
    <t>Halloween </t>
  </si>
  <si>
    <t>halloween|masked killer|michael myers|slasher|trick or treat</t>
  </si>
  <si>
    <t>Zack Ward</t>
  </si>
  <si>
    <t>Transformers </t>
  </si>
  <si>
    <t>alien contact|autobot|decepticon|robot vs. robot|teenage hero</t>
  </si>
  <si>
    <t>Garry Marshall</t>
  </si>
  <si>
    <t>The Princess Diaries </t>
  </si>
  <si>
    <t>cinderella story|fish out of water|makeover|manners|princess</t>
  </si>
  <si>
    <t>The Guilt Trip </t>
  </si>
  <si>
    <t>cross country|love|mother son relationship|on the road|trip</t>
  </si>
  <si>
    <t>Clark Gregg</t>
  </si>
  <si>
    <t>Choke </t>
  </si>
  <si>
    <t>choking|friend|hospital|restaurant|scam</t>
  </si>
  <si>
    <t>Robert Harmon</t>
  </si>
  <si>
    <t>Alexander Gould</t>
  </si>
  <si>
    <t>They </t>
  </si>
  <si>
    <t>darkness|friend|kiss|nightmare|suicide</t>
  </si>
  <si>
    <t>Bille August</t>
  </si>
  <si>
    <t>Smilla's Sense of Snow </t>
  </si>
  <si>
    <t>boy|greenland|neighbor|roof|snow</t>
  </si>
  <si>
    <t>Denmark</t>
  </si>
  <si>
    <t>Legal Eagles </t>
  </si>
  <si>
    <t>judicial|judiciary|lawyer|murder|painting</t>
  </si>
  <si>
    <t>Alex Pettyfer</t>
  </si>
  <si>
    <t>Lee Daniels' The Butler </t>
  </si>
  <si>
    <t>butler|civil rights|hotel|president|white house</t>
  </si>
  <si>
    <t>Tim Hill</t>
  </si>
  <si>
    <t>Comedy|Crime|Family</t>
  </si>
  <si>
    <t>Max Keeble's Big Move </t>
  </si>
  <si>
    <t>bully|moving|principal|revenge|school</t>
  </si>
  <si>
    <t>Daniel Barnz</t>
  </si>
  <si>
    <t>Beastly </t>
  </si>
  <si>
    <t>love|maid|newscaster|student|tutor</t>
  </si>
  <si>
    <t>Michael D. Sellers</t>
  </si>
  <si>
    <t>Katharine Ross</t>
  </si>
  <si>
    <t>Eye of the Dolphin </t>
  </si>
  <si>
    <t>dolphin|island|research|tourist|town</t>
  </si>
  <si>
    <t>Bob Dolman</t>
  </si>
  <si>
    <t>The Banger Sisters </t>
  </si>
  <si>
    <t>bartender|groupie|lawyer|road trip|writer</t>
  </si>
  <si>
    <t>Rich Christiano</t>
  </si>
  <si>
    <t>Drama|Fantasy|Sci-Fi</t>
  </si>
  <si>
    <t>Gavin MacLeod</t>
  </si>
  <si>
    <t>Time Changer </t>
  </si>
  <si>
    <t>bible|christian propaganda|christianity|time machine|zealot</t>
  </si>
  <si>
    <t>Catherine Hardwicke</t>
  </si>
  <si>
    <t>Twilight </t>
  </si>
  <si>
    <t>blood|high school|love|school|vampire</t>
  </si>
  <si>
    <t>Sunshine State </t>
  </si>
  <si>
    <t>african american|business|coastline|florida|real estate</t>
  </si>
  <si>
    <t>Steve Oedekerk</t>
  </si>
  <si>
    <t>Bruce Spence</t>
  </si>
  <si>
    <t>Ace Ventura: When Nature Calls </t>
  </si>
  <si>
    <t>africa|bat|hawaiian shirt|pregnancy|pregnant</t>
  </si>
  <si>
    <t>Alfonso CuarÃ³n</t>
  </si>
  <si>
    <t>Children of Men </t>
  </si>
  <si>
    <t>chaos|england|long take|survival|violence</t>
  </si>
  <si>
    <t>Steven Bauer</t>
  </si>
  <si>
    <t>Raising Cain </t>
  </si>
  <si>
    <t>hitchcockian|long tracking shot|psychologist|psychology|wig</t>
  </si>
  <si>
    <t>Rip Torn</t>
  </si>
  <si>
    <t>Welcome to Mooseport </t>
  </si>
  <si>
    <t>mayor|pink panties|upskirt|white panties|yellow panties</t>
  </si>
  <si>
    <t>Sam Peckinpah</t>
  </si>
  <si>
    <t>Adventure|War|Western</t>
  </si>
  <si>
    <t>James Coburn</t>
  </si>
  <si>
    <t>Major Dundee </t>
  </si>
  <si>
    <t>apache|apache indian|confederate|mexico|scout</t>
  </si>
  <si>
    <t>Edward Burns</t>
  </si>
  <si>
    <t>Kerry BishÃ©</t>
  </si>
  <si>
    <t>Newlyweds </t>
  </si>
  <si>
    <t>written and directed by cast member</t>
  </si>
  <si>
    <t>Mel Gibson</t>
  </si>
  <si>
    <t>Mhairi Calvey</t>
  </si>
  <si>
    <t>Braveheart </t>
  </si>
  <si>
    <t>14th century|legend|revolt|scotland|tyranny</t>
  </si>
  <si>
    <t>The Godfather: Part III </t>
  </si>
  <si>
    <t>1970s|family relationships|mob hit|opera|repeating history</t>
  </si>
  <si>
    <t>Krista Allen</t>
  </si>
  <si>
    <t>The Final Destination </t>
  </si>
  <si>
    <t>attempted suicide|car crash|collapsing scaffold|overflowing bathtub|tooth knocked out</t>
  </si>
  <si>
    <t>Vincent Paronnaud</t>
  </si>
  <si>
    <t>Animation|Biography|Drama|War</t>
  </si>
  <si>
    <t>Persepolis </t>
  </si>
  <si>
    <t>dream|girl|iran|islamic revolution|revolution</t>
  </si>
  <si>
    <t>Steve Rash</t>
  </si>
  <si>
    <t>Barry Corbin</t>
  </si>
  <si>
    <t>Held Up </t>
  </si>
  <si>
    <t>hold up|hostage|stockholm syndrome|swat team|vegetarian</t>
  </si>
  <si>
    <t>Douglas Aarniokoski</t>
  </si>
  <si>
    <t>Highlander: Endgame </t>
  </si>
  <si>
    <t>battle|explosion|immortal|revenge|sequel to cult film</t>
  </si>
  <si>
    <t>Melina Kanakaredes</t>
  </si>
  <si>
    <t>The Long Kiss Goodnight </t>
  </si>
  <si>
    <t>amnesia|chase|foot chase|strong female character|vomiting</t>
  </si>
  <si>
    <t>Goodfellas </t>
  </si>
  <si>
    <t>betrayal|gangster|mafia|organized crime|robbery</t>
  </si>
  <si>
    <t>Marcos Siega</t>
  </si>
  <si>
    <t>Underclassman </t>
  </si>
  <si>
    <t>police|private school|shootout|undercover|wigger</t>
  </si>
  <si>
    <t>Emma-Kate Croghan</t>
  </si>
  <si>
    <t>Radha Mitchell</t>
  </si>
  <si>
    <t>Love and Other Catastrophes </t>
  </si>
  <si>
    <t>film school|love|medical student|student|university</t>
  </si>
  <si>
    <t>John Polson</t>
  </si>
  <si>
    <t>Hide and Seek </t>
  </si>
  <si>
    <t>bathtub|psychologist|pushed out a window|smothered with a pillow|telescope</t>
  </si>
  <si>
    <t>Madea's Witness Protection </t>
  </si>
  <si>
    <t>critically bashed|culture shock|interracial relationship|madea series|ponzi scheme</t>
  </si>
  <si>
    <t>Dominic Sena</t>
  </si>
  <si>
    <t>Swordfish </t>
  </si>
  <si>
    <t>computer|secret agent|terrorism|told in flashback|wearing a sound wire</t>
  </si>
  <si>
    <t>90 Minutes in Heaven </t>
  </si>
  <si>
    <t>heaven|hospital|praying|pronounced dead|recovery</t>
  </si>
  <si>
    <t>Dark Shadows </t>
  </si>
  <si>
    <t>camera shot of feet|cartoon on tv|female stockinged feet|female stockinged soles|foot closeup</t>
  </si>
  <si>
    <t>Gary Shore</t>
  </si>
  <si>
    <t>Action|Drama|Fantasy|Horror|War</t>
  </si>
  <si>
    <t>Dracula Untold </t>
  </si>
  <si>
    <t>death of wife|dracula|tarantula|turk|vampire</t>
  </si>
  <si>
    <t>Biography|Crime|Drama|History|Western</t>
  </si>
  <si>
    <t>The Assassination of Jesse James by the Coward Robert Ford </t>
  </si>
  <si>
    <t>long title|outlaw|robbery|train|train robbery</t>
  </si>
  <si>
    <t>Lars von Trier</t>
  </si>
  <si>
    <t>Crime|Drama|Musical</t>
  </si>
  <si>
    <t>Dancer in the Dark </t>
  </si>
  <si>
    <t>ends with quotation|execution|factory|women's prison|year 1964</t>
  </si>
  <si>
    <t>Robin Budd</t>
  </si>
  <si>
    <t>Return to Never Land </t>
  </si>
  <si>
    <t>1940s|gang that lives together|outlaw gang|rescue|sequel</t>
  </si>
  <si>
    <t>Daniel Espinosa</t>
  </si>
  <si>
    <t>Safe House </t>
  </si>
  <si>
    <t>cia|cia agent|consulate|on the run|safe house</t>
  </si>
  <si>
    <t>Ronin </t>
  </si>
  <si>
    <t>case|ex kgb|ronin|russian|suitcase</t>
  </si>
  <si>
    <t>Romeo + Juliet </t>
  </si>
  <si>
    <t>hawaiian shirt|love|shakespeare adaptation|shakespeare play|star crossed lovers</t>
  </si>
  <si>
    <t>Sara Sugarman</t>
  </si>
  <si>
    <t>Comedy|Family|Music|Romance</t>
  </si>
  <si>
    <t>Adam Garcia</t>
  </si>
  <si>
    <t>Confessions of a Teenage Drama Queen </t>
  </si>
  <si>
    <t>band|friend|new york city|suburb|teenager</t>
  </si>
  <si>
    <t>Michael Meredith</t>
  </si>
  <si>
    <t>The Open Road </t>
  </si>
  <si>
    <t>american south|baseball|farmland|motel|road trip</t>
  </si>
  <si>
    <t>Darren Stein</t>
  </si>
  <si>
    <t>Jawbreaker </t>
  </si>
  <si>
    <t>best friend|bitch|friend|popular girl|prom</t>
  </si>
  <si>
    <t>The Princess Diaries 2: Royal Engagement </t>
  </si>
  <si>
    <t>coronation|horse|princess|queen|side saddle</t>
  </si>
  <si>
    <t>Aki KaurismÃ¤ki</t>
  </si>
  <si>
    <t>Jean-Pierre LÃ©aud</t>
  </si>
  <si>
    <t>Le Havre </t>
  </si>
  <si>
    <t>bar|container|illegal immigrant|neighbor|shoe shiner</t>
  </si>
  <si>
    <t>Finland</t>
  </si>
  <si>
    <t>Frank Coraci</t>
  </si>
  <si>
    <t>Click </t>
  </si>
  <si>
    <t>architect|frozen time|obese man|remote control|stopped time</t>
  </si>
  <si>
    <t>Joe Johnston</t>
  </si>
  <si>
    <t>Action|Adventure|Western</t>
  </si>
  <si>
    <t>Hidalgo </t>
  </si>
  <si>
    <t>arab|cowboy|horse|race|sheik</t>
  </si>
  <si>
    <t>Alex Rivera</t>
  </si>
  <si>
    <t>Drama|Romance|Sci-Fi|Thriller</t>
  </si>
  <si>
    <t>Leonor Varela</t>
  </si>
  <si>
    <t>Sleep Dealer </t>
  </si>
  <si>
    <t>computer|future|mexican immigrant|network|wilhelm scream</t>
  </si>
  <si>
    <t>Sphere </t>
  </si>
  <si>
    <t>manifestation|ocean|spacecraft|spaceship|sphere</t>
  </si>
  <si>
    <t>The Specials </t>
  </si>
  <si>
    <t>action figure|press conference|superhero|superhero team|toy</t>
  </si>
  <si>
    <t>David Moreau</t>
  </si>
  <si>
    <t>The Eye </t>
  </si>
  <si>
    <t>cellular memory|eye|eye transplant|seeing dead people|violinist</t>
  </si>
  <si>
    <t>Mark Osborne</t>
  </si>
  <si>
    <t>Adventure|Animation|Drama|Family|Fantasy</t>
  </si>
  <si>
    <t>The Little Prince </t>
  </si>
  <si>
    <t>aviator|based on book|girl|little girl|the little prince</t>
  </si>
  <si>
    <t>Ted Demme</t>
  </si>
  <si>
    <t>Blow </t>
  </si>
  <si>
    <t>1960s|1970s|california|cocaine|wealth</t>
  </si>
  <si>
    <t>Lucy </t>
  </si>
  <si>
    <t>brain capacity|drugs|fictional drug|one woman army|tough girl</t>
  </si>
  <si>
    <t>Jay Russell</t>
  </si>
  <si>
    <t>Clint Howard</t>
  </si>
  <si>
    <t>My Dog Skip </t>
  </si>
  <si>
    <t>1940s|dog|mississippi|puppy|veteran</t>
  </si>
  <si>
    <t>Kung Fu Panda </t>
  </si>
  <si>
    <t>kung fu|kung fu master|master|panda|snow leopard</t>
  </si>
  <si>
    <t>Joe Carnahan</t>
  </si>
  <si>
    <t>The Grey </t>
  </si>
  <si>
    <t>alaska|leadership|snow|survival|wilderness</t>
  </si>
  <si>
    <t>Stephen Hopkins</t>
  </si>
  <si>
    <t>Stephen Rea</t>
  </si>
  <si>
    <t>The Reaping </t>
  </si>
  <si>
    <t>biblical plague|louisiana|missionary|plague|small town</t>
  </si>
  <si>
    <t>Mel Smith</t>
  </si>
  <si>
    <t>Action|Comedy|Drama</t>
  </si>
  <si>
    <t>High Heels and Low Lifes </t>
  </si>
  <si>
    <t>attempted murder|blackmail|diver's watch|nurse|satire</t>
  </si>
  <si>
    <t>Andrew Davis</t>
  </si>
  <si>
    <t>Action|Adventure|Crime|Drama|Mystery|Thriller</t>
  </si>
  <si>
    <t>The Fugitive </t>
  </si>
  <si>
    <t>hospital|on the run|one armed man|surgeon|u.s. marshal</t>
  </si>
  <si>
    <t>Mel Brooks</t>
  </si>
  <si>
    <t>Madeline Kahn</t>
  </si>
  <si>
    <t>Young Frankenstein </t>
  </si>
  <si>
    <t>assistant|castle|experiment|frankenstein's monster|scientist</t>
  </si>
  <si>
    <t>Premium Rush </t>
  </si>
  <si>
    <t>chase|courier|delivery|envelope|police</t>
  </si>
  <si>
    <t>Glenn Morshower</t>
  </si>
  <si>
    <t>Transformers: Revenge of the Fallen </t>
  </si>
  <si>
    <t>autobot|decepticon|machine|sun|symbol</t>
  </si>
  <si>
    <t>Kevin Greutert</t>
  </si>
  <si>
    <t>Saw 3D: The Final Chapter </t>
  </si>
  <si>
    <t>blood splatter|self help guru|sequel|support group|survivor</t>
  </si>
  <si>
    <t>Drama|Horror|Romance|Thriller</t>
  </si>
  <si>
    <t>Mary Reilly </t>
  </si>
  <si>
    <t>19th century|butler|housemaid|laboratory|servant</t>
  </si>
  <si>
    <t>Hugh Johnson</t>
  </si>
  <si>
    <t>Action|Adventure|Comedy|Drama|Thriller</t>
  </si>
  <si>
    <t>David Paymer</t>
  </si>
  <si>
    <t>Chill Factor </t>
  </si>
  <si>
    <t>colonel|ice|ice cream truck|military|u.s. army</t>
  </si>
  <si>
    <t>An Unfinished Life </t>
  </si>
  <si>
    <t>abusive boyfriend|bear|car accident|ranch|wyoming</t>
  </si>
  <si>
    <t>Bruce Paltrow</t>
  </si>
  <si>
    <t>Lochlyn Munro</t>
  </si>
  <si>
    <t>Duets </t>
  </si>
  <si>
    <t>convict|karaoke|middle america|salesman|singer</t>
  </si>
  <si>
    <t>Gurinder Chadha</t>
  </si>
  <si>
    <t>Indira Varma</t>
  </si>
  <si>
    <t>Bride &amp; Prejudice </t>
  </si>
  <si>
    <t>bollywood|india|jane austen|london england|travel</t>
  </si>
  <si>
    <t>Vicente Amorim</t>
  </si>
  <si>
    <t>Good </t>
  </si>
  <si>
    <t>censorship|children|corpse|heil hitler|suffering</t>
  </si>
  <si>
    <t>Match Point </t>
  </si>
  <si>
    <t>extramarital affair|infidelity|irony of fate|surprise ending|tennis</t>
  </si>
  <si>
    <t>James Algar</t>
  </si>
  <si>
    <t>Animation|Family|Fantasy|Music</t>
  </si>
  <si>
    <t>Quincy Jones</t>
  </si>
  <si>
    <t>Fantasia 2000 </t>
  </si>
  <si>
    <t>abstract|ark|disney|fairy tale|piano</t>
  </si>
  <si>
    <t>Iron Man </t>
  </si>
  <si>
    <t>afghanistan|billionaire|inventor|playboy|u.s. air force</t>
  </si>
  <si>
    <t>Seychelle Gabriel</t>
  </si>
  <si>
    <t>The Last Airbender </t>
  </si>
  <si>
    <t>avatar|fire|kingdom|tribe|water</t>
  </si>
  <si>
    <t>Lynne Ramsay</t>
  </si>
  <si>
    <t>We Need to Talk About Kevin </t>
  </si>
  <si>
    <t>archery|defiance|mental illness|psychopath|toilet training</t>
  </si>
  <si>
    <t>Thomas Vinterberg</t>
  </si>
  <si>
    <t>Ulrich Thomsen</t>
  </si>
  <si>
    <t>The Celebration </t>
  </si>
  <si>
    <t>dogme 95|family secret|haunted by the past|secret|speech</t>
  </si>
  <si>
    <t>Danish</t>
  </si>
  <si>
    <t>Peter Berg</t>
  </si>
  <si>
    <t>The Kingdom </t>
  </si>
  <si>
    <t>al qaeda|bomb making|fbi|saudi arabia|stabbed in the crotch</t>
  </si>
  <si>
    <t>Michael Apted</t>
  </si>
  <si>
    <t>Chasing Mavericks </t>
  </si>
  <si>
    <t>box office flop|no opening credits|surfing|two word title|year 1987</t>
  </si>
  <si>
    <t>Ulrich Tukur</t>
  </si>
  <si>
    <t>The White Ribbon </t>
  </si>
  <si>
    <t>children|doctor|mysterious event|pastor|small village</t>
  </si>
  <si>
    <t>Jason Eisener</t>
  </si>
  <si>
    <t>Action|Comedy|Thriller</t>
  </si>
  <si>
    <t>Hobo with a Shotgun </t>
  </si>
  <si>
    <t>hobo|pedophile|rampage|shotgun|vigilante</t>
  </si>
  <si>
    <t>Action|Adventure|Drama|Mystery</t>
  </si>
  <si>
    <t>Peter Firth</t>
  </si>
  <si>
    <t>Risen </t>
  </si>
  <si>
    <t>biblical|crucifixion|judea|resurrection|roman soldier</t>
  </si>
  <si>
    <t>Roger Allam</t>
  </si>
  <si>
    <t>The Queen </t>
  </si>
  <si>
    <t>monarchy|prime minister|princess diana|queen|speech</t>
  </si>
  <si>
    <t>Peyton Reed</t>
  </si>
  <si>
    <t>Ant-Man </t>
  </si>
  <si>
    <t>ant|chinatown san francisco|heist|sabotage|vault</t>
  </si>
  <si>
    <t>Dan Byrd</t>
  </si>
  <si>
    <t>A Cinderella Story </t>
  </si>
  <si>
    <t>cinderella story|correspondence|evil step mother|female protagonist|teenage girl</t>
  </si>
  <si>
    <t>Haywire </t>
  </si>
  <si>
    <t>die hard scenario|one woman army|rescue|soldier|super soldier</t>
  </si>
  <si>
    <t>Bicentennial Man </t>
  </si>
  <si>
    <t>23rd century|android|artificial intelligence|dual role|robot</t>
  </si>
  <si>
    <t>Mumford </t>
  </si>
  <si>
    <t>college|drugs|patient|psychologist|secret</t>
  </si>
  <si>
    <t>Jay Duplass</t>
  </si>
  <si>
    <t>Cyrus </t>
  </si>
  <si>
    <t>21 year old|forename as title|musician|party|rearview mirror</t>
  </si>
  <si>
    <t>The Rainmaker </t>
  </si>
  <si>
    <t>courtroom|domestic violence|insurance company|lawyer|underdog</t>
  </si>
  <si>
    <t>Jill Sprecher</t>
  </si>
  <si>
    <t>Thirteen Conversations About One Thing </t>
  </si>
  <si>
    <t>attorney|happiness|house cleaner|physics|professor</t>
  </si>
  <si>
    <t>Daniel Sackheim</t>
  </si>
  <si>
    <t>Chris Noth</t>
  </si>
  <si>
    <t>The Glass House </t>
  </si>
  <si>
    <t>car|car accident|death|friend|glass</t>
  </si>
  <si>
    <t>Jennifer Ehle</t>
  </si>
  <si>
    <t>Black or White </t>
  </si>
  <si>
    <t>color in title</t>
  </si>
  <si>
    <t>Robert Iscove</t>
  </si>
  <si>
    <t>She's All That </t>
  </si>
  <si>
    <t>bet|friend|high school|prom|prom queen</t>
  </si>
  <si>
    <t>Martin Lawrence</t>
  </si>
  <si>
    <t>Faizon Love</t>
  </si>
  <si>
    <t>A Thin Line Between Love and Hate </t>
  </si>
  <si>
    <t>african american|dating|independent film|irreverence|revenge</t>
  </si>
  <si>
    <t>Scott Cooper</t>
  </si>
  <si>
    <t>Crazy Heart </t>
  </si>
  <si>
    <t>country music|country western singer|journalist|musician|singer</t>
  </si>
  <si>
    <t>Red Riding Hood </t>
  </si>
  <si>
    <t>death|forest|love|werewolf|werewolf bite</t>
  </si>
  <si>
    <t>Verne Troyer</t>
  </si>
  <si>
    <t>Austin Powers in Goldmember </t>
  </si>
  <si>
    <t>fem bot|prison|seductive fembot|spy|time travel</t>
  </si>
  <si>
    <t>Ralph Ziman</t>
  </si>
  <si>
    <t>Rapulana Seiphemo</t>
  </si>
  <si>
    <t>Gangster's Paradise: Jerusalema </t>
  </si>
  <si>
    <t>carjacking|drug lord|johannesburg south africa|police|post apartheid</t>
  </si>
  <si>
    <t>South Africa</t>
  </si>
  <si>
    <t>Daniel Barber</t>
  </si>
  <si>
    <t>Joseph Gilgun</t>
  </si>
  <si>
    <t>Harry Brown </t>
  </si>
  <si>
    <t>bayonet|death|police|self defense|widower</t>
  </si>
  <si>
    <t>How to Lose a Guy in 10 Days </t>
  </si>
  <si>
    <t>advertising executive|diamond|magazine|party|wager</t>
  </si>
  <si>
    <t>John Lee Hancock</t>
  </si>
  <si>
    <t>Biography|Comedy|Drama|History|Music</t>
  </si>
  <si>
    <t>Saving Mr. Banks </t>
  </si>
  <si>
    <t>author|disney|loss of father|reference to walt disney|suppression of emotion</t>
  </si>
  <si>
    <t>Jason Friedberg</t>
  </si>
  <si>
    <t>David Carradine</t>
  </si>
  <si>
    <t>Epic Movie </t>
  </si>
  <si>
    <t>chocolate|chocolate factory|factory|orphan|student</t>
  </si>
  <si>
    <t>Transporter 2 </t>
  </si>
  <si>
    <t>driver|french|kidnapping|police|sequel</t>
  </si>
  <si>
    <t>Geoffrey Sax</t>
  </si>
  <si>
    <t>Action|Adventure|Family|Thriller</t>
  </si>
  <si>
    <t>Alex Rider: Operation Stormbreaker </t>
  </si>
  <si>
    <t>14 year old|british|gadget|spy|training</t>
  </si>
  <si>
    <t>Epic </t>
  </si>
  <si>
    <t>father daughter relationship|forest|miniature person|shrinking|sword and fantasy</t>
  </si>
  <si>
    <t>Ondine </t>
  </si>
  <si>
    <t>celtic mythology|cottage|fisherman|irish|selkie</t>
  </si>
  <si>
    <t>Essie Davis</t>
  </si>
  <si>
    <t>Australia </t>
  </si>
  <si>
    <t>australia|cattle|darwin|drover|japanese</t>
  </si>
  <si>
    <t>Enemy of the State </t>
  </si>
  <si>
    <t>congressman|lawyer|nsa|on the run|surveillance</t>
  </si>
  <si>
    <t>Olivier Assayas</t>
  </si>
  <si>
    <t>Paris, je t'aime </t>
  </si>
  <si>
    <t>baby|divorce|oscar wilde|pigalle|tourist</t>
  </si>
  <si>
    <t>Bloody Sunday </t>
  </si>
  <si>
    <t>civil rights|irish|march|northern ireland|protest march</t>
  </si>
  <si>
    <t>Kirsten Sheridan</t>
  </si>
  <si>
    <t>August Rush </t>
  </si>
  <si>
    <t>baby|cellist|genius|prodigy|rhapsody</t>
  </si>
  <si>
    <t>Comedy|Documentary|War</t>
  </si>
  <si>
    <t>Bill Maher</t>
  </si>
  <si>
    <t>Religulous </t>
  </si>
  <si>
    <t>catholic|christian|jew|muslim|religion</t>
  </si>
  <si>
    <t>The Score </t>
  </si>
  <si>
    <t>partner|running|scepter|surveillance|thief</t>
  </si>
  <si>
    <t>Heidi Ewing</t>
  </si>
  <si>
    <t>Greg Crowe</t>
  </si>
  <si>
    <t>Freakonomics </t>
  </si>
  <si>
    <t>cheating|economics|experiment|human nature|sumo wrestling</t>
  </si>
  <si>
    <t>Lesley Manville</t>
  </si>
  <si>
    <t>All or Nothing </t>
  </si>
  <si>
    <t>love|neighbor|single parent|supermarket|working class</t>
  </si>
  <si>
    <t>Jonathan Lynn</t>
  </si>
  <si>
    <t>Rupert Grint</t>
  </si>
  <si>
    <t>Wild Target </t>
  </si>
  <si>
    <t>apprentice|assassin|hitman|kleptomaniac|thief</t>
  </si>
  <si>
    <t>Bono</t>
  </si>
  <si>
    <t>BrÃ¼no </t>
  </si>
  <si>
    <t>austrian|fame|fashion|gay lead character|mockumentary</t>
  </si>
  <si>
    <t>Christine Jeffs</t>
  </si>
  <si>
    <t>Sunshine Cleaning </t>
  </si>
  <si>
    <t>business|crime scene cleanup|private school|school|sister sister relationship</t>
  </si>
  <si>
    <t>Ole Bornedal</t>
  </si>
  <si>
    <t>Kyra Sedgwick</t>
  </si>
  <si>
    <t>The Possession </t>
  </si>
  <si>
    <t>basketball coach|box|jewish|rabbi|yard sale</t>
  </si>
  <si>
    <t>Jerry Jameson</t>
  </si>
  <si>
    <t>Captive </t>
  </si>
  <si>
    <t>auto theft|based on true story|drug addict|kidnapping|violence</t>
  </si>
  <si>
    <t>Madagascar 3: Europe's Most Wanted </t>
  </si>
  <si>
    <t>animal|circus|island name in title|lemur|penguin</t>
  </si>
  <si>
    <t>Leslie Small</t>
  </si>
  <si>
    <t>David Jason Perez</t>
  </si>
  <si>
    <t>Kevin Hart: Let Me Explain </t>
  </si>
  <si>
    <t>lying|montreal|reference to twitter|reference to youtube|toronto</t>
  </si>
  <si>
    <t>Pierre Morel</t>
  </si>
  <si>
    <t>The Gunman </t>
  </si>
  <si>
    <t>assassination|blood vomiting|death|hit squad|mercenary</t>
  </si>
  <si>
    <t>Heather Locklear</t>
  </si>
  <si>
    <t>Money Talks </t>
  </si>
  <si>
    <t>blood splatter|fistfight|murder|police|prison bus</t>
  </si>
  <si>
    <t>Eagle Eye </t>
  </si>
  <si>
    <t>audio surveillance|death|pentagon|technology|twin brother</t>
  </si>
  <si>
    <t>Daniel Lee</t>
  </si>
  <si>
    <t>Action|Adventure|Drama|History</t>
  </si>
  <si>
    <t>Si Won Choi</t>
  </si>
  <si>
    <t>Dragon Blade </t>
  </si>
  <si>
    <t>child fugitive|final battle|martial art|silk road|sword</t>
  </si>
  <si>
    <t>V for Vendetta </t>
  </si>
  <si>
    <t>dystopia|freedom|government|revolution|terrorist</t>
  </si>
  <si>
    <t>David Silverman</t>
  </si>
  <si>
    <t>Adventure|Animation|Comedy</t>
  </si>
  <si>
    <t>Albert Brooks</t>
  </si>
  <si>
    <t>The Simpsons Movie </t>
  </si>
  <si>
    <t>alaska|dome|lake|pig|the simpsons</t>
  </si>
  <si>
    <t>Akira Kurosawa</t>
  </si>
  <si>
    <t>Takashi Shimura</t>
  </si>
  <si>
    <t>Seven Samurai </t>
  </si>
  <si>
    <t>16th century|battle|japan|practice|samurai</t>
  </si>
  <si>
    <t>Chris Klein</t>
  </si>
  <si>
    <t>Street Fighter: The Legend of Chun-Li </t>
  </si>
  <si>
    <t>chun li|crime fighter|gangster|mobster|rescue</t>
  </si>
  <si>
    <t>The Matrix Revolutions </t>
  </si>
  <si>
    <t>battle|epic|fight|future|machine</t>
  </si>
  <si>
    <t>Zoe Kazan</t>
  </si>
  <si>
    <t>Me and Orson Welles </t>
  </si>
  <si>
    <t>high school|mercury theatre|opening night|school|theatre</t>
  </si>
  <si>
    <t>Star Wars: Episode III - Revenge of the Sith </t>
  </si>
  <si>
    <t>elongated cry of no|friends become enemies|kicked in the butt|robotic midwife|vision</t>
  </si>
  <si>
    <t>Spy Game </t>
  </si>
  <si>
    <t>china|cia|cold war|friendship|retirement</t>
  </si>
  <si>
    <t>Charles Martin Smith</t>
  </si>
  <si>
    <t>Dolphin Tale 2 </t>
  </si>
  <si>
    <t>dolphin|latex gloves|medical scrubs|purple gloves|turtle</t>
  </si>
  <si>
    <t>Michael Corrente</t>
  </si>
  <si>
    <t>Jerry Ferrara</t>
  </si>
  <si>
    <t>Brooklyn Rules </t>
  </si>
  <si>
    <t>1980s|friend|friendship|loyalty|mafia</t>
  </si>
  <si>
    <t>Wall Street: Money Never Sleeps </t>
  </si>
  <si>
    <t>corporate greed|crisis|economy|greed|mentor</t>
  </si>
  <si>
    <t>Vicky Jenson</t>
  </si>
  <si>
    <t>Post Grad </t>
  </si>
  <si>
    <t>graduation|graduation speech|title directed by female|tv studio|unemployment</t>
  </si>
  <si>
    <t>Austin Pendleton</t>
  </si>
  <si>
    <t>Sgt. Bilko </t>
  </si>
  <si>
    <t>greenland|military|revenge|soldier|u.s. soldier</t>
  </si>
  <si>
    <t>Paul Bolger</t>
  </si>
  <si>
    <t>Happily N'Ever After </t>
  </si>
  <si>
    <t>apostrophe in title|cinderella|first of series|punctuation in title|three word title</t>
  </si>
  <si>
    <t>Tim Miller</t>
  </si>
  <si>
    <t>Action|Adventure|Comedy|Romance|Sci-Fi</t>
  </si>
  <si>
    <t>Deadpool </t>
  </si>
  <si>
    <t>based on comic book|breaking the fourth wall|mercenary|mutant|self healing</t>
  </si>
  <si>
    <t>Nancy Meyers</t>
  </si>
  <si>
    <t>Something's Gotta Give </t>
  </si>
  <si>
    <t>beach|dating|doctor|heart attack|weekend</t>
  </si>
  <si>
    <t>Rocky </t>
  </si>
  <si>
    <t>boxer|hometown hero|philadelphia pennsylvania|protective male|training</t>
  </si>
  <si>
    <t>Philomena </t>
  </si>
  <si>
    <t>catholic|convent|gay love|gay relationship|irish adoption board</t>
  </si>
  <si>
    <t>Johnny Remo</t>
  </si>
  <si>
    <t>Matthew Ziff</t>
  </si>
  <si>
    <t>Hardflip </t>
  </si>
  <si>
    <t>family relationships|loss of mother|san diego california|single mother|suicide attempt</t>
  </si>
  <si>
    <t>Alexandre Aja</t>
  </si>
  <si>
    <t>The Hills Have Eyes </t>
  </si>
  <si>
    <t>desert|horror movie remake|murder of family|rape|slasher</t>
  </si>
  <si>
    <t>Elizabeth Berrington</t>
  </si>
  <si>
    <t>In Bruges </t>
  </si>
  <si>
    <t>bruges|bullet|hope|irish|tourist</t>
  </si>
  <si>
    <t>Marley &amp; Me </t>
  </si>
  <si>
    <t>box office hit|dog|dog movie|florida|pet name in title</t>
  </si>
  <si>
    <t>Noel Marshall</t>
  </si>
  <si>
    <t>Tippi Hedren</t>
  </si>
  <si>
    <t>Roar </t>
  </si>
  <si>
    <t>chase|dead man|jungle|killing a lion|killing a tiger</t>
  </si>
  <si>
    <t>Claude Chabrol</t>
  </si>
  <si>
    <t>The Swindle </t>
  </si>
  <si>
    <t>con|con artist|money|scam|sils maria</t>
  </si>
  <si>
    <t>Gary Winick</t>
  </si>
  <si>
    <t>13 Going on 30 </t>
  </si>
  <si>
    <t>13 year old|13th birthday|30 year old|wish|year 1987</t>
  </si>
  <si>
    <t>Giuseppe Tornatore</t>
  </si>
  <si>
    <t>Crime|Drama|Mystery|Romance</t>
  </si>
  <si>
    <t>The Best Offer </t>
  </si>
  <si>
    <t>antique|art|heiress|older man younger woman relationship|plot twist</t>
  </si>
  <si>
    <t>Kevin Tancharoen</t>
  </si>
  <si>
    <t>Kelsey Grammer</t>
  </si>
  <si>
    <t>Fame </t>
  </si>
  <si>
    <t>new york|performing arts|school|student|teacher</t>
  </si>
  <si>
    <t>Mud </t>
  </si>
  <si>
    <t>14 year old|boat|bounty hunter|boy|river</t>
  </si>
  <si>
    <t>Good Will Hunting </t>
  </si>
  <si>
    <t>friend|genius|janitor|loss of wife|professor</t>
  </si>
  <si>
    <t>David Sington</t>
  </si>
  <si>
    <t>Documentary|History</t>
  </si>
  <si>
    <t>John F. Kennedy</t>
  </si>
  <si>
    <t>In the Shadow of the Moon </t>
  </si>
  <si>
    <t>1960s|astronaut|moon|nasa|spacecraft accident</t>
  </si>
  <si>
    <t>Men of Honor </t>
  </si>
  <si>
    <t>african american|amputee|navy|racial discrimination|racism</t>
  </si>
  <si>
    <t>Todd Giebenhain</t>
  </si>
  <si>
    <t>Gigli </t>
  </si>
  <si>
    <t>gangster|hospital|lesbian|mob|thug</t>
  </si>
  <si>
    <t>Kenny Ortega</t>
  </si>
  <si>
    <t>Misha Gabriel Hamilton</t>
  </si>
  <si>
    <t>This Is It </t>
  </si>
  <si>
    <t>2000s|box office hit|comeback|rehearsal|year 2009</t>
  </si>
  <si>
    <t>The History Boys </t>
  </si>
  <si>
    <t>gay|headmaster|oxford|school|teacher</t>
  </si>
  <si>
    <t>Milos Forman</t>
  </si>
  <si>
    <t>Biography|Drama|History|Music</t>
  </si>
  <si>
    <t>Jeffrey Jones</t>
  </si>
  <si>
    <t>Amadeus </t>
  </si>
  <si>
    <t>1800s|classical composer|composer|first person narration|opera</t>
  </si>
  <si>
    <t>Ryan Fleck</t>
  </si>
  <si>
    <t>Half Nelson </t>
  </si>
  <si>
    <t>bathroom|classroom|dialectics|drugs|student</t>
  </si>
  <si>
    <t>George Miller</t>
  </si>
  <si>
    <t>Tina Turner</t>
  </si>
  <si>
    <t>Mad Max Beyond Thunderdome </t>
  </si>
  <si>
    <t>arena|desert|fight|mad max|post apocalypse</t>
  </si>
  <si>
    <t>Rainn Wilson</t>
  </si>
  <si>
    <t>My Super Ex-Girlfriend </t>
  </si>
  <si>
    <t>architect|boyfriend girlfriend relationship|superhero|superhero spoof|supernatural power</t>
  </si>
  <si>
    <t>25th Hour </t>
  </si>
  <si>
    <t>bar|dream|drug dealing|nightclub|widower</t>
  </si>
  <si>
    <t>Lloyd Bacon</t>
  </si>
  <si>
    <t>42nd Street </t>
  </si>
  <si>
    <t>chorus girl|chorus line|director|gala premiere|song</t>
  </si>
  <si>
    <t>Action|Adventure|Horror|Sci-Fi</t>
  </si>
  <si>
    <t>Doom </t>
  </si>
  <si>
    <t>commando unit|extra chromosome|first person shooter|special forces|teleportation</t>
  </si>
  <si>
    <t>Colin Salmon</t>
  </si>
  <si>
    <t>The World Is Not Enough </t>
  </si>
  <si>
    <t>british|oil|scientist|terrorist|tycoon</t>
  </si>
  <si>
    <t>Tears of the Sun </t>
  </si>
  <si>
    <t>dictator|doctor|jungle|rebel|refugee</t>
  </si>
  <si>
    <t>Assassins </t>
  </si>
  <si>
    <t>assassin|floppy disk|modem|rival|russian</t>
  </si>
  <si>
    <t>Live Free or Die Hard </t>
  </si>
  <si>
    <t>fbi|hacker|independence day|police|terrorist</t>
  </si>
  <si>
    <t>Action|Biography|Drama|Thriller|War</t>
  </si>
  <si>
    <t>Lone Survivor </t>
  </si>
  <si>
    <t>courage|navy seal|outnumbered|shot multiple times|survival</t>
  </si>
  <si>
    <t>Boaz Yakin</t>
  </si>
  <si>
    <t>Remember the Titans </t>
  </si>
  <si>
    <t>american football|based on true story|head coach|high school|school</t>
  </si>
  <si>
    <t>Chris Nahon</t>
  </si>
  <si>
    <t>Kiss of the Dragon </t>
  </si>
  <si>
    <t>action hero|chinese|forced prostitution|one man army|title spoken by character</t>
  </si>
  <si>
    <t>Christian Carion</t>
  </si>
  <si>
    <t>Drama|History|Music|Romance|War</t>
  </si>
  <si>
    <t>Gary Lewis</t>
  </si>
  <si>
    <t>Joyeux Noel </t>
  </si>
  <si>
    <t>christmas|no man's land|soldier|trench|world war one</t>
  </si>
  <si>
    <t>Action|Adventure|Comedy|Romance</t>
  </si>
  <si>
    <t>Six Days Seven Nights </t>
  </si>
  <si>
    <t>airplane|island|pilot|storm|thunderstorm</t>
  </si>
  <si>
    <t>Hercules </t>
  </si>
  <si>
    <t>army|greek mythology|hercules|king|mercenary</t>
  </si>
  <si>
    <t>Drama|Fantasy|Romance|Sci-Fi</t>
  </si>
  <si>
    <t>Eternal Sunshine of the Spotless Mind </t>
  </si>
  <si>
    <t>borderline personality disorder|loneliness|memory|playing against type|retrograde narrative</t>
  </si>
  <si>
    <t>Mike Epps</t>
  </si>
  <si>
    <t>All About the Benjamins </t>
  </si>
  <si>
    <t>black comedy|bounty hunter|diamond|machismo|money</t>
  </si>
  <si>
    <t>Todd Lincoln</t>
  </si>
  <si>
    <t>Julianna Guill</t>
  </si>
  <si>
    <t>The Apparition </t>
  </si>
  <si>
    <t>e mail|evil spirit|experiment|fear|supernatural</t>
  </si>
  <si>
    <t>Comedy|Crime|Musical</t>
  </si>
  <si>
    <t>Chicago </t>
  </si>
  <si>
    <t>fame|jail|jazz age|murder|vaudeville</t>
  </si>
  <si>
    <t>Busy Philipps</t>
  </si>
  <si>
    <t>White Chicks </t>
  </si>
  <si>
    <t>african american|crossdresser|fbi|undercover|vomiting</t>
  </si>
  <si>
    <t>David Gordon Green</t>
  </si>
  <si>
    <t>Joe </t>
  </si>
  <si>
    <t>alcoholic|cigarette smoking|father son relationship|teenage boy|woods</t>
  </si>
  <si>
    <t>James Bridges</t>
  </si>
  <si>
    <t>Bright Lights, Big City </t>
  </si>
  <si>
    <t>estranged wife|fashion show|magazine|new york city|writer</t>
  </si>
  <si>
    <t>Charlie and the Chocolate Factory </t>
  </si>
  <si>
    <t>chocolate|diminution|miniaturization|physical flexability|ticket</t>
  </si>
  <si>
    <t>Safe </t>
  </si>
  <si>
    <t>bodyguard|gang war|russian|russian mafia|triad</t>
  </si>
  <si>
    <t>The Avengers </t>
  </si>
  <si>
    <t>alien invasion|assassin|battle|iron man|soldier</t>
  </si>
  <si>
    <t>The One </t>
  </si>
  <si>
    <t>fight|multiverse|police|police officer|prison</t>
  </si>
  <si>
    <t>Troy Nixey</t>
  </si>
  <si>
    <t>Bailee Madison</t>
  </si>
  <si>
    <t>Don't Be Afraid of the Dark </t>
  </si>
  <si>
    <t>basement|creature|disappearance|interior designer|mansion</t>
  </si>
  <si>
    <t>Garth Jennings</t>
  </si>
  <si>
    <t>The Hitchhiker's Guide to the Galaxy </t>
  </si>
  <si>
    <t>alien|friend|galaxy|hyperspace|spaceship</t>
  </si>
  <si>
    <t>Chris Carter</t>
  </si>
  <si>
    <t>Mitch Pileggi</t>
  </si>
  <si>
    <t>The X Files: I Want to Believe </t>
  </si>
  <si>
    <t>fbi|priest|psychic|psychic vision|staff physician</t>
  </si>
  <si>
    <t>Gregory Poirier</t>
  </si>
  <si>
    <t>Shannon Elizabeth</t>
  </si>
  <si>
    <t>Tomcats </t>
  </si>
  <si>
    <t>box office flop|critically bashed|dominatrix|friend|money</t>
  </si>
  <si>
    <t>The Twilight Saga: New Moon </t>
  </si>
  <si>
    <t>forks washington|protecting a woman|title same as book|vampire|werewolf</t>
  </si>
  <si>
    <t>Zack Snyder</t>
  </si>
  <si>
    <t>Man of Steel </t>
  </si>
  <si>
    <t>based on comic book|british actor playing american character|final battle|origin of hero|reboot</t>
  </si>
  <si>
    <t>Homefront </t>
  </si>
  <si>
    <t>biker|biker gang|dea|dea agent|fight</t>
  </si>
  <si>
    <t>The Big Short </t>
  </si>
  <si>
    <t>bank|banking|finance|fraud|mortgage</t>
  </si>
  <si>
    <t>Eric Leighton</t>
  </si>
  <si>
    <t>Adventure|Animation|Family|Thriller</t>
  </si>
  <si>
    <t>Dinosaur </t>
  </si>
  <si>
    <t>egg|iguanodon|lemur|meteor|nesting grounds</t>
  </si>
  <si>
    <t>Shana Feste</t>
  </si>
  <si>
    <t>Endless Love </t>
  </si>
  <si>
    <t>brother sister relationship|high school graduation|love|sparkler|unfaithful husband</t>
  </si>
  <si>
    <t>Vincent Schiavelli</t>
  </si>
  <si>
    <t>Tomorrow Never Dies </t>
  </si>
  <si>
    <t>ex boyfriend ex girlfriend relationship|media tycoon|megalomaniac|official james bond series|world war three</t>
  </si>
  <si>
    <t>Simon Wells</t>
  </si>
  <si>
    <t>Mark Addy</t>
  </si>
  <si>
    <t>The Time Machine </t>
  </si>
  <si>
    <t>hunter|scientist|time machine|time travel|time travel romance</t>
  </si>
  <si>
    <t>Moonraker </t>
  </si>
  <si>
    <t>astronaut|dog|official james bond series|space shuttle|space shuttle transported on a 747</t>
  </si>
  <si>
    <t>Steve Taylor</t>
  </si>
  <si>
    <t>Jason Marsden</t>
  </si>
  <si>
    <t>Blue Like Jazz </t>
  </si>
  <si>
    <t>church|college|color in title|philosophy|texas</t>
  </si>
  <si>
    <t>2 Fast 2 Furious </t>
  </si>
  <si>
    <t>bust|racing|shotgun|street racing|undercover agent</t>
  </si>
  <si>
    <t>Windtalkers </t>
  </si>
  <si>
    <t>code|duty|steel helmet|u.s. marine|u.s. soldier</t>
  </si>
  <si>
    <t>Stuart Beattie</t>
  </si>
  <si>
    <t>Action|Fantasy|Sci-Fi|Thriller</t>
  </si>
  <si>
    <t>Caitlin Stasey</t>
  </si>
  <si>
    <t>I, Frankenstein </t>
  </si>
  <si>
    <t>army|creature|demon|frankenstein|gargoyle</t>
  </si>
  <si>
    <t>Stig Bergqvist</t>
  </si>
  <si>
    <t>Adventure|Animation|Comedy|Family|Romance</t>
  </si>
  <si>
    <t>Rugrats in Paris: The Movie </t>
  </si>
  <si>
    <t>amusement park|baby|france|paris france|villain</t>
  </si>
  <si>
    <t>Ocean's Eleven </t>
  </si>
  <si>
    <t>card dealer|casino|criminal mastermind|recruiting|ulcer</t>
  </si>
  <si>
    <t>Victor Rasuk</t>
  </si>
  <si>
    <t>Raising Victor Vargas </t>
  </si>
  <si>
    <t>based on short film|manhattan new york city|urination|vomiting|watching television</t>
  </si>
  <si>
    <t>Diane Keaton</t>
  </si>
  <si>
    <t>Adam Arkin</t>
  </si>
  <si>
    <t>Hanging Up </t>
  </si>
  <si>
    <t>actress|clown costume|magazine|party planner|soap opera actress</t>
  </si>
  <si>
    <t>The Three Musketeers </t>
  </si>
  <si>
    <t>box office flop|cardinal richelieu|critically bashed|duel|musketeer</t>
  </si>
  <si>
    <t>Letters to Juliet </t>
  </si>
  <si>
    <t>chick flick|female protagonist|italian stereotype|man in a swimsuit|verona italy</t>
  </si>
  <si>
    <t>Revolutionary Road </t>
  </si>
  <si>
    <t>based on novel|children|connecticut|suburb|work</t>
  </si>
  <si>
    <t>Randall Wallace</t>
  </si>
  <si>
    <t>Jacob Vargas</t>
  </si>
  <si>
    <t>Heaven Is for Real </t>
  </si>
  <si>
    <t>based on true story|christ|christian|near death experience|pastor</t>
  </si>
  <si>
    <t>Paul Thomas Anderson</t>
  </si>
  <si>
    <t>Mike Howard</t>
  </si>
  <si>
    <t>The Master </t>
  </si>
  <si>
    <t>drifter|past life regression|psychological testing|right hand man|scientology</t>
  </si>
  <si>
    <t>The Fisher King </t>
  </si>
  <si>
    <t>friendship|holy grail|massacre|redemption|video store</t>
  </si>
  <si>
    <t>The Terminator </t>
  </si>
  <si>
    <t>cyborg|future war|robot|shootout in a police station|urban setting</t>
  </si>
  <si>
    <t>Drama|Family|Musical|Romance</t>
  </si>
  <si>
    <t>Topol</t>
  </si>
  <si>
    <t>Fiddler on the Roof </t>
  </si>
  <si>
    <t>immigration|jewish|pogrom|tradition|tradition versus modernity</t>
  </si>
  <si>
    <t>Gene Quintano</t>
  </si>
  <si>
    <t>Loaded Weapon 1 </t>
  </si>
  <si>
    <t>cookie|detective|microfilm|parody|sergeant</t>
  </si>
  <si>
    <t>Denys Arcand</t>
  </si>
  <si>
    <t>Comedy|Crime|Drama|Mystery|Romance</t>
  </si>
  <si>
    <t>Marie-JosÃ©e Croze</t>
  </si>
  <si>
    <t>The Barbarian Invasions </t>
  </si>
  <si>
    <t>cancer|dying|friend|money|socialist</t>
  </si>
  <si>
    <t>Mira Nair</t>
  </si>
  <si>
    <t>Crime|Drama|History|Romance</t>
  </si>
  <si>
    <t>Kama Sutra: A Tale of Love </t>
  </si>
  <si>
    <t>courtesan|friend|kama sutra|seduction|wedding</t>
  </si>
  <si>
    <t>X-Men Origins: Wolverine </t>
  </si>
  <si>
    <t>army|civil war|claw fight|commando|wolverine the character</t>
  </si>
  <si>
    <t>Richard Attenborough</t>
  </si>
  <si>
    <t>Shadowlands </t>
  </si>
  <si>
    <t>author|book|england|friend|oxford</t>
  </si>
  <si>
    <t>Aasif Mandvi</t>
  </si>
  <si>
    <t>Ghost Town </t>
  </si>
  <si>
    <t>bouquet of roses|bright light|cardiopulmonary resuscitation|ghost|white rose</t>
  </si>
  <si>
    <t>Peter Ho-Sun Chan</t>
  </si>
  <si>
    <t>The Warlords </t>
  </si>
  <si>
    <t>assassination|blood brother|dynasty|general|stabbing a woman</t>
  </si>
  <si>
    <t>Matt Reeves</t>
  </si>
  <si>
    <t>Cloverfield </t>
  </si>
  <si>
    <t>brooklyn new york city|found footage|night vision|statue of liberty new york city|subway tunnel</t>
  </si>
  <si>
    <t>End of Watch </t>
  </si>
  <si>
    <t>lapd|police|police officer|south central los angeles|street gang</t>
  </si>
  <si>
    <t>CiarÃ¡n Foy</t>
  </si>
  <si>
    <t>Laila Haley</t>
  </si>
  <si>
    <t>Sinister 2 </t>
  </si>
  <si>
    <t>deputy|farmhouse|nightmare|private investigator|rural</t>
  </si>
  <si>
    <t>Karey Kirkpatrick</t>
  </si>
  <si>
    <t>Imagine That </t>
  </si>
  <si>
    <t>blanket|competition|family relationships|feather|sleepover</t>
  </si>
  <si>
    <t>J.C. Chandor</t>
  </si>
  <si>
    <t>All Is Lost </t>
  </si>
  <si>
    <t>boat|container|sea|shipping container|storm</t>
  </si>
  <si>
    <t>Adam Carolla</t>
  </si>
  <si>
    <t>Jay Mohr</t>
  </si>
  <si>
    <t>Road Hard </t>
  </si>
  <si>
    <t>girl in panties|panties|red panties|stand up comedy</t>
  </si>
  <si>
    <t>Harry Potter and the Order of the Phoenix </t>
  </si>
  <si>
    <t>battle|magic|school|teacher|wizard</t>
  </si>
  <si>
    <t>Mary Lynn Rajskub</t>
  </si>
  <si>
    <t>Legally Blonde 2: Red, White &amp; Blonde </t>
  </si>
  <si>
    <t>animal rights|congresswoman|doorman|transvestism|washington d.c.</t>
  </si>
  <si>
    <t>Tommy O'Haver</t>
  </si>
  <si>
    <t>Comedy|Family|Fantasy|Romance</t>
  </si>
  <si>
    <t>Ella Enchanted </t>
  </si>
  <si>
    <t>curse|fairy|obedience|prince|strong female character</t>
  </si>
  <si>
    <t>Southpaw </t>
  </si>
  <si>
    <t>boxer|boxing training|death of wife|male in shower|rage</t>
  </si>
  <si>
    <t>Brian Henson</t>
  </si>
  <si>
    <t>Comedy|Drama|Family|Fantasy|Musical</t>
  </si>
  <si>
    <t>Steven Mackintosh</t>
  </si>
  <si>
    <t>The Muppet Christmas Carol </t>
  </si>
  <si>
    <t>christmas|christmas eve|miser|muppet|scrooge</t>
  </si>
  <si>
    <t>Mike Mitchell</t>
  </si>
  <si>
    <t>Adventure|Comedy|Family|Sci-Fi</t>
  </si>
  <si>
    <t>Michael Angarano</t>
  </si>
  <si>
    <t>Sky High </t>
  </si>
  <si>
    <t>coming of age|friend|high school|sidekick|superpower</t>
  </si>
  <si>
    <t>Frank Grillo</t>
  </si>
  <si>
    <t>The Purge: Election Year </t>
  </si>
  <si>
    <t>cathedral|minister|presidential election|reference to george washington|ritual sacrifice</t>
  </si>
  <si>
    <t>Man on Fire </t>
  </si>
  <si>
    <t>bodyguard|journalist|kidnapping|mexico|police corruption</t>
  </si>
  <si>
    <t>Shawna Waldron</t>
  </si>
  <si>
    <t>The American President </t>
  </si>
  <si>
    <t>lobbyist|president|senator|state dinner|widower</t>
  </si>
  <si>
    <t>Mila Kunis</t>
  </si>
  <si>
    <t>Get Over It </t>
  </si>
  <si>
    <t>basketball|dancer|high school|love triangle|shakespeare's a midsummer night's dream</t>
  </si>
  <si>
    <t>Rian Johnson</t>
  </si>
  <si>
    <t>Adventure|Comedy|Drama|Romance</t>
  </si>
  <si>
    <t>Zachary Gordon</t>
  </si>
  <si>
    <t>The Brothers Bloom </t>
  </si>
  <si>
    <t>con man|eccentric|heiress|love|revenge</t>
  </si>
  <si>
    <t>Christopher Guest</t>
  </si>
  <si>
    <t>For Your Consideration </t>
  </si>
  <si>
    <t>actor|internet|make up|publicist|purim</t>
  </si>
  <si>
    <t>Sngmoo Lee</t>
  </si>
  <si>
    <t>Action|Fantasy|Western</t>
  </si>
  <si>
    <t>Tony Cox</t>
  </si>
  <si>
    <t>The Warrior's Way </t>
  </si>
  <si>
    <t>bullet time|explosion|knife throwing|throwing a knife|violence</t>
  </si>
  <si>
    <t>Aaron Seltzer</t>
  </si>
  <si>
    <t>Date Movie </t>
  </si>
  <si>
    <t>female protagonist|greek|overweight|spoof|wedding planner</t>
  </si>
  <si>
    <t>Big Trouble in Little China </t>
  </si>
  <si>
    <t>1980s|airport|cb radio|truck|truck driver</t>
  </si>
  <si>
    <t>Anil Kapoor</t>
  </si>
  <si>
    <t>Slumdog Millionaire </t>
  </si>
  <si>
    <t>cheating|falling from height|murder|non professional cast|slum</t>
  </si>
  <si>
    <t>Richard Eyre</t>
  </si>
  <si>
    <t>Phil Davis</t>
  </si>
  <si>
    <t>Notes on a Scandal </t>
  </si>
  <si>
    <t>age difference|school|student|teacher|writing</t>
  </si>
  <si>
    <t>Shane Black</t>
  </si>
  <si>
    <t>Iron Man 3 </t>
  </si>
  <si>
    <t>armor|explosion|human bomb|missile attack|terrorist</t>
  </si>
  <si>
    <t>Biography|Drama|Family|History|Sport</t>
  </si>
  <si>
    <t>Secretariat </t>
  </si>
  <si>
    <t>eccentric|horse racing|newspaper clipping|stallion|triple crown</t>
  </si>
  <si>
    <t>Ryan Coogler</t>
  </si>
  <si>
    <t>Ahna O'Reilly</t>
  </si>
  <si>
    <t>Fruitvale Station </t>
  </si>
  <si>
    <t>22 year old|b.a.r.t.|bay area|birthday|police</t>
  </si>
  <si>
    <t>Alejandro Agresti</t>
  </si>
  <si>
    <t>The Lake House </t>
  </si>
  <si>
    <t>house|lake|letter|love across time|parallel time</t>
  </si>
  <si>
    <t>Albert Hughes</t>
  </si>
  <si>
    <t>The Book of Eli </t>
  </si>
  <si>
    <t>blind|book|long take|post apocalypse|water</t>
  </si>
  <si>
    <t>Dangerous Liaisons </t>
  </si>
  <si>
    <t>catholic|corruption|emotional abuse|france|seduction</t>
  </si>
  <si>
    <t>The Forbidden Kingdom </t>
  </si>
  <si>
    <t>monkey king|staff|teenager|urination|warrior</t>
  </si>
  <si>
    <t>Jamie RenÃ©e Smith</t>
  </si>
  <si>
    <t>Dante's Peak </t>
  </si>
  <si>
    <t>ash|escape|lava|mayor|volcano</t>
  </si>
  <si>
    <t>Once Upon a Time in Mexico </t>
  </si>
  <si>
    <t>agent|cia|mariachi|mexican|president</t>
  </si>
  <si>
    <t>Dan Trachtenberg</t>
  </si>
  <si>
    <t>Drama|Horror|Mystery|Sci-Fi|Thriller</t>
  </si>
  <si>
    <t>10 Cloverfield Lane </t>
  </si>
  <si>
    <t>alien|bunker|car crash|kidnapping|minimal cast</t>
  </si>
  <si>
    <t>Nat Wolff</t>
  </si>
  <si>
    <t>Paper Towns </t>
  </si>
  <si>
    <t>based on novel|female neighbor|friendship|travel|trip</t>
  </si>
  <si>
    <t>Comedy|Sci-Fi|Thriller</t>
  </si>
  <si>
    <t>The Stepford Wives </t>
  </si>
  <si>
    <t>community|connecticut|fem bot|tv producer|writer</t>
  </si>
  <si>
    <t>Jean-Paul Rappeneau</t>
  </si>
  <si>
    <t>Comedy|Drama|Mystery|Romance|Thriller|War</t>
  </si>
  <si>
    <t>Isabelle Adjani</t>
  </si>
  <si>
    <t>Bon voyage </t>
  </si>
  <si>
    <t>actress|bordeaux|german|heavy water|nazi</t>
  </si>
  <si>
    <t>Tony Kaye</t>
  </si>
  <si>
    <t>American History X </t>
  </si>
  <si>
    <t>curb stomping|neo nazi|prison|son dislikes mother's boyfriend|white supremacist</t>
  </si>
  <si>
    <t>Richard Burgi</t>
  </si>
  <si>
    <t>Cellular </t>
  </si>
  <si>
    <t>cell phone|distress signal|family in danger|police|stealing a car</t>
  </si>
  <si>
    <t>Kevin Munroe</t>
  </si>
  <si>
    <t>Action|Comedy|Crime|Fantasy|Horror|Mystery|Sci-Fi|Thriller</t>
  </si>
  <si>
    <t>Marco St. John</t>
  </si>
  <si>
    <t>Dylan Dog: Dead of Night </t>
  </si>
  <si>
    <t>close up of eyes|monster|quirkiness|supernatural|vomiting</t>
  </si>
  <si>
    <t>Anonymous </t>
  </si>
  <si>
    <t>earl of oxford|play|queen|rebellion|shakespeare play</t>
  </si>
  <si>
    <t>Talk Radio </t>
  </si>
  <si>
    <t>listener|neo nazi|radio|radio station|radio talk show</t>
  </si>
  <si>
    <t>Kasi Lemmons</t>
  </si>
  <si>
    <t>Drama|Family|Music|Musical</t>
  </si>
  <si>
    <t>Jennifer Hudson</t>
  </si>
  <si>
    <t>Black Nativity </t>
  </si>
  <si>
    <t>based on stage musical|based on the bible|christmas|color in title|nativity</t>
  </si>
  <si>
    <t>Joan Rivers</t>
  </si>
  <si>
    <t>Spaceballs </t>
  </si>
  <si>
    <t>parody|planet enclosed within shield|sci fi spoof|self referential|winnebago</t>
  </si>
  <si>
    <t>Christopher Scott Cherot</t>
  </si>
  <si>
    <t>Hill Harper</t>
  </si>
  <si>
    <t>Hav Plenty </t>
  </si>
  <si>
    <t>friend|new year's eve|screwball|self discovery|social differences</t>
  </si>
  <si>
    <t>Salma Hayek</t>
  </si>
  <si>
    <t>Four Rooms </t>
  </si>
  <si>
    <t>bellhop|coven|gangster|hotel|new year's eve</t>
  </si>
  <si>
    <t>21 Jump Street </t>
  </si>
  <si>
    <t>narcotics|parody|police|remake|undercover cop</t>
  </si>
  <si>
    <t>Get Smart </t>
  </si>
  <si>
    <t>airplane|misunderstanding|obese woman|overweight woman|spy</t>
  </si>
  <si>
    <t>Dewey Nicks</t>
  </si>
  <si>
    <t>Jaime King</t>
  </si>
  <si>
    <t>Slackers </t>
  </si>
  <si>
    <t>blackmail|fall|love|nerd|scam</t>
  </si>
  <si>
    <t>Midnight Special </t>
  </si>
  <si>
    <t>cult|father son relationship|gas station|on the run|supernatural ability</t>
  </si>
  <si>
    <t>Greece</t>
  </si>
  <si>
    <t>Anywhere But Here </t>
  </si>
  <si>
    <t>family relationships|female protagonist|nubile woman|policeman|teenager</t>
  </si>
  <si>
    <t>John Gray</t>
  </si>
  <si>
    <t>The Glimmer Man </t>
  </si>
  <si>
    <t>detective|heavy rain|murder|partner|serial killer</t>
  </si>
  <si>
    <t>David E. Talbert</t>
  </si>
  <si>
    <t>Baggage Claim </t>
  </si>
  <si>
    <t>woman wearing only a man's shirt</t>
  </si>
  <si>
    <t>Action|Comedy|Family</t>
  </si>
  <si>
    <t>The Spy Next Door </t>
  </si>
  <si>
    <t>chinese|cia|single mother|spy|terrorist</t>
  </si>
  <si>
    <t>Crank </t>
  </si>
  <si>
    <t>assassin|cult film|doctor|heart|poison</t>
  </si>
  <si>
    <t>Sheldon Lettich</t>
  </si>
  <si>
    <t>Antoni Corone</t>
  </si>
  <si>
    <t>Only the Strong </t>
  </si>
  <si>
    <t>capoeira|fight|fighting|martial arts|violence</t>
  </si>
  <si>
    <t>Drama|Horror|Sci-Fi</t>
  </si>
  <si>
    <t>I Am Legend </t>
  </si>
  <si>
    <t>new york city|pandemic|post apocalypse|survivalist|virus</t>
  </si>
  <si>
    <t>Hayao Miyazaki</t>
  </si>
  <si>
    <t>Bunta Sugawara</t>
  </si>
  <si>
    <t>Spirited Away </t>
  </si>
  <si>
    <t>anime|bathhouse|pig|spirit|work</t>
  </si>
  <si>
    <t>Nanny McPhee </t>
  </si>
  <si>
    <t>father|governess|magic|nanny|widower</t>
  </si>
  <si>
    <t>Memoirs of a Geisha </t>
  </si>
  <si>
    <t>coming of age|geisha|japan|jealousy|love</t>
  </si>
  <si>
    <t>Action|Adventure|Romance|Sci-Fi|Thriller</t>
  </si>
  <si>
    <t>The Island </t>
  </si>
  <si>
    <t>clone|environment|escape|island|lottery</t>
  </si>
  <si>
    <t>Over the Hedge </t>
  </si>
  <si>
    <t>bear|food|forest|raccoon|turtle</t>
  </si>
  <si>
    <t>Beyond the Sea </t>
  </si>
  <si>
    <t>bobby darin|career|love|marriage|sandra dee</t>
  </si>
  <si>
    <t>Comedy|Crime|Mystery|Romance</t>
  </si>
  <si>
    <t>The Curse of the Jade Scorpion </t>
  </si>
  <si>
    <t>efficiency expert|insurance investigator|magician|scorpion|thief</t>
  </si>
  <si>
    <t>Tower Heist </t>
  </si>
  <si>
    <t>apartment|fbi|fraud|heist|manager</t>
  </si>
  <si>
    <t>Matty Rich</t>
  </si>
  <si>
    <t>Lawrence Gilliard Jr.</t>
  </si>
  <si>
    <t>Straight Out of Brooklyn </t>
  </si>
  <si>
    <t>domestic violence|housing project|new york city|poverty|racism</t>
  </si>
  <si>
    <t>Bojana Novakovic</t>
  </si>
  <si>
    <t>Devil </t>
  </si>
  <si>
    <t>devil|elevator|hit and run|throat slitting|trapped in an elevator</t>
  </si>
  <si>
    <t>Lena Dunham</t>
  </si>
  <si>
    <t>Tiny Furniture </t>
  </si>
  <si>
    <t>adult returns home|girl with glasses|hipster|shower|title directed by female</t>
  </si>
  <si>
    <t>Henry Bean</t>
  </si>
  <si>
    <t>The Believer </t>
  </si>
  <si>
    <t>jew|jewish nazi|nazism|racism|skinhead</t>
  </si>
  <si>
    <t>I Am Number Four </t>
  </si>
  <si>
    <t>based on young adult novel|good versus evil|guardian|human alien|ohio</t>
  </si>
  <si>
    <t>Ed Harris</t>
  </si>
  <si>
    <t>John Heard</t>
  </si>
  <si>
    <t>Pollock </t>
  </si>
  <si>
    <t>1940s|artist|drinking|life magazine|painter</t>
  </si>
  <si>
    <t>Kung Pow: Enter the Fist </t>
  </si>
  <si>
    <t>chosen one|comic violence|intentionally bad|kung fu|stylized violence</t>
  </si>
  <si>
    <t>High Crimes </t>
  </si>
  <si>
    <t>defense lawyer|lawyer|marine|murder|villager</t>
  </si>
  <si>
    <t>Luke Greenfield</t>
  </si>
  <si>
    <t>Let's Be Cops </t>
  </si>
  <si>
    <t>friendship between men|impersonating a police officer|mobster|party|police officer</t>
  </si>
  <si>
    <t>Jeepers Creepers </t>
  </si>
  <si>
    <t>demon|gore|record player|tattoo|wings</t>
  </si>
  <si>
    <t>The Help </t>
  </si>
  <si>
    <t>black servant|chocolate pie|jackson mississippi|maid|writing a novel</t>
  </si>
  <si>
    <t>Dustin Hoffman</t>
  </si>
  <si>
    <t>Luke Newberry</t>
  </si>
  <si>
    <t>Quartet </t>
  </si>
  <si>
    <t>divorced couple|opera|reference to giuseppe verdi|retirement|senility</t>
  </si>
  <si>
    <t>Mitch Davis</t>
  </si>
  <si>
    <t>Adventure|Biography|Drama</t>
  </si>
  <si>
    <t>The Other Side of Heaven </t>
  </si>
  <si>
    <t>1950s|idaho|love|missionary|mormon</t>
  </si>
  <si>
    <t>The Flintstones </t>
  </si>
  <si>
    <t>1000000 b.c.|box office hit|lawn mowing|product placement|stone age</t>
  </si>
  <si>
    <t>Moonrise Kingdom </t>
  </si>
  <si>
    <t>1960s|boy scouts|boy scouts camp|coming of age|young love</t>
  </si>
  <si>
    <t>City Hall </t>
  </si>
  <si>
    <t>drug dealer|mayor|new york city|probation|scandal</t>
  </si>
  <si>
    <t>James Marsh</t>
  </si>
  <si>
    <t>Biography|Crime|Documentary|History|Thriller</t>
  </si>
  <si>
    <t>Paul McGill</t>
  </si>
  <si>
    <t>Man on Wire </t>
  </si>
  <si>
    <t>new york city|passion|reenactment|rooftop|tower</t>
  </si>
  <si>
    <t>Kiyoshi Kurosawa</t>
  </si>
  <si>
    <t>KÃ´ji Yakusho</t>
  </si>
  <si>
    <t>The Cure </t>
  </si>
  <si>
    <t>breasts|interrogation|investigation|murder|watching television</t>
  </si>
  <si>
    <t>Luke Bracey</t>
  </si>
  <si>
    <t>The Best of Me </t>
  </si>
  <si>
    <t>adultery|based on novel|heart transplant|infidelity|protective male</t>
  </si>
  <si>
    <t>Francesca Capaldi</t>
  </si>
  <si>
    <t>The Peanuts Movie </t>
  </si>
  <si>
    <t>dog|girl|imagination|peanuts|red hair</t>
  </si>
  <si>
    <t>The Fog </t>
  </si>
  <si>
    <t>california|fog|leper|lighthouse|ship</t>
  </si>
  <si>
    <t>John Patrick Shanley</t>
  </si>
  <si>
    <t>Doubt </t>
  </si>
  <si>
    <t>boy|catholic|nun|priest|student</t>
  </si>
  <si>
    <t>Crime|Drama|Romance</t>
  </si>
  <si>
    <t>Edie Falco</t>
  </si>
  <si>
    <t>Hurricane Streets </t>
  </si>
  <si>
    <t>gang|new mexico|prison|smuggling|theft</t>
  </si>
  <si>
    <t>Comedy|Drama|Romance|Sci-Fi</t>
  </si>
  <si>
    <t>Blast from the Past </t>
  </si>
  <si>
    <t>1960s|bomb shelter|cuban missile crisis|food|naive man</t>
  </si>
  <si>
    <t>Justin Lin</t>
  </si>
  <si>
    <t>Fast Five </t>
  </si>
  <si>
    <t>drug lord|drugs|federal agent|heist|police</t>
  </si>
  <si>
    <t>Penny Marshall</t>
  </si>
  <si>
    <t>Renaissance Man </t>
  </si>
  <si>
    <t>army|basic training|reference to shakespeare's hamlet|teacher|u.s. army</t>
  </si>
  <si>
    <t>Ã_x0081_lex de la Iglesia</t>
  </si>
  <si>
    <t>Jim Carter</t>
  </si>
  <si>
    <t>The Oxford Murders </t>
  </si>
  <si>
    <t>landlady|lecture|murder|oxford university|symbol</t>
  </si>
  <si>
    <t>Alan Ruck</t>
  </si>
  <si>
    <t>I Love You, Beth Cooper </t>
  </si>
  <si>
    <t>cheerleader|party|popular girl|speech|valedictorian</t>
  </si>
  <si>
    <t>The World's Fastest Indian </t>
  </si>
  <si>
    <t>mortgage|motorcycle|speed|trailer|utah</t>
  </si>
  <si>
    <t>Paul Abascal</t>
  </si>
  <si>
    <t>Cole Hauser</t>
  </si>
  <si>
    <t>Paparazzi </t>
  </si>
  <si>
    <t>actor|coma|movie star|paparazzi|revenge</t>
  </si>
  <si>
    <t>The Bourne Identity </t>
  </si>
  <si>
    <t>amnesia|assassin|money|political thriller|three word title</t>
  </si>
  <si>
    <t>Friday </t>
  </si>
  <si>
    <t>bully|drug dealer|first part|neighbor|neighborhood</t>
  </si>
  <si>
    <t>Transformers: Age of Extinction </t>
  </si>
  <si>
    <t>blockbuster|bumblebee the character|semi truck and trailer|texas|truck</t>
  </si>
  <si>
    <t>RyÃ»hei Kitamura</t>
  </si>
  <si>
    <t>Fantasy|Horror|Mystery</t>
  </si>
  <si>
    <t>The Midnight Meat Train </t>
  </si>
  <si>
    <t>butcher|girlfriend|mute character|photographer|subway</t>
  </si>
  <si>
    <t>Joel Coen</t>
  </si>
  <si>
    <t>Jennifer Jason Leigh</t>
  </si>
  <si>
    <t>The Hudsucker Proxy </t>
  </si>
  <si>
    <t>art deco|board of directors|industry|mail|stock</t>
  </si>
  <si>
    <t>Adventure|Comedy|Family|Mystery|Sci-Fi</t>
  </si>
  <si>
    <t>Men in Black </t>
  </si>
  <si>
    <t>alien|box office hit|flying saucer|laser gun|wisecrack humor</t>
  </si>
  <si>
    <t>Dan Mazer</t>
  </si>
  <si>
    <t>Dirty Grandpa </t>
  </si>
  <si>
    <t>female removes her clothes|fondling|voyeur|voyeurism|white panties</t>
  </si>
  <si>
    <t>Maggie Cheung</t>
  </si>
  <si>
    <t>Clean </t>
  </si>
  <si>
    <t>jail|junkie|money|motel|singer</t>
  </si>
  <si>
    <t>MÃ¥ns MÃ¥rlind</t>
  </si>
  <si>
    <t>Theo James</t>
  </si>
  <si>
    <t>Underworld: Awakening </t>
  </si>
  <si>
    <t>battle|cryogenics|detective|scientist|vampire</t>
  </si>
  <si>
    <t>Klaus Menzel</t>
  </si>
  <si>
    <t>Mystery|Romance|Thriller</t>
  </si>
  <si>
    <t>Fascination </t>
  </si>
  <si>
    <t>death|love|marriage|secret|suspicion</t>
  </si>
  <si>
    <t>Hotel Transylvania 2 </t>
  </si>
  <si>
    <t>california|dracula|hotel|transylvania|vampire</t>
  </si>
  <si>
    <t>Betsy Palmer</t>
  </si>
  <si>
    <t>Friday the 13th Part 2 </t>
  </si>
  <si>
    <t>ice pick|jason voorhees|lake|pitchfork|shack</t>
  </si>
  <si>
    <t>Enough </t>
  </si>
  <si>
    <t>abusive husband|escape|intimate partner homicide|marriage|woman wearing only a man's shirt</t>
  </si>
  <si>
    <t>Action|Adventure|Fantasy|Horror|Sci-Fi|Thriller</t>
  </si>
  <si>
    <t>Blade: Trinity </t>
  </si>
  <si>
    <t>blade|blood|dracula|vampire hunter|vampire slayer</t>
  </si>
  <si>
    <t>Evan Goldberg</t>
  </si>
  <si>
    <t>This Is the End </t>
  </si>
  <si>
    <t>apocalypse|celebrity|ensemble cast|party|rapture</t>
  </si>
  <si>
    <t>Adventure|Comedy|Crime|Drama|Family</t>
  </si>
  <si>
    <t>Baby's Day Out </t>
  </si>
  <si>
    <t>baby|baby boy|kidnapping|kidnapping a child|taxi</t>
  </si>
  <si>
    <t>Dream House </t>
  </si>
  <si>
    <t>closet|father daughter relationship|psychiatric hospital|real life sisters playing sisters|train</t>
  </si>
  <si>
    <t>Stephen Kay</t>
  </si>
  <si>
    <t>Get Carter </t>
  </si>
  <si>
    <t>affair|car crash|enforcer|funeral|murder</t>
  </si>
  <si>
    <t>Roger Allers</t>
  </si>
  <si>
    <t>Adventure|Animation|Drama|Family|Musical</t>
  </si>
  <si>
    <t>The Lion King </t>
  </si>
  <si>
    <t>king|prince|scar|uncle|unnecessary guilt</t>
  </si>
  <si>
    <t>Code 46 </t>
  </si>
  <si>
    <t>genetics|i.d.|love|sphinx|totalitarian</t>
  </si>
  <si>
    <t>Wrath of the Titans </t>
  </si>
  <si>
    <t>ares|hades|titan|underworld|zeus</t>
  </si>
  <si>
    <t>Mark L. Lester</t>
  </si>
  <si>
    <t>Firestarter </t>
  </si>
  <si>
    <t>captain|experiment|fire|psychic|secret government agency</t>
  </si>
  <si>
    <t>The Haunting </t>
  </si>
  <si>
    <t>greenhouse|haunted house|horror movie remake|mansion|old house</t>
  </si>
  <si>
    <t>Bridgette Wilson-Sampras</t>
  </si>
  <si>
    <t>Just Visiting </t>
  </si>
  <si>
    <t>alternate history|alternate timeline|flatulence|future time travel|time travel comedy</t>
  </si>
  <si>
    <t>Action|Adventure|Animation|Family|Sci-Fi|Thriller</t>
  </si>
  <si>
    <t>William Hootkins</t>
  </si>
  <si>
    <t>Steamboy </t>
  </si>
  <si>
    <t>19th century|ball|boy|inventor|steam</t>
  </si>
  <si>
    <t>Action|Crime|Drama|Sci-Fi|Thriller</t>
  </si>
  <si>
    <t>Looper </t>
  </si>
  <si>
    <t>chase|future|surprise ending|time loop|time travel</t>
  </si>
  <si>
    <t>Sidney Lumet</t>
  </si>
  <si>
    <t>Adventure|Family|Fantasy|Music|Musical</t>
  </si>
  <si>
    <t>Lena Horne</t>
  </si>
  <si>
    <t>The Wiz </t>
  </si>
  <si>
    <t>melancholy|new york city|sadness|teacher|wizard</t>
  </si>
  <si>
    <t>Tommy Lee Wallace</t>
  </si>
  <si>
    <t>Tom Atkins</t>
  </si>
  <si>
    <t>Halloween III: Season of the Witch </t>
  </si>
  <si>
    <t>doctor|factory|halloween|holiday horror|stonehenge</t>
  </si>
  <si>
    <t>James Mather</t>
  </si>
  <si>
    <t>Lockout </t>
  </si>
  <si>
    <t>bodyguard|maximum security prison|outer space|president|prison</t>
  </si>
  <si>
    <t>Charles Robert Carner</t>
  </si>
  <si>
    <t>Witless Protection </t>
  </si>
  <si>
    <t>fbi|polo|possum|sheriff|shotgun</t>
  </si>
  <si>
    <t>James Wan</t>
  </si>
  <si>
    <t>Mackenzie Foy</t>
  </si>
  <si>
    <t>The Conjuring </t>
  </si>
  <si>
    <t>based on true story|farmhouse|paranormal investigator|rhode island|supernatural power</t>
  </si>
  <si>
    <t>Patricia Rozema</t>
  </si>
  <si>
    <t>Julia Ormond</t>
  </si>
  <si>
    <t>Kit Kittredge: An American Girl </t>
  </si>
  <si>
    <t>boarding house|girl|great depression|house|ohio</t>
  </si>
  <si>
    <t>Piyush Dinker Pandya</t>
  </si>
  <si>
    <t>Purva Bedi</t>
  </si>
  <si>
    <t>American Desi </t>
  </si>
  <si>
    <t>college|desi|heritage|india|indian american</t>
  </si>
  <si>
    <t>How to Train Your Dragon </t>
  </si>
  <si>
    <t>dragon|island|training|viking|village</t>
  </si>
  <si>
    <t>Jonathan Glazer</t>
  </si>
  <si>
    <t>Cameron Bright</t>
  </si>
  <si>
    <t>Birth </t>
  </si>
  <si>
    <t>birthday|boy|dead husband|death|widow</t>
  </si>
  <si>
    <t>Max Joseph</t>
  </si>
  <si>
    <t>Vanessa Lengies</t>
  </si>
  <si>
    <t>We Are Your Friends </t>
  </si>
  <si>
    <t>box office flop|critically bashed|male objectification|narcissism|wannabe dj</t>
  </si>
  <si>
    <t>Drama|Fantasy|Horror</t>
  </si>
  <si>
    <t>Interview with the Vampire: The Vampire Chronicles </t>
  </si>
  <si>
    <t>betrayal|dangerous friend|gothic|monster as victim|vampire</t>
  </si>
  <si>
    <t>Jim Hanon</t>
  </si>
  <si>
    <t>Chase Ellison</t>
  </si>
  <si>
    <t>End of the Spear </t>
  </si>
  <si>
    <t>death|missionary|spear|speared to death|tribe</t>
  </si>
  <si>
    <t>Derek Cianfrance</t>
  </si>
  <si>
    <t>The Place Beyond the Pines </t>
  </si>
  <si>
    <t>bank|carnival|motorcycle|police|rookie cop</t>
  </si>
  <si>
    <t>Action|Sport</t>
  </si>
  <si>
    <t>Wesley Jonathan</t>
  </si>
  <si>
    <t>Crossover </t>
  </si>
  <si>
    <t>african american|basketball|basketball movie|critically bashed|tv commercial</t>
  </si>
  <si>
    <t>Adventure|Fantasy|Mystery</t>
  </si>
  <si>
    <t>Andrew Garfield</t>
  </si>
  <si>
    <t>The Imaginarium of Doctor Parnassus </t>
  </si>
  <si>
    <t>birthday|bridge|midget|rescue|sideshow</t>
  </si>
  <si>
    <t>Xavier Beauvois</t>
  </si>
  <si>
    <t>Lambert Wilson</t>
  </si>
  <si>
    <t>Of Gods and Men </t>
  </si>
  <si>
    <t>catholic church|community|monastery|monk|terrorist</t>
  </si>
  <si>
    <t>Resident Evil </t>
  </si>
  <si>
    <t>amnesia|quarantine|special forces|virus|zombie</t>
  </si>
  <si>
    <t>Angus T. Jones</t>
  </si>
  <si>
    <t>Bringing Down the House </t>
  </si>
  <si>
    <t>divorce|lawyer|spanking|villain arrested|wrongful conviction</t>
  </si>
  <si>
    <t>Clark Johnson</t>
  </si>
  <si>
    <t>Blair Brown</t>
  </si>
  <si>
    <t>The Sentinel </t>
  </si>
  <si>
    <t>first lady|framed|investigation|president|secret service</t>
  </si>
  <si>
    <t>The Devil Wears Prada </t>
  </si>
  <si>
    <t>fashion|fashion industry|magazine|new york city|publishing</t>
  </si>
  <si>
    <t>AndrÃ© Ã˜vredal</t>
  </si>
  <si>
    <t>Comedy|Drama|Fantasy|Horror</t>
  </si>
  <si>
    <t>Otto Jespersen</t>
  </si>
  <si>
    <t>Trollhunter </t>
  </si>
  <si>
    <t>bear|cameraman|hunter|secret government agency|troll</t>
  </si>
  <si>
    <t>Norwegian</t>
  </si>
  <si>
    <t>Norway</t>
  </si>
  <si>
    <t>Jack and Jill </t>
  </si>
  <si>
    <t>advertising|advertising executive|commercial|protective male|twins</t>
  </si>
  <si>
    <t>Cory Edwards</t>
  </si>
  <si>
    <t>Action|Animation|Comedy|Crime|Family</t>
  </si>
  <si>
    <t>Hoodwinked! </t>
  </si>
  <si>
    <t>animal|axe|red riding hood|wolf|woodsman</t>
  </si>
  <si>
    <t>David Lyons</t>
  </si>
  <si>
    <t>Safe Haven </t>
  </si>
  <si>
    <t>abusive husband|chick flick|north carolina|secret|widower</t>
  </si>
  <si>
    <t>Guillaume Canet</t>
  </si>
  <si>
    <t>Blood Ties </t>
  </si>
  <si>
    <t>1970s|flashback|love|money|murder</t>
  </si>
  <si>
    <t>Bobbie Phillips</t>
  </si>
  <si>
    <t>Showgirls </t>
  </si>
  <si>
    <t>cult film|lap dance|lap dancing|stripper|striptease</t>
  </si>
  <si>
    <t>Roland JoffÃ©</t>
  </si>
  <si>
    <t>The Scarlet Letter </t>
  </si>
  <si>
    <t>17th century|adultery|letter|pubic hair|swimming</t>
  </si>
  <si>
    <t>Catherine O'Hara</t>
  </si>
  <si>
    <t>Away We Go </t>
  </si>
  <si>
    <t>baby|children|friend|love|road trip</t>
  </si>
  <si>
    <t>Ghosts of Mississippi </t>
  </si>
  <si>
    <t>activist|assassin|civil rights|trial|widow</t>
  </si>
  <si>
    <t>Charlotte Rampling</t>
  </si>
  <si>
    <t>The Statement </t>
  </si>
  <si>
    <t>eiffel tower|nazi|police|ritual|stew</t>
  </si>
  <si>
    <t>Christian Alvart</t>
  </si>
  <si>
    <t>Action|Horror|Mystery|Sci-Fi|Thriller</t>
  </si>
  <si>
    <t>Pandorum </t>
  </si>
  <si>
    <t>future|mission|space|spaceship|survival</t>
  </si>
  <si>
    <t>Crime|Romance|Thriller</t>
  </si>
  <si>
    <t>Mark Margolis</t>
  </si>
  <si>
    <t>The Thomas Crown Affair </t>
  </si>
  <si>
    <t>art|insurance investigator|martinique|painting|trust</t>
  </si>
  <si>
    <t>Best in Show </t>
  </si>
  <si>
    <t>dog show|gay|gay character|gay couple|gay interest</t>
  </si>
  <si>
    <t>Admission </t>
  </si>
  <si>
    <t>adoption|female protagonist|princeton university|wedding|working women</t>
  </si>
  <si>
    <t>Comedy|Family|Fantasy|Music|Romance</t>
  </si>
  <si>
    <t>Freaky Friday </t>
  </si>
  <si>
    <t>body swap|camera shot of feet|foot closeup|reference to keith richards|reference to the rolling stones</t>
  </si>
  <si>
    <t>Comedy|Fantasy|Horror|Romance</t>
  </si>
  <si>
    <t>Alexis Arquette</t>
  </si>
  <si>
    <t>Bride of Chucky </t>
  </si>
  <si>
    <t>blood|doll|gore|murder|serial killer</t>
  </si>
  <si>
    <t>Adventure|Comedy|Drama</t>
  </si>
  <si>
    <t>Fear and Loathing in Las Vegas </t>
  </si>
  <si>
    <t>american dream|convertible|drugs|journalist|lawyer</t>
  </si>
  <si>
    <t>Comedy|Family|Fantasy|Sci-Fi</t>
  </si>
  <si>
    <t>Les couloirs du temps: Les visiteurs II </t>
  </si>
  <si>
    <t>jewel|knight|magical potion|sequel|time travel comedy</t>
  </si>
  <si>
    <t>James Watkins</t>
  </si>
  <si>
    <t>The Woman in Black </t>
  </si>
  <si>
    <t>afterlife|baby boy|bird in a cage|ghost|reunited family</t>
  </si>
  <si>
    <t>Action|Family|Sport</t>
  </si>
  <si>
    <t>Scott Porter</t>
  </si>
  <si>
    <t>Speed Racer </t>
  </si>
  <si>
    <t>based on anime|based on cartoon|gadget car|racer|speed</t>
  </si>
  <si>
    <t>Carol Reed</t>
  </si>
  <si>
    <t>Drama|Family|Musical</t>
  </si>
  <si>
    <t>Oliver Reed</t>
  </si>
  <si>
    <t>Oliver! </t>
  </si>
  <si>
    <t>abuse|child|orphan|orphanage|pickpocket</t>
  </si>
  <si>
    <t>The Insider </t>
  </si>
  <si>
    <t>cbs|cbs news|research|tobacco|whistleblower</t>
  </si>
  <si>
    <t>Leslye Headland</t>
  </si>
  <si>
    <t>Bachelorette </t>
  </si>
  <si>
    <t>bachelorette party|drug use|high school|overdose|wedding dress</t>
  </si>
  <si>
    <t>Flight </t>
  </si>
  <si>
    <t>airline|flight|flight attendant|lawyer|pilot</t>
  </si>
  <si>
    <t>Zathura: A Space Adventure </t>
  </si>
  <si>
    <t>2000s|coke|meeting future self|reference to spongebob squarepants|sony</t>
  </si>
  <si>
    <t>John Hillcoat</t>
  </si>
  <si>
    <t>Crime|Drama|Western</t>
  </si>
  <si>
    <t>The Proposition </t>
  </si>
  <si>
    <t>aborigine|foreboding|gang|hideout|outlaw</t>
  </si>
  <si>
    <t>Elaine May</t>
  </si>
  <si>
    <t>Action|Adventure|Comedy|Music|Thriller</t>
  </si>
  <si>
    <t>Carol Kane</t>
  </si>
  <si>
    <t>Ishtar </t>
  </si>
  <si>
    <t>cia|emir|hotel|map|morocco</t>
  </si>
  <si>
    <t>Tony Richardson</t>
  </si>
  <si>
    <t>Joely Richardson</t>
  </si>
  <si>
    <t>The Hotel New Hampshire </t>
  </si>
  <si>
    <t>football|hotel|teenage girl|terrorist|wien</t>
  </si>
  <si>
    <t>The Musketeer </t>
  </si>
  <si>
    <t>guard|king|murder|musketeer|swordsman</t>
  </si>
  <si>
    <t>You Will Meet a Tall Dark Stranger </t>
  </si>
  <si>
    <t>call girl|charlatan|fortune teller|manuscript|writer</t>
  </si>
  <si>
    <t>Meet the Spartans </t>
  </si>
  <si>
    <t>king|persian|spartan|training|xerxes</t>
  </si>
  <si>
    <t>Lock, Stock and Two Smoking Barrels </t>
  </si>
  <si>
    <t>antique|cockney accent|hatchet|money|shotgun</t>
  </si>
  <si>
    <t>Chatrichalerm Yukol</t>
  </si>
  <si>
    <t>Sarunyu Wongkrachang</t>
  </si>
  <si>
    <t>The Legend of Suriyothai </t>
  </si>
  <si>
    <t>16th century|burmese|invasion|queen|thailand</t>
  </si>
  <si>
    <t>Thai</t>
  </si>
  <si>
    <t>Thailand</t>
  </si>
  <si>
    <t>Juno </t>
  </si>
  <si>
    <t>adoption|baby|friend|pregnancy|school</t>
  </si>
  <si>
    <t>Toy Story 2 </t>
  </si>
  <si>
    <t>collector|dog|friend|rescue|toy</t>
  </si>
  <si>
    <t>The Soloist </t>
  </si>
  <si>
    <t>columnist|journalist|los angeles times|musician|wearing a traffic cone as a hat</t>
  </si>
  <si>
    <t>Charles Stone III</t>
  </si>
  <si>
    <t>Mr 3000 </t>
  </si>
  <si>
    <t>baseball|baseball movie|cartoon on tv|dodge viper|retirement</t>
  </si>
  <si>
    <t>The Contender </t>
  </si>
  <si>
    <t>bridge|governor|political thriller|president|vice president</t>
  </si>
  <si>
    <t>Neill Blomkamp</t>
  </si>
  <si>
    <t>Chappie </t>
  </si>
  <si>
    <t>artificial intelligence|consciousness|future|mind uploading|robot</t>
  </si>
  <si>
    <t>Adventure|Comedy|Fantasy|Sci-Fi</t>
  </si>
  <si>
    <t>Shelley Duvall</t>
  </si>
  <si>
    <t>Time Bandits </t>
  </si>
  <si>
    <t>cult director|dwarf|robin hood|satire|treasure</t>
  </si>
  <si>
    <t>Javier Botet</t>
  </si>
  <si>
    <t>The Conjuring 2 </t>
  </si>
  <si>
    <t>based on supposedly true story|house|paranormal investigating|psychic|second part</t>
  </si>
  <si>
    <t>Action|Crime|Mystery|Romance|Thriller</t>
  </si>
  <si>
    <t>Conspiracy Theory </t>
  </si>
  <si>
    <t>conspiracy|fbi|mk ultra|newsletter|taxi</t>
  </si>
  <si>
    <t>Jake Kasdan</t>
  </si>
  <si>
    <t>Bad Teacher </t>
  </si>
  <si>
    <t>boob job|breast enlargement|breast surgery|cheating on a test|ejaculation</t>
  </si>
  <si>
    <t>S.W.A.T. </t>
  </si>
  <si>
    <t>hostage|police|prison|swat team|training</t>
  </si>
  <si>
    <t>Action|Comedy|Sport</t>
  </si>
  <si>
    <t>Here Comes the Boom </t>
  </si>
  <si>
    <t>claim in title|high school|mixed martial arts|ultimate fighting championship|underdog</t>
  </si>
  <si>
    <t>Stranger Than Fiction </t>
  </si>
  <si>
    <t>author|fate|novelist|professor|writer</t>
  </si>
  <si>
    <t>The Taking of Pelham 1 2 3 </t>
  </si>
  <si>
    <t>hijack|hostage|ransom|subway|train</t>
  </si>
  <si>
    <t>Parry Shen</t>
  </si>
  <si>
    <t>Better Luck Tomorrow </t>
  </si>
  <si>
    <t>asian american|high school|overachiever|pubic hair|vomiting</t>
  </si>
  <si>
    <t>Bronwen Hughes</t>
  </si>
  <si>
    <t>Harriet the Spy </t>
  </si>
  <si>
    <t>binoculars|child spy|notebook|secret|spy</t>
  </si>
  <si>
    <t>Brandon Trost</t>
  </si>
  <si>
    <t>The FP </t>
  </si>
  <si>
    <t>abbreviation in title|based on short film|competition dancing|dystopia|location in title</t>
  </si>
  <si>
    <t>Bob Clark</t>
  </si>
  <si>
    <t>Comedy|Family|Sci-Fi</t>
  </si>
  <si>
    <t>Scott Baio</t>
  </si>
  <si>
    <t>Superbabies: Baby Geniuses 2 </t>
  </si>
  <si>
    <t>computer|good versus evil|mind control|science experiment|sequel</t>
  </si>
  <si>
    <t>The Devil's Advocate </t>
  </si>
  <si>
    <t>deal with the devil|lawyer|money|reality|supernatural power</t>
  </si>
  <si>
    <t>Kevin Macdonald</t>
  </si>
  <si>
    <t>Biography|Drama|History|Thriller</t>
  </si>
  <si>
    <t>The Last King of Scotland </t>
  </si>
  <si>
    <t>1970s|assassination|doctor|scottish|ugandan</t>
  </si>
  <si>
    <t>Emma Bell</t>
  </si>
  <si>
    <t>Final Destination 5 </t>
  </si>
  <si>
    <t>blood splatter|death|eyeball run over by car|latex gloves|suspension bridge</t>
  </si>
  <si>
    <t>John Maybury</t>
  </si>
  <si>
    <t>The Jacket </t>
  </si>
  <si>
    <t>gulf war veteran|morgue|shot in the head|vermont|veteran</t>
  </si>
  <si>
    <t>Black Mass </t>
  </si>
  <si>
    <t>based on true story|boston massachusetts|fbi agent|gangster|true crime</t>
  </si>
  <si>
    <t>Marcus Dunstan</t>
  </si>
  <si>
    <t>Daniel Sharman</t>
  </si>
  <si>
    <t>The Collection </t>
  </si>
  <si>
    <t>booby trap|brainwashing|mercenary|serial killer|trap</t>
  </si>
  <si>
    <t>Rumi Hiiragi</t>
  </si>
  <si>
    <t>Ponyo </t>
  </si>
  <si>
    <t>children adventure|magical realism|sea goddess|small town|tsunami</t>
  </si>
  <si>
    <t>Ben Gazzara</t>
  </si>
  <si>
    <t>The Spanish Prisoner </t>
  </si>
  <si>
    <t>brother sister relationship|extradition|fbi|japanese tourist|secret</t>
  </si>
  <si>
    <t>Nicolas Winding Refn</t>
  </si>
  <si>
    <t>Only God Forgives </t>
  </si>
  <si>
    <t>brutal cop|drug dealer|punishment|thai boxing|vengeance</t>
  </si>
  <si>
    <t>Down to Earth </t>
  </si>
  <si>
    <t>angel|butler|heaven|manhattan new york city|reincarnation</t>
  </si>
  <si>
    <t>Warrior </t>
  </si>
  <si>
    <t>alcoholic|mixed martial arts|return home|tournament|underdog</t>
  </si>
  <si>
    <t>Michiel Huisman</t>
  </si>
  <si>
    <t>Wild </t>
  </si>
  <si>
    <t>female protagonist|grief|hiking|loss of mother|mother daughter relationship</t>
  </si>
  <si>
    <t>Adam Baldwin</t>
  </si>
  <si>
    <t>Ordinary People </t>
  </si>
  <si>
    <t>choir|death|friend|suicide|therapy</t>
  </si>
  <si>
    <t>Jonathan Hensleigh</t>
  </si>
  <si>
    <t>Laura Harring</t>
  </si>
  <si>
    <t>The Punisher </t>
  </si>
  <si>
    <t>death|family reunion|fbi|fbi agent|vigilante</t>
  </si>
  <si>
    <t>George Armitage</t>
  </si>
  <si>
    <t>Grosse Pointe Blank </t>
  </si>
  <si>
    <t>assassin|high school|high school reunion|reunion|suburb</t>
  </si>
  <si>
    <t>Menace II Society </t>
  </si>
  <si>
    <t>1990s|escape|graduation|hustler|street</t>
  </si>
  <si>
    <t>Danny Pang</t>
  </si>
  <si>
    <t>Bangkok Dangerous </t>
  </si>
  <si>
    <t>deaf|hitman|nightclub|pickpocket|rules of profession</t>
  </si>
  <si>
    <t>FabiÃ¡n Bielinsky</t>
  </si>
  <si>
    <t>Nine Queens </t>
  </si>
  <si>
    <t>con artist|hotel|partner|scam|stamp</t>
  </si>
  <si>
    <t>American Pie 2 </t>
  </si>
  <si>
    <t>beach|beach house|college|party|student</t>
  </si>
  <si>
    <t>Alejandro AmenÃ¡bar</t>
  </si>
  <si>
    <t>Adventure|Drama|History|Romance</t>
  </si>
  <si>
    <t>Max Minghella</t>
  </si>
  <si>
    <t>Agora </t>
  </si>
  <si>
    <t>christian|love|philosophy|prefect|slave</t>
  </si>
  <si>
    <t>Chriss Anglin</t>
  </si>
  <si>
    <t>An American Carol </t>
  </si>
  <si>
    <t>arab stereotype|box office flop|documentary filmmaker|filmmaker|terrorist</t>
  </si>
  <si>
    <t>Jack Sholder</t>
  </si>
  <si>
    <t>Clu Gulager</t>
  </si>
  <si>
    <t>A Nightmare on Elm Street 2: Freddy's Revenge </t>
  </si>
  <si>
    <t>freddy krueger|gay|gay subtext|homoeroticism|jock strap</t>
  </si>
  <si>
    <t>Spike Jonze</t>
  </si>
  <si>
    <t>Willie Garson</t>
  </si>
  <si>
    <t>Being John Malkovich </t>
  </si>
  <si>
    <t>body swap|magical realism|portal|puppeteer|surrealism</t>
  </si>
  <si>
    <t>Steve James</t>
  </si>
  <si>
    <t>Biography|Drama|Romance|Sport</t>
  </si>
  <si>
    <t>Kurtwood Smith</t>
  </si>
  <si>
    <t>Prefontaine </t>
  </si>
  <si>
    <t>long distance runner|olympics|oregon|runner|watching television</t>
  </si>
  <si>
    <t>The Internship </t>
  </si>
  <si>
    <t>actor's picture shown in credits|animated credits|google|internship|still images in end credits</t>
  </si>
  <si>
    <t>Action|Adventure|Comedy|Family|Mystery</t>
  </si>
  <si>
    <t>National Treasure </t>
  </si>
  <si>
    <t>declaration of independence|secret society|treasure|treasure hunt|treasure hunter</t>
  </si>
  <si>
    <t>Eric Blakeney</t>
  </si>
  <si>
    <t>Gun Shy </t>
  </si>
  <si>
    <t>colombian|enema|group therapy|murder|nurse</t>
  </si>
  <si>
    <t>Harley Cokeliss</t>
  </si>
  <si>
    <t>Cliff Robertson</t>
  </si>
  <si>
    <t>Malone </t>
  </si>
  <si>
    <t>assassin|box office flop|cia|farmer|power</t>
  </si>
  <si>
    <t>Gregory Nava</t>
  </si>
  <si>
    <t>Jon Seda</t>
  </si>
  <si>
    <t>Selena </t>
  </si>
  <si>
    <t>latin music|marriage|on tour|singer|tejano</t>
  </si>
  <si>
    <t>Oliver Hudson</t>
  </si>
  <si>
    <t>The Out-of-Towners </t>
  </si>
  <si>
    <t>job interview|manhattan new york city|new york city|remake|sausage</t>
  </si>
  <si>
    <t>Ben Affleck</t>
  </si>
  <si>
    <t>Clea DuVall</t>
  </si>
  <si>
    <t>Argo </t>
  </si>
  <si>
    <t>1970s|cia|f word|u.s. embassy|year 1979</t>
  </si>
  <si>
    <t>Richard Dutcher</t>
  </si>
  <si>
    <t>Brigham City </t>
  </si>
  <si>
    <t>fbi agent|mormon|prayer|sheriff|utah</t>
  </si>
  <si>
    <t>Kevin Corrigan</t>
  </si>
  <si>
    <t>Lonesome Jim </t>
  </si>
  <si>
    <t>bail|coma|dart board|indiana|ladder factory</t>
  </si>
  <si>
    <t>Olympus Has Fallen </t>
  </si>
  <si>
    <t>political thriller|politics|president|speaker of the house|u.s. president</t>
  </si>
  <si>
    <t>Ron Maxwell</t>
  </si>
  <si>
    <t>Billy Campbell</t>
  </si>
  <si>
    <t>Gods and Generals </t>
  </si>
  <si>
    <t>confederacy|hero|prequel|stonewall jackson|war hero</t>
  </si>
  <si>
    <t>Fantasy|Mystery|Romance|Sci-Fi|Thriller</t>
  </si>
  <si>
    <t>Vanilla Sky </t>
  </si>
  <si>
    <t>death|dream|love|lynchian|reality</t>
  </si>
  <si>
    <t>Action|Drama|Sport</t>
  </si>
  <si>
    <t>Days of Thunder </t>
  </si>
  <si>
    <t>driver|hot shot|racing|stock car driver|team</t>
  </si>
  <si>
    <t>Patricia Cardoso</t>
  </si>
  <si>
    <t>America Ferrera</t>
  </si>
  <si>
    <t>Real Women Have Curves </t>
  </si>
  <si>
    <t>education|factory|high school|mexican american|religious icon</t>
  </si>
  <si>
    <t>The Scorch Trials </t>
  </si>
  <si>
    <t>desert|disease|escape|resistance|virus</t>
  </si>
  <si>
    <t>Action|Adventure|Animation|Comedy|Family|Fantasy</t>
  </si>
  <si>
    <t>Puss in Boots </t>
  </si>
  <si>
    <t>betrayal|egg|friend|goose|hero</t>
  </si>
  <si>
    <t>Raiders of the Lost Ark </t>
  </si>
  <si>
    <t>archeological dig|archeologist|ark of the covenant|egypt|nazi</t>
  </si>
  <si>
    <t>Moon </t>
  </si>
  <si>
    <t>computer|contract|earth|moon|solitude</t>
  </si>
  <si>
    <t>Triple 9 </t>
  </si>
  <si>
    <t>betrayal|corrupt cop|heist|murder of a police officer|police detective</t>
  </si>
  <si>
    <t>Rise of the Planet of the Apes </t>
  </si>
  <si>
    <t>alzheimer's disease|ape|chimpanzee|fire|when animals attack</t>
  </si>
  <si>
    <t>Violante Placido</t>
  </si>
  <si>
    <t>The American </t>
  </si>
  <si>
    <t>ambush|assassin|priest|prostitute|sweden</t>
  </si>
  <si>
    <t>Rosanna Arquette</t>
  </si>
  <si>
    <t>Flight of the Intruder </t>
  </si>
  <si>
    <t>bombardier|pilot|u.s. navy|vietnam|vietnam war</t>
  </si>
  <si>
    <t>Hook </t>
  </si>
  <si>
    <t>1990s|caught in a net|children|duel|hero</t>
  </si>
  <si>
    <t>Patton Oswalt</t>
  </si>
  <si>
    <t>Magnolia </t>
  </si>
  <si>
    <t>abusive father|coincidence|fictional game show|fictional quiz show|multiple storyline</t>
  </si>
  <si>
    <t>Ariel Vromen</t>
  </si>
  <si>
    <t>Action|Crime|Drama|Mystery|Sci-Fi|Thriller</t>
  </si>
  <si>
    <t>Criminal </t>
  </si>
  <si>
    <t>cia|husband wife relationship|memory|tied up while barefoot|violence</t>
  </si>
  <si>
    <t>Adventure|Animation|Comedy|Drama|Family|Fantasy</t>
  </si>
  <si>
    <t>Inside Out </t>
  </si>
  <si>
    <t>anger|joy|memory|running away|sadness</t>
  </si>
  <si>
    <t>Alison Maclean</t>
  </si>
  <si>
    <t>Billy Crudup</t>
  </si>
  <si>
    <t>Jesus' Son </t>
  </si>
  <si>
    <t>hospital|love|mennonite|shower|song</t>
  </si>
  <si>
    <t>Things to Do in Denver When You're Dead </t>
  </si>
  <si>
    <t>death|finger gun|video message|what happened to epilogue|wheelchair</t>
  </si>
  <si>
    <t>Promised Land </t>
  </si>
  <si>
    <t>corporate greed|corporation|natural gas|salesman|small town</t>
  </si>
  <si>
    <t>The Last Stand </t>
  </si>
  <si>
    <t>deputy|escape|fbi|modern western|sheriff</t>
  </si>
  <si>
    <t>Eddie Marsan</t>
  </si>
  <si>
    <t>Jack the Giant Slayer </t>
  </si>
  <si>
    <t>bean|giant|king|no opening credits|princess</t>
  </si>
  <si>
    <t>The Losers </t>
  </si>
  <si>
    <t>hacking|hijacking|martial arts|revenge|special forces</t>
  </si>
  <si>
    <t>Roger Nygard</t>
  </si>
  <si>
    <t>Walter Koenig</t>
  </si>
  <si>
    <t>Trekkies </t>
  </si>
  <si>
    <t>autograph|dentist|outer space|star trek|telephone call</t>
  </si>
  <si>
    <t>Smokin' Aces </t>
  </si>
  <si>
    <t>casino|fbi|mafia|mob hit|sniper</t>
  </si>
  <si>
    <t>Kathryn Bigelow</t>
  </si>
  <si>
    <t>Drama|History|Thriller|War</t>
  </si>
  <si>
    <t>K-19: The Widowmaker </t>
  </si>
  <si>
    <t>courage|radiation sickness|radioactive contamination|sea|test launch</t>
  </si>
  <si>
    <t>Bokeem Woodbine</t>
  </si>
  <si>
    <t>Ray </t>
  </si>
  <si>
    <t>1950s|1960s|racism|rhythm and blues|singer</t>
  </si>
  <si>
    <t>Space Cowboys </t>
  </si>
  <si>
    <t>nasa|old age|satellite|space|space shuttle</t>
  </si>
  <si>
    <t>Disaster Movie </t>
  </si>
  <si>
    <t>disaster|glass|mousetrap|natural disaster|scatological humor</t>
  </si>
  <si>
    <t>The Core </t>
  </si>
  <si>
    <t>core|earth|natural disaster|pacemaker|scientist</t>
  </si>
  <si>
    <t>David Hackl</t>
  </si>
  <si>
    <t>Saw V </t>
  </si>
  <si>
    <t>blood splatter|jigsaw|nazi|serial killer|swastika tattoo</t>
  </si>
  <si>
    <t>Lara Croft: Tomb Raider </t>
  </si>
  <si>
    <t>illuminati|planetary alignment|time|tomb|tomb raider</t>
  </si>
  <si>
    <t>Blood In, Blood Out </t>
  </si>
  <si>
    <t>1970s|1980s|barrio|gang war|mexican</t>
  </si>
  <si>
    <t>The Naked Gun 2½: The Smell of Fear </t>
  </si>
  <si>
    <t>american president|evil industrialist|ex girlfriend|political leader|president</t>
  </si>
  <si>
    <t>Action|Crime|Drama|Thriller|Western</t>
  </si>
  <si>
    <t>Harley Davidson and the Marlboro Man </t>
  </si>
  <si>
    <t>bar|biker|cowboy|drugs|marlboro</t>
  </si>
  <si>
    <t>Craig Zobel</t>
  </si>
  <si>
    <t>Biography|Crime|Drama|Thriller</t>
  </si>
  <si>
    <t>Dreama Walker</t>
  </si>
  <si>
    <t>Compliance </t>
  </si>
  <si>
    <t>authority|boss subordinate relationship|fast food restaurant|gullibility|telephone call</t>
  </si>
  <si>
    <t>Carlos Gallardo</t>
  </si>
  <si>
    <t>El Mariachi </t>
  </si>
  <si>
    <t>assassin|death|guitar|gun|mariachi</t>
  </si>
  <si>
    <t>Ender's Game </t>
  </si>
  <si>
    <t>alien|future|manipulation|simulation|training</t>
  </si>
  <si>
    <t>Ellar Coltrane</t>
  </si>
  <si>
    <t>Boyhood </t>
  </si>
  <si>
    <t>12 year time span|coming of age|domestic abuse|growing up|separated parents</t>
  </si>
  <si>
    <t>Marie Antoinette </t>
  </si>
  <si>
    <t>austria|cake|france|queen|versailles</t>
  </si>
  <si>
    <t>The Wedding Planner </t>
  </si>
  <si>
    <t>chick flick|doctor|horseback riding|wedding|wedding planner</t>
  </si>
  <si>
    <t>Shane Acker</t>
  </si>
  <si>
    <t>Action|Adventure|Animation|Drama|Mystery|Sci-Fi|Thriller</t>
  </si>
  <si>
    <t>9 </t>
  </si>
  <si>
    <t>hope|key|machine|number|rag doll</t>
  </si>
  <si>
    <t>Matthew Robbins</t>
  </si>
  <si>
    <t>Ian McDiarmid</t>
  </si>
  <si>
    <t>Dragonslayer </t>
  </si>
  <si>
    <t>apprentice|dragon|king|kingdom|wizard</t>
  </si>
  <si>
    <t>Flushed Away </t>
  </si>
  <si>
    <t>boat|frog|rat|sewer|toad</t>
  </si>
  <si>
    <t>Rosie Perez</t>
  </si>
  <si>
    <t>Riding in Cars with Boys </t>
  </si>
  <si>
    <t>boy|college|heroin|working class|writer</t>
  </si>
  <si>
    <t>Die Hard </t>
  </si>
  <si>
    <t>christmas|christmas eve|christmas party|held at gunpoint|hostage</t>
  </si>
  <si>
    <t>Deon Taylor</t>
  </si>
  <si>
    <t>Matt Cohen</t>
  </si>
  <si>
    <t>Chain Letter </t>
  </si>
  <si>
    <t>blood splatter|chain|murder|mysterious killer|warning</t>
  </si>
  <si>
    <t>Eric Schaeffer</t>
  </si>
  <si>
    <t>Never Again </t>
  </si>
  <si>
    <t>bar|gay bar|love|mother son relationship|new york</t>
  </si>
  <si>
    <t>RED 2 </t>
  </si>
  <si>
    <t>cia|cia agent|rescue|russian|team</t>
  </si>
  <si>
    <t>Action|Adventure|Drama|Romance|War</t>
  </si>
  <si>
    <t>Wes Studi</t>
  </si>
  <si>
    <t>The Last of the Mohicans </t>
  </si>
  <si>
    <t>18th century|based on novel|colonel|french and indian war|revenge</t>
  </si>
  <si>
    <t>Joseph Dorman</t>
  </si>
  <si>
    <t>Rachel Dratch</t>
  </si>
  <si>
    <t>Sholem Aleichem: Laughing in the Darkness </t>
  </si>
  <si>
    <t>jewish identity</t>
  </si>
  <si>
    <t>Thomas Carter</t>
  </si>
  <si>
    <t>Coach Carter </t>
  </si>
  <si>
    <t>basketball|basketball coach|coach|contract|high school</t>
  </si>
  <si>
    <t>Harald Zwart</t>
  </si>
  <si>
    <t>Action|Adventure|Comedy|Crime|Family|Romance|Thriller</t>
  </si>
  <si>
    <t>Agent Cody Banks </t>
  </si>
  <si>
    <t>cia|nanobot|prep school|scientist|teenager</t>
  </si>
  <si>
    <t>Diane English</t>
  </si>
  <si>
    <t>The Women </t>
  </si>
  <si>
    <t>beauty salon|divorce|fashion|new york|perfume</t>
  </si>
  <si>
    <t>Mia Sara</t>
  </si>
  <si>
    <t>Timecop </t>
  </si>
  <si>
    <t>cop|corrupt politician|future|senator|time travel</t>
  </si>
  <si>
    <t>The Godfather </t>
  </si>
  <si>
    <t>crime family|mafia|organized crime|patriarch|rise to power</t>
  </si>
  <si>
    <t>Mystery|Sci-Fi|Thriller</t>
  </si>
  <si>
    <t>Joel Courtney</t>
  </si>
  <si>
    <t>Super 8 </t>
  </si>
  <si>
    <t>deputy|group of friends|time|train|train crash</t>
  </si>
  <si>
    <t>The Notebook </t>
  </si>
  <si>
    <t>class differences|letter|nursing home|second chance|summer love</t>
  </si>
  <si>
    <t>Shaft </t>
  </si>
  <si>
    <t>blaxploitation|detective|drugs|shaft|trial</t>
  </si>
  <si>
    <t>Richard Marquand</t>
  </si>
  <si>
    <t>Star Wars: Episode VI - Return of the Jedi </t>
  </si>
  <si>
    <t>death star|emperor|empire|princess|rebel</t>
  </si>
  <si>
    <t>Kenneth Lonergan</t>
  </si>
  <si>
    <t>Margaret </t>
  </si>
  <si>
    <t>accident|bus|loss of virginity|new york city|virginity</t>
  </si>
  <si>
    <t>Nick Tomnay</t>
  </si>
  <si>
    <t>David Hyde Pierce</t>
  </si>
  <si>
    <t>The Perfect Host </t>
  </si>
  <si>
    <t>arm tattoo|bank robbery|cauterizing a wound|dancing on a table|dinner party</t>
  </si>
  <si>
    <t>Serenity </t>
  </si>
  <si>
    <t>alliance|cannibalism|future|operative|planet</t>
  </si>
  <si>
    <t>Ron Clements</t>
  </si>
  <si>
    <t>Animation|Family|Fantasy|Musical|Romance</t>
  </si>
  <si>
    <t>The Princess and the Frog </t>
  </si>
  <si>
    <t>amphibian|dream|frog|frog prince|waitress</t>
  </si>
  <si>
    <t>Yimou Zhang</t>
  </si>
  <si>
    <t>Takeshi Kaneshiro</t>
  </si>
  <si>
    <t>House of Flying Daggers </t>
  </si>
  <si>
    <t>flying|flying dagger|government|police|secret</t>
  </si>
  <si>
    <t>Jeff Wadlow</t>
  </si>
  <si>
    <t>Kick-Ass 2 </t>
  </si>
  <si>
    <t>hit in the crotch|kicked in the crotch|punched in the crotch|sparring|superhero</t>
  </si>
  <si>
    <t>Ringo Lam</t>
  </si>
  <si>
    <t>Natasha Henstridge</t>
  </si>
  <si>
    <t>Maximum Risk </t>
  </si>
  <si>
    <t>fbi|fbi agent|mafia|russian mafia|twin</t>
  </si>
  <si>
    <t>Adventure|Drama|History|Romance|War</t>
  </si>
  <si>
    <t>Cold Mountain </t>
  </si>
  <si>
    <t>civil war|mountain|soldier|well|wounded soldier</t>
  </si>
  <si>
    <t>The Holiday </t>
  </si>
  <si>
    <t>book|composer|house|love|self esteem</t>
  </si>
  <si>
    <t>Winged Migration </t>
  </si>
  <si>
    <t>arctic|bad weather|flight|migration|ocean</t>
  </si>
  <si>
    <t>Joe Cornish</t>
  </si>
  <si>
    <t>John Boyega</t>
  </si>
  <si>
    <t>Attack the Block </t>
  </si>
  <si>
    <t>alien|alien invasion|apartment|creature|gang</t>
  </si>
  <si>
    <t>The Chronicles of Narnia: The Voyage of the Dawn Treader </t>
  </si>
  <si>
    <t>dragon|king|mouse|quest|warrior</t>
  </si>
  <si>
    <t>The Good Thief </t>
  </si>
  <si>
    <t>casino|french riviera|gambler|heist|partner</t>
  </si>
  <si>
    <t>Runaway Bride </t>
  </si>
  <si>
    <t>bride|columnist|journalist|maryland|wedding</t>
  </si>
  <si>
    <t>The Beach </t>
  </si>
  <si>
    <t>love|map|paradise|thailand|travel</t>
  </si>
  <si>
    <t>Glee: The 3D Concert Movie </t>
  </si>
  <si>
    <t>concert|live in concert recording|live performance</t>
  </si>
  <si>
    <t>Boys and Girls </t>
  </si>
  <si>
    <t>best friend|break up|friendship|graduation|male in underwear</t>
  </si>
  <si>
    <t>Paul Mazursky</t>
  </si>
  <si>
    <t>Faithful </t>
  </si>
  <si>
    <t>bathroom|bathtub|female protagonist|flashback|kitchen</t>
  </si>
  <si>
    <t>Ursula Andress</t>
  </si>
  <si>
    <t>Dr. No </t>
  </si>
  <si>
    <t>british secret service|hand to hand combat|murder|official james bond series|terrorist plot</t>
  </si>
  <si>
    <t>Mikael HÃ¥fstrÃ¶m</t>
  </si>
  <si>
    <t>The Rite </t>
  </si>
  <si>
    <t>demon|exorcism|exorcist|faith|seminary</t>
  </si>
  <si>
    <t>Gary Rogers</t>
  </si>
  <si>
    <t>Adventure</t>
  </si>
  <si>
    <t>Noah Danby</t>
  </si>
  <si>
    <t>The Book of Mormon Movie, Volume 1: The Journey </t>
  </si>
  <si>
    <t>jerusalem|journey|promised land|ship|wilderness</t>
  </si>
  <si>
    <t>Adrienne Shelly</t>
  </si>
  <si>
    <t>Lew Temple</t>
  </si>
  <si>
    <t>Waitress </t>
  </si>
  <si>
    <t>domestic violence|pregnancy|unhappy marriage|unwanted pregnancy|waitress</t>
  </si>
  <si>
    <t>Andy Fickman</t>
  </si>
  <si>
    <t>She's the Man </t>
  </si>
  <si>
    <t>disguise|roommate|school|soccer|twin</t>
  </si>
  <si>
    <t>Steve Bendelack</t>
  </si>
  <si>
    <t>Lily Atkinson</t>
  </si>
  <si>
    <t>Mr. Bean's Holiday </t>
  </si>
  <si>
    <t>camcorder|cannes|director|lost passport|train</t>
  </si>
  <si>
    <t>Howl's Moving Castle </t>
  </si>
  <si>
    <t>anime|castle|demon|steampunk|witch</t>
  </si>
  <si>
    <t>Sidney J. Furie</t>
  </si>
  <si>
    <t>Superman IV: The Quest for Peace </t>
  </si>
  <si>
    <t>box office flop|dc comics|hair|nuclear disarmament|superman</t>
  </si>
  <si>
    <t>S.S. Rajamouli</t>
  </si>
  <si>
    <t>Action|Adventure|Drama|Fantasy|War</t>
  </si>
  <si>
    <t>Tamannaah Bhatia</t>
  </si>
  <si>
    <t>Baahubali: The Beginning </t>
  </si>
  <si>
    <t>ancient india|dual role|good versus evil|hindu|kingdom</t>
  </si>
  <si>
    <t>Telugu</t>
  </si>
  <si>
    <t>Peggy Sue Got Married </t>
  </si>
  <si>
    <t>alternate history|alternate timeline|divorce|high school|reunion</t>
  </si>
  <si>
    <t>Bo Welch</t>
  </si>
  <si>
    <t>Sean Hayes</t>
  </si>
  <si>
    <t>The Cat in the Hat </t>
  </si>
  <si>
    <t>based on cult comic book|cat|home alone|imagination|talking cat</t>
  </si>
  <si>
    <t>Antonio Banderas</t>
  </si>
  <si>
    <t>Meat Loaf</t>
  </si>
  <si>
    <t>Crazy in Alabama </t>
  </si>
  <si>
    <t>abusive husband|alabama|boy|dream|sheriff</t>
  </si>
  <si>
    <t>Labor Day </t>
  </si>
  <si>
    <t>baseball|baseball practice|escaped convict|neighbor|tied to a chair</t>
  </si>
  <si>
    <t>Darren Lynn Bousman</t>
  </si>
  <si>
    <t>Emmanuelle Vaugier</t>
  </si>
  <si>
    <t>Saw II </t>
  </si>
  <si>
    <t>death|detective|nerve gas|serial killer|trap</t>
  </si>
  <si>
    <t>Jensen Ackles</t>
  </si>
  <si>
    <t>My Bloody Valentine </t>
  </si>
  <si>
    <t>coma|death|miner|valentine|valentine's day</t>
  </si>
  <si>
    <t>To Die For </t>
  </si>
  <si>
    <t>career|fame|murder|new hampshire|television</t>
  </si>
  <si>
    <t>Alexander Witt</t>
  </si>
  <si>
    <t>Resident Evil: Apocalypse </t>
  </si>
  <si>
    <t>cover up|monster|strong female character|strong female lead|zombie apocalypse</t>
  </si>
  <si>
    <t>Justin Zackham</t>
  </si>
  <si>
    <t>The Big Wedding </t>
  </si>
  <si>
    <t>adoption|divorce|family relationships|farce|wedding</t>
  </si>
  <si>
    <t>Patricia Tallman</t>
  </si>
  <si>
    <t>Army of Darkness </t>
  </si>
  <si>
    <t>army of the dead|battle|necronomicon|reluctant hero|skeleton soldier</t>
  </si>
  <si>
    <t>What's Eating Gilbert Grape </t>
  </si>
  <si>
    <t>apostrophe in title|face slap|four word title|grocery store|police</t>
  </si>
  <si>
    <t>Brittany Daniel</t>
  </si>
  <si>
    <t>Joe Dirt </t>
  </si>
  <si>
    <t>first part|grand canyon|highway travel|indian|janitor</t>
  </si>
  <si>
    <t>Alan Shapiro</t>
  </si>
  <si>
    <t>Adventure|Family</t>
  </si>
  <si>
    <t>Paul Hogan</t>
  </si>
  <si>
    <t>Flipper </t>
  </si>
  <si>
    <t>dolphin|florida|florida keys|summer|vomiting</t>
  </si>
  <si>
    <t>Action|War</t>
  </si>
  <si>
    <t>U-571 </t>
  </si>
  <si>
    <t>battle|historically inaccurate|submarine movie|u boat|world war two</t>
  </si>
  <si>
    <t>John Luessenhop</t>
  </si>
  <si>
    <t>Gunnar Hansen</t>
  </si>
  <si>
    <t>Texas Chainsaw 3D </t>
  </si>
  <si>
    <t>chainsaw|halloween|mansion|massacre|texas</t>
  </si>
  <si>
    <t>Zero Dark Thirty </t>
  </si>
  <si>
    <t>al qaeda|cia|interrogation|lie|navy seal</t>
  </si>
  <si>
    <t>A Knight's Tale </t>
  </si>
  <si>
    <t>chaucer|jousting|knight|medieval times|tournament</t>
  </si>
  <si>
    <t>Shrek Forever After </t>
  </si>
  <si>
    <t>alternate world|fairy tale parody|female warrior|ogre|true love</t>
  </si>
  <si>
    <t>Armando Riesco</t>
  </si>
  <si>
    <t>Garden State </t>
  </si>
  <si>
    <t>actor|doctor|drugs|home|pain</t>
  </si>
  <si>
    <t>Olivia Munn</t>
  </si>
  <si>
    <t>Deliver Us from Evil </t>
  </si>
  <si>
    <t>confession|demonic possession|exorcism|flickering light|priest</t>
  </si>
  <si>
    <t>Jerry Zucker</t>
  </si>
  <si>
    <t>Corinna Harney</t>
  </si>
  <si>
    <t>Rat Race </t>
  </si>
  <si>
    <t>casino|locker|money|museum|race</t>
  </si>
  <si>
    <t>Tom Gormican</t>
  </si>
  <si>
    <t>Mackenzie Davis</t>
  </si>
  <si>
    <t>That Awkward Moment </t>
  </si>
  <si>
    <t>dating|divorce|father daughter relationship|mother daughter relationship|party</t>
  </si>
  <si>
    <t>Action|Crime|Drama|History|Western</t>
  </si>
  <si>
    <t>The Newton Boys </t>
  </si>
  <si>
    <t>bank robber|brother brother relationship|crime spree|explosive|train</t>
  </si>
  <si>
    <t>Damon Santostefano</t>
  </si>
  <si>
    <t>Matthew Perry</t>
  </si>
  <si>
    <t>Three to Tango </t>
  </si>
  <si>
    <t>architect|award|farce|love|misunderstanding</t>
  </si>
  <si>
    <t>Steve Beck</t>
  </si>
  <si>
    <t>Isaiah Washington</t>
  </si>
  <si>
    <t>Ghost Ship </t>
  </si>
  <si>
    <t>decapitation|ghost ship|passenger|severed head|torso cut in half</t>
  </si>
  <si>
    <t>Romeo Must Die </t>
  </si>
  <si>
    <t>death|hong kong|kung fu|prison|waterfront</t>
  </si>
  <si>
    <t>Pete Jones</t>
  </si>
  <si>
    <t>Stolen Summer </t>
  </si>
  <si>
    <t>catholic|catholicism|rabbi|school|summer</t>
  </si>
  <si>
    <t>Joseph Ruben</t>
  </si>
  <si>
    <t>Vincent Pastore</t>
  </si>
  <si>
    <t>Money Train </t>
  </si>
  <si>
    <t>bare breasts|breast|loan shark|subway|train</t>
  </si>
  <si>
    <t>The Color of Money </t>
  </si>
  <si>
    <t>hustler|losing|pool|pool player|tournament</t>
  </si>
  <si>
    <t>Yes Man </t>
  </si>
  <si>
    <t>best friend|dvd|girlfriend|loan|self help</t>
  </si>
  <si>
    <t>Our Family Wedding </t>
  </si>
  <si>
    <t>california|love|marriage|wedding|wedding dress</t>
  </si>
  <si>
    <t>Matt Price</t>
  </si>
  <si>
    <t>Man on the Moon </t>
  </si>
  <si>
    <t>andy kaufman|comedian|eccentric|wrestler|wrestling</t>
  </si>
  <si>
    <t>Clay Kaytis</t>
  </si>
  <si>
    <t>Action|Animation|Comedy|Family</t>
  </si>
  <si>
    <t>The Angry Birds Movie </t>
  </si>
  <si>
    <t>butt|downward duck|fish|kingfisher|pig</t>
  </si>
  <si>
    <t>Grant Heslov</t>
  </si>
  <si>
    <t>Comedy|War</t>
  </si>
  <si>
    <t>The Men Who Stare at Goats </t>
  </si>
  <si>
    <t>first person narration|general|hampster|reference to loch ness monster|reporter</t>
  </si>
  <si>
    <t>Beyond Borders </t>
  </si>
  <si>
    <t>africa|american|border|doctor|well</t>
  </si>
  <si>
    <t>Anthony Hickox</t>
  </si>
  <si>
    <t>Warlock: The Armageddon </t>
  </si>
  <si>
    <t>druid|eclipse|rune|scalping|warlock</t>
  </si>
  <si>
    <t>Nathalie Fay</t>
  </si>
  <si>
    <t>Somewhere </t>
  </si>
  <si>
    <t>actor|boredom|luxury hotel|party|trip</t>
  </si>
  <si>
    <t>Philip Kaufman</t>
  </si>
  <si>
    <t>Adventure|Drama|History</t>
  </si>
  <si>
    <t>The Right Stuff </t>
  </si>
  <si>
    <t>astronaut|sound barrier|space program|u.s. air force|u.s. space program</t>
  </si>
  <si>
    <t>Spy Kids </t>
  </si>
  <si>
    <t>brother sister relationship|espionage|rescue|secret agent|spy</t>
  </si>
  <si>
    <t>Shorts </t>
  </si>
  <si>
    <t>boy|family relationships|rock|twin|two headed person</t>
  </si>
  <si>
    <t>Danny Steinmann</t>
  </si>
  <si>
    <t>Tiffany Helm</t>
  </si>
  <si>
    <t>Friday the 13th: A New Beginning </t>
  </si>
  <si>
    <t>jason voorhees|murder|new jersey|nightmare|teenager</t>
  </si>
  <si>
    <t>Richard Brooker</t>
  </si>
  <si>
    <t>Friday the 13th Part III </t>
  </si>
  <si>
    <t>defecation|hockey mask|jason voorhees|lake|serial killer</t>
  </si>
  <si>
    <t>3 Days to Kill </t>
  </si>
  <si>
    <t>cancer|estranged wife|leather dress|spy|terrorist</t>
  </si>
  <si>
    <t>Karan Johar</t>
  </si>
  <si>
    <t>Kabhi Alvida Naa Kehna </t>
  </si>
  <si>
    <t>extramarital affair|fashion magazine editor|marriage|new york|teacher</t>
  </si>
  <si>
    <t>Formula 51 </t>
  </si>
  <si>
    <t>american in the uk|drug lord|drugs|gangster|organized crime</t>
  </si>
  <si>
    <t>David Boyd</t>
  </si>
  <si>
    <t>Home Run </t>
  </si>
  <si>
    <t>addiction|alcoholic|baseball|car accident|reference to god</t>
  </si>
  <si>
    <t>X-Men: Apocalypse </t>
  </si>
  <si>
    <t>mutant|superhero|superhero team|x men|year 1983</t>
  </si>
  <si>
    <t>Warren Beatty</t>
  </si>
  <si>
    <t>Action|Comedy|Crime|Music|Romance|Thriller</t>
  </si>
  <si>
    <t>Charlie Korsmo</t>
  </si>
  <si>
    <t>Dick Tracy </t>
  </si>
  <si>
    <t>crime boss|detective|dick tracy|gangster|orphan</t>
  </si>
  <si>
    <t>Action|Adventure|Family|Mystery|Sci-Fi</t>
  </si>
  <si>
    <t>Tomorrowland </t>
  </si>
  <si>
    <t>boy genius|futuristic city|inventor|teenage girl|time travel</t>
  </si>
  <si>
    <t>Mark A.Z. DippÃ©</t>
  </si>
  <si>
    <t>Action|Horror</t>
  </si>
  <si>
    <t>Spawn </t>
  </si>
  <si>
    <t>based on comic|based on comic book|dark hero|image comics|superhero</t>
  </si>
  <si>
    <t>Richard Curtis</t>
  </si>
  <si>
    <t>Tom Hughes</t>
  </si>
  <si>
    <t>About Time </t>
  </si>
  <si>
    <t>boyfriend girlfriend relationship|lingerie slip|time travel|time travel romance|wedding</t>
  </si>
  <si>
    <t>Simon Curtis</t>
  </si>
  <si>
    <t>Woman in Gold </t>
  </si>
  <si>
    <t>art|jewish|justice|nazi|theft</t>
  </si>
  <si>
    <t>Troy Miller</t>
  </si>
  <si>
    <t>Elden Henson</t>
  </si>
  <si>
    <t>Dumb and Dumberer: When Harry Met Lloyd </t>
  </si>
  <si>
    <t>1980s|buddy|high school|prequel to cult favorite|teenager</t>
  </si>
  <si>
    <t>Robin Hood </t>
  </si>
  <si>
    <t>1190s|archer|england|king of england|robin hood</t>
  </si>
  <si>
    <t>Steven Seagal</t>
  </si>
  <si>
    <t>On Deadly Ground </t>
  </si>
  <si>
    <t>environmental|murder|oil|oil spill|tribe</t>
  </si>
  <si>
    <t>RZA</t>
  </si>
  <si>
    <t>Rick Yune</t>
  </si>
  <si>
    <t>The Man with the Iron Fists </t>
  </si>
  <si>
    <t>blacksmith|box office flop|chop socky|critically bashed|village</t>
  </si>
  <si>
    <t>Bulworth </t>
  </si>
  <si>
    <t>hip hop|liberal|politics|senator|truth</t>
  </si>
  <si>
    <t>Thunderbirds </t>
  </si>
  <si>
    <t>astronaut|island|lady penelope|rescue|the hood</t>
  </si>
  <si>
    <t>Comedy|Family|Fantasy|Sport</t>
  </si>
  <si>
    <t>Brenda Song</t>
  </si>
  <si>
    <t>Like Mike </t>
  </si>
  <si>
    <t>basketball|lightning|nba|orphanage|shoe</t>
  </si>
  <si>
    <t>Russ Meyer</t>
  </si>
  <si>
    <t>Charles Napier</t>
  </si>
  <si>
    <t>Beyond the Valley of the Dolls </t>
  </si>
  <si>
    <t>band|drugs|friendship|hollywood|satire</t>
  </si>
  <si>
    <t>Davis Guggenheim</t>
  </si>
  <si>
    <t>Gracie </t>
  </si>
  <si>
    <t>boy|girl|soccer|south orange new jersey|teenager</t>
  </si>
  <si>
    <t>Family|Sci-Fi</t>
  </si>
  <si>
    <t>E.T. the Extra-Terrestrial </t>
  </si>
  <si>
    <t>bicyclist|boy|doll|star wars reference|voice impersonation</t>
  </si>
  <si>
    <t>Megiddo: The Omega Code 2 </t>
  </si>
  <si>
    <t>armageddon|battle|end times|reference to satan|sequel</t>
  </si>
  <si>
    <t>Cop Out </t>
  </si>
  <si>
    <t>baseball card|detective|partner|thief|wedding</t>
  </si>
  <si>
    <t>Dan Harris</t>
  </si>
  <si>
    <t>Kip Pardue</t>
  </si>
  <si>
    <t>Imaginary Heroes </t>
  </si>
  <si>
    <t>cat|christmas song|lawn mowing|leave of absence|medication</t>
  </si>
  <si>
    <t>The Great Gatsby </t>
  </si>
  <si>
    <t>ingratitude|mansion|party|title appears in writing|tragedy</t>
  </si>
  <si>
    <t>Peter R. Hunt</t>
  </si>
  <si>
    <t>Telly Savalas</t>
  </si>
  <si>
    <t>On Her Majesty's Secret Service </t>
  </si>
  <si>
    <t>bond girl|british|mission|portugal|switzerland</t>
  </si>
  <si>
    <t>John Landis</t>
  </si>
  <si>
    <t>Beverly Hills Cop III </t>
  </si>
  <si>
    <t>california|counterfeit|counterfeit money|money|theme park</t>
  </si>
  <si>
    <t>Terrence Malick</t>
  </si>
  <si>
    <t>The Thin Red Line </t>
  </si>
  <si>
    <t>battle|hill|jungle|multiple perspectives|tropical island</t>
  </si>
  <si>
    <t>Lilli Lavine</t>
  </si>
  <si>
    <t>Serendipity </t>
  </si>
  <si>
    <t>christmas|destiny|fate|love|serendipity</t>
  </si>
  <si>
    <t>Stay Alive </t>
  </si>
  <si>
    <t>countess|game reality crossover|ghost|group of friends|tower</t>
  </si>
  <si>
    <t>The Bone Collector </t>
  </si>
  <si>
    <t>new york city|police|quadriplegic|serial killer|suicide</t>
  </si>
  <si>
    <t>Brian Baugh</t>
  </si>
  <si>
    <t>Randy Wayne</t>
  </si>
  <si>
    <t>To Save a Life </t>
  </si>
  <si>
    <t>basketball|beer pong|childhood friend|christian|suicide</t>
  </si>
  <si>
    <t>Kimberly J. Brown</t>
  </si>
  <si>
    <t>Tumbleweeds </t>
  </si>
  <si>
    <t>boss|fight|reference to william shakespeare|white trash|written and directed by cast member</t>
  </si>
  <si>
    <t>Action|Adventure|Family|Fantasy|Sci-Fi|Thriller</t>
  </si>
  <si>
    <t>Race to Witch Mountain </t>
  </si>
  <si>
    <t>alien|military|mountain|spacecraft|ufo</t>
  </si>
  <si>
    <t>Taylor Lautner</t>
  </si>
  <si>
    <t>The Adventures of Sharkboy and Lavagirl 3-D </t>
  </si>
  <si>
    <t>boy|bully|dream|dream sequence|planet</t>
  </si>
  <si>
    <t>Alex Cross </t>
  </si>
  <si>
    <t>assassin|detective|partner|police|serial killer</t>
  </si>
  <si>
    <t>Hal Haberman</t>
  </si>
  <si>
    <t>Special </t>
  </si>
  <si>
    <t>dream sequence|locked in a room|looking at self in mirror|medication|superhero</t>
  </si>
  <si>
    <t>Richard Wilson</t>
  </si>
  <si>
    <t>A Passage to India </t>
  </si>
  <si>
    <t>doctor|english|india|magistrate|mosque</t>
  </si>
  <si>
    <t>Drew Barrymore</t>
  </si>
  <si>
    <t>Daniel Stern</t>
  </si>
  <si>
    <t>Whip It </t>
  </si>
  <si>
    <t>beauty pageant|friend|pageant|roller derby|texas</t>
  </si>
  <si>
    <t>Nicole Holofcener</t>
  </si>
  <si>
    <t>Walking and Talking </t>
  </si>
  <si>
    <t>briefs|cancer|cat|cult film|friend</t>
  </si>
  <si>
    <t>The Lord of the Rings: The Return of the King </t>
  </si>
  <si>
    <t>battle|epic|king|orc|ring</t>
  </si>
  <si>
    <t>Grown Ups </t>
  </si>
  <si>
    <t>basketball|coach|daughter|high school|high school basketball</t>
  </si>
  <si>
    <t>Angela Robinson</t>
  </si>
  <si>
    <t>D.E.B.S. </t>
  </si>
  <si>
    <t>1959 cadillac|diamonds|female villain|force field|voyeurism</t>
  </si>
  <si>
    <t>Dean Stockwell</t>
  </si>
  <si>
    <t>Beverly Hills Cop II </t>
  </si>
  <si>
    <t>detective|police|police chief|robbery|tall woman</t>
  </si>
  <si>
    <t>Batman v Superman: Dawn of Justice </t>
  </si>
  <si>
    <t>based on comic book|batman|sequel to a reboot|superhero|superman</t>
  </si>
  <si>
    <t>C. Jay Cox</t>
  </si>
  <si>
    <t>Tori Spelling</t>
  </si>
  <si>
    <t>Kiss the Bride </t>
  </si>
  <si>
    <t>best friend|high school|love|secret|wedding</t>
  </si>
  <si>
    <t>Alison Brie</t>
  </si>
  <si>
    <t>Scream 4 </t>
  </si>
  <si>
    <t>author|book|deputy|murder|sheriff</t>
  </si>
  <si>
    <t>Adventure|Comedy|Music|Sci-Fi</t>
  </si>
  <si>
    <t>Bill &amp; Ted's Excellent Adventure </t>
  </si>
  <si>
    <t>failing student|high school|payphone|teenager|telephone booth</t>
  </si>
  <si>
    <t>Knocked Up </t>
  </si>
  <si>
    <t>one night stand|pregnancy|slacker|unplanned pregnancy|website</t>
  </si>
  <si>
    <t>Luenell</t>
  </si>
  <si>
    <t>Borat: Cultural Learnings of America for Make Benefit Glorious Nation of Kazakhstan </t>
  </si>
  <si>
    <t>california|city|kazakhstan|travel|tv reporter</t>
  </si>
  <si>
    <t>The Reader </t>
  </si>
  <si>
    <t>love|reading|teaching oneself to read|trial|war crime</t>
  </si>
  <si>
    <t>Shari Albert</t>
  </si>
  <si>
    <t>The Brothers McMullen </t>
  </si>
  <si>
    <t>abusive father|critically acclaimed|loss of father|love|true love</t>
  </si>
  <si>
    <t>Mrs. Doubtfire </t>
  </si>
  <si>
    <t>actor|based on novel|fancy restaurant|male actor playing a female character|party</t>
  </si>
  <si>
    <t>Oren Peli</t>
  </si>
  <si>
    <t>Micah Sloat</t>
  </si>
  <si>
    <t>Paranormal Activity </t>
  </si>
  <si>
    <t>dark force|entity|evil force|found footage|paranormal phenomenon</t>
  </si>
  <si>
    <t>Daniel Stamm</t>
  </si>
  <si>
    <t>Caleb Landry Jones</t>
  </si>
  <si>
    <t>The Last Exorcism </t>
  </si>
  <si>
    <t>cult film|documentary crew|exorcism|found footage|satanic ritual</t>
  </si>
  <si>
    <t>Adventure|Comedy|Family|Romance</t>
  </si>
  <si>
    <t>Are We There Yet? </t>
  </si>
  <si>
    <t>car fire|children|cockroach|independent film|new year</t>
  </si>
  <si>
    <t>Joseph L. Mankiewicz</t>
  </si>
  <si>
    <t>Cleopatra </t>
  </si>
  <si>
    <t>cleopatra|egypt|epic|queen|roman empire</t>
  </si>
  <si>
    <t>John Wells</t>
  </si>
  <si>
    <t>August: Osage County </t>
  </si>
  <si>
    <t>based on play|incestuous relationship|pedophilia|secret|teenage daughter</t>
  </si>
  <si>
    <t>Joseph Kosinski</t>
  </si>
  <si>
    <t>TRON: Legacy </t>
  </si>
  <si>
    <t>arcade|bridge|disappearance|escape|warrior</t>
  </si>
  <si>
    <t>Titanic </t>
  </si>
  <si>
    <t>artist|love|ship|titanic|wet</t>
  </si>
  <si>
    <t>AndrÃ©s Muschietti</t>
  </si>
  <si>
    <t>Mama </t>
  </si>
  <si>
    <t>aunt|children|death of sister|forest|hiding in a closet</t>
  </si>
  <si>
    <t>Henry Koster</t>
  </si>
  <si>
    <t>Richard Burton</t>
  </si>
  <si>
    <t>The Robe </t>
  </si>
  <si>
    <t>box office hit|crucifixion|nightmare|palestine|robe</t>
  </si>
  <si>
    <t>Animation|Comedy|Family|Horror|Sci-Fi</t>
  </si>
  <si>
    <t>Frankenweenie </t>
  </si>
  <si>
    <t>dog|life|remake by original director|science|stop motion animation</t>
  </si>
  <si>
    <t>Ritesh Batra</t>
  </si>
  <si>
    <t>Nawazuddin Siddiqui</t>
  </si>
  <si>
    <t>The Lunchbox </t>
  </si>
  <si>
    <t>delivery|delivery to wrong address|lunchbox|open ended|unconventional romance</t>
  </si>
  <si>
    <t>Mark Tarlov</t>
  </si>
  <si>
    <t>Simply Irresistible </t>
  </si>
  <si>
    <t>chef|female chef|love|magic|restaurant</t>
  </si>
  <si>
    <t>Stockard Channing</t>
  </si>
  <si>
    <t>The First Wives Club </t>
  </si>
  <si>
    <t>cult film|female therapist|revenge|revenge motive|therapy session</t>
  </si>
  <si>
    <t>Mark Pellington</t>
  </si>
  <si>
    <t>Arlington Road </t>
  </si>
  <si>
    <t>death|fbi|fbi agent|neighbor|professor</t>
  </si>
  <si>
    <t>Floyd Mutrux</t>
  </si>
  <si>
    <t>Ricky Schroder</t>
  </si>
  <si>
    <t>There Goes My Baby </t>
  </si>
  <si>
    <t>high school|love|police|showdown|surfer</t>
  </si>
  <si>
    <t>Superbad </t>
  </si>
  <si>
    <t>black comedy|bromance|party|school|teen comedy</t>
  </si>
  <si>
    <t>William Malone</t>
  </si>
  <si>
    <t>Jeffrey Combs</t>
  </si>
  <si>
    <t>House on Haunted Hill </t>
  </si>
  <si>
    <t>billionaire|corpse|eccentric|haunted hospital|haunted house</t>
  </si>
  <si>
    <t>Mike Judge</t>
  </si>
  <si>
    <t>Adventure|Animation|Comedy|Crime</t>
  </si>
  <si>
    <t>Beavis and Butt-Head Do America </t>
  </si>
  <si>
    <t>beavis and butt head|fbi|score|television|television set</t>
  </si>
  <si>
    <t>Damon Wayans</t>
  </si>
  <si>
    <t>Marci X </t>
  </si>
  <si>
    <t>female protagonist|hip hop|jewish american princess|rapper|record label</t>
  </si>
  <si>
    <t>Horrible Bosses 2 </t>
  </si>
  <si>
    <t>kidnapping|reference to franz beckenbauer|scene during end credits|second part|singing in a car</t>
  </si>
  <si>
    <t>Amy Heckerling</t>
  </si>
  <si>
    <t>Andy Dick</t>
  </si>
  <si>
    <t>Loser </t>
  </si>
  <si>
    <t>college|loser|love|new york city|overdose</t>
  </si>
  <si>
    <t>Bedtime Stories </t>
  </si>
  <si>
    <t>2000s|bedtime story|elephant|handyman|tween girl</t>
  </si>
  <si>
    <t>Joey Lauren Adams</t>
  </si>
  <si>
    <t>Come Early Morning </t>
  </si>
  <si>
    <t>church|drink|knocking on a door|love|three word title</t>
  </si>
  <si>
    <t>Pushing Tin </t>
  </si>
  <si>
    <t>air traffic control|air traffic controller|female bodybuilder|job|marriage</t>
  </si>
  <si>
    <t>Kenneth Johnson</t>
  </si>
  <si>
    <t>Action|Crime|Sci-Fi</t>
  </si>
  <si>
    <t>Steel </t>
  </si>
  <si>
    <t>fight|gang|junkyard|military|soldier</t>
  </si>
  <si>
    <t>StÃ©phane Aubier</t>
  </si>
  <si>
    <t>Animation|Comedy|Crime|Drama|Family</t>
  </si>
  <si>
    <t>Ernest &amp; Celestine </t>
  </si>
  <si>
    <t>bear|dentist|friendship|mouse|prejudice</t>
  </si>
  <si>
    <t>Patty Jenkins</t>
  </si>
  <si>
    <t>Monster </t>
  </si>
  <si>
    <t>beach|female criminal|hooker|lesbian|prostitute</t>
  </si>
  <si>
    <t>Adventure|Animation|Comedy|Family|Musical</t>
  </si>
  <si>
    <t>Rio 2 </t>
  </si>
  <si>
    <t>amazon|bird|father in law|jungle|no opening credits</t>
  </si>
  <si>
    <t>Robert Stevenson</t>
  </si>
  <si>
    <t>Comedy|Family|Fantasy|Musical</t>
  </si>
  <si>
    <t>Ed Wynn</t>
  </si>
  <si>
    <t>Mary Poppins </t>
  </si>
  <si>
    <t>banker|female protagonist|live action and animation|magic|nanny</t>
  </si>
  <si>
    <t>Adam Rapp</t>
  </si>
  <si>
    <t>Winter Passing </t>
  </si>
  <si>
    <t>love|michigan|musician|novelist|student</t>
  </si>
  <si>
    <t>Xander Berkeley</t>
  </si>
  <si>
    <t>Shanghai Noon </t>
  </si>
  <si>
    <t>19th century|chinese|princess|rescue|travel</t>
  </si>
  <si>
    <t>Final Destination </t>
  </si>
  <si>
    <t>dead teenager|death|explosion|premonition|teenager</t>
  </si>
  <si>
    <t>500 Days of Summer </t>
  </si>
  <si>
    <t>friend|greeting card|office|summer|true love</t>
  </si>
  <si>
    <t>P.S. I Love You </t>
  </si>
  <si>
    <t>birthday|friendship|hairy chest|letter|widow</t>
  </si>
  <si>
    <t>Jacob Tremblay</t>
  </si>
  <si>
    <t>The Smurfs 2 </t>
  </si>
  <si>
    <t>based on cartoon|box office hit|no opening credits|sequel|smurf</t>
  </si>
  <si>
    <t>Pirates of the Caribbean: At World's End</t>
  </si>
  <si>
    <t>goddess|marriage ceremony|marriage proposal|pirate|singapore</t>
  </si>
  <si>
    <t>The Tree of Life </t>
  </si>
  <si>
    <t>1950s|children|ice cube|texas|waco texas</t>
  </si>
  <si>
    <t>Charles Shyer</t>
  </si>
  <si>
    <t>Alfie </t>
  </si>
  <si>
    <t>best friend|commitment|friend|limousine driver|one night stand</t>
  </si>
  <si>
    <t>Action|Comedy|Crime|Drama</t>
  </si>
  <si>
    <t>After the Sunset </t>
  </si>
  <si>
    <t>diamond|fbi|fbi agent|island|thief</t>
  </si>
  <si>
    <t>Next Stop Wonderland </t>
  </si>
  <si>
    <t>love|marine biologist|nurse|personal ad|plumber</t>
  </si>
  <si>
    <t>Chris Paine</t>
  </si>
  <si>
    <t>Who Killed the Electric Car? </t>
  </si>
  <si>
    <t>california|car|reference to ralph nader|technology|u.s. president</t>
  </si>
  <si>
    <t>Into the Blue </t>
  </si>
  <si>
    <t>bahamas|blood splatter|cocaine|hairy chest|shark</t>
  </si>
  <si>
    <t>Abel Ferrara</t>
  </si>
  <si>
    <t>Isabella Rossellini</t>
  </si>
  <si>
    <t>The Funeral </t>
  </si>
  <si>
    <t>1930s|madness|murder|new york city|violence</t>
  </si>
  <si>
    <t>Iris </t>
  </si>
  <si>
    <t>alzheimer's disease|book|love|novelist|writer</t>
  </si>
  <si>
    <t>Franklin J. Schaffner</t>
  </si>
  <si>
    <t>Sphinx </t>
  </si>
  <si>
    <t>bat|curse|egyptologist|mummy|murder</t>
  </si>
  <si>
    <t>Rusty Cundieff</t>
  </si>
  <si>
    <t>Corbin Bernsen</t>
  </si>
  <si>
    <t>Tales from the Hood </t>
  </si>
  <si>
    <t>child abuse|death|drugs|ku klux klan|police brutality</t>
  </si>
  <si>
    <t>Night at the Museum: Battle of the Smithsonian </t>
  </si>
  <si>
    <t>hdtv|motorcycle|museum|security guard|tyrannosaurus rex</t>
  </si>
  <si>
    <t>Malibu's Most Wanted </t>
  </si>
  <si>
    <t>los angeles california|person in car trunk|racial impersonation|south asian|street gang</t>
  </si>
  <si>
    <t>Comedy|Drama|Musical</t>
  </si>
  <si>
    <t>Tisha Campbell-Martin</t>
  </si>
  <si>
    <t>School Daze </t>
  </si>
  <si>
    <t>beauty salon|black college|college|fraternity|sorority</t>
  </si>
  <si>
    <t>Life as a House </t>
  </si>
  <si>
    <t>cancer|construction|house|house construction|neighbor</t>
  </si>
  <si>
    <t>The Giver </t>
  </si>
  <si>
    <t>black and white segues into color|color|community|dystopia|infanticide</t>
  </si>
  <si>
    <t>Jim Field Smith</t>
  </si>
  <si>
    <t>She's Out of My League </t>
  </si>
  <si>
    <t>airport|airport security|confidence|iphone|love</t>
  </si>
  <si>
    <t>Life or Something Like It </t>
  </si>
  <si>
    <t>football|homeless man|interview|psychic|reporter</t>
  </si>
  <si>
    <t>Yarrow Cheney</t>
  </si>
  <si>
    <t>The Secret Life of Pets </t>
  </si>
  <si>
    <t>animal control|lost animal|mongrel|pet|terrier</t>
  </si>
  <si>
    <t>Gina Prince-Bythewood</t>
  </si>
  <si>
    <t>Drama|Romance|Sport</t>
  </si>
  <si>
    <t>Love &amp; Basketball </t>
  </si>
  <si>
    <t>basketball movie|female basketball player|high school|nba|title directed by female</t>
  </si>
  <si>
    <t>Comedy|Crime|Romance|Thriller</t>
  </si>
  <si>
    <t>Date Night </t>
  </si>
  <si>
    <t>city|new york city|night|reservation|restaurant</t>
  </si>
  <si>
    <t>Stephen Amell</t>
  </si>
  <si>
    <t>Teenage Mutant Ninja Turtles: Out of the Shadows </t>
  </si>
  <si>
    <t>based on comic book|brother brother relationship|rat|sequel|turtle</t>
  </si>
  <si>
    <t>Mark Christopher</t>
  </si>
  <si>
    <t>54 </t>
  </si>
  <si>
    <t>angel dust the drug|disco|new york city|quaalude|reference to princess grace of monaco</t>
  </si>
  <si>
    <t>Daddy Day Care </t>
  </si>
  <si>
    <t>bloopers during credits|breakfast cereal|department store ride|face painting|sponge bob square pants slippers</t>
  </si>
  <si>
    <t>Peter Ramsey</t>
  </si>
  <si>
    <t>Rise of the Guardians </t>
  </si>
  <si>
    <t>belief|box office hit|children|new york city|tooth</t>
  </si>
  <si>
    <t>Jean-Jacques Mantello</t>
  </si>
  <si>
    <t>Adventure|Documentary|Short</t>
  </si>
  <si>
    <t>Dolphins and Whales 3D: Tribes of the Ocean </t>
  </si>
  <si>
    <t>3d in title|animal in title|digit in title|dolphin|manatee</t>
  </si>
  <si>
    <t>Thomas Bezucha</t>
  </si>
  <si>
    <t>Craig T. Nelson</t>
  </si>
  <si>
    <t>The Family Stone </t>
  </si>
  <si>
    <t>christmas|cruelty|ring|secret|tension</t>
  </si>
  <si>
    <t>Highlander </t>
  </si>
  <si>
    <t>combat|head cut off|immortal|scotland|swordsman</t>
  </si>
  <si>
    <t>Vanity Fair </t>
  </si>
  <si>
    <t>aristocrat|english|painter|painting|singer</t>
  </si>
  <si>
    <t>Lucky You </t>
  </si>
  <si>
    <t>losing|poker|poker player|reference to frederic chopin|reference to johannes brahms</t>
  </si>
  <si>
    <t>Donnie Brasco </t>
  </si>
  <si>
    <t>fbi|mafia|money|racial slur|singer</t>
  </si>
  <si>
    <t>Scott Speer</t>
  </si>
  <si>
    <t>Ryan Guzman</t>
  </si>
  <si>
    <t>Step Up Revolution </t>
  </si>
  <si>
    <t>3 dimensional|dance|dancer|dancing|flash mob</t>
  </si>
  <si>
    <t>Equilibrium </t>
  </si>
  <si>
    <t>cleric|dystopia|fascist|law|neo noir</t>
  </si>
  <si>
    <t>Reginald Hudlin</t>
  </si>
  <si>
    <t>The Ladies Man </t>
  </si>
  <si>
    <t>black pantyhose|female stockinged legs|pantyhose|radio|tattoo</t>
  </si>
  <si>
    <t>Deuce Bigalow: Male Gigolo </t>
  </si>
  <si>
    <t>aquarium|fish|fish tank|gigolo|norwegian</t>
  </si>
  <si>
    <t>Prachya Pinkaew</t>
  </si>
  <si>
    <t>Jon Foo</t>
  </si>
  <si>
    <t>The Protector </t>
  </si>
  <si>
    <t>die hard scenario|elephant|long take|police|sydney australia</t>
  </si>
  <si>
    <t>The Fighter </t>
  </si>
  <si>
    <t>boxer|boxing|boxing match|crack cocaine|lowell massachusetts</t>
  </si>
  <si>
    <t>Graham Annable</t>
  </si>
  <si>
    <t>Isaac Hempstead Wright</t>
  </si>
  <si>
    <t>The Boxtrolls </t>
  </si>
  <si>
    <t>chase|puppet animation|red hat|stop motion animation|troll</t>
  </si>
  <si>
    <t>Comedy|Family|Fantasy|Horror|Mystery</t>
  </si>
  <si>
    <t>Marsha Thomason</t>
  </si>
  <si>
    <t>The Haunted Mansion </t>
  </si>
  <si>
    <t>arachnophobia|crystal ball|ghost|haunted house|thunderstorm</t>
  </si>
  <si>
    <t>We Were Soldiers </t>
  </si>
  <si>
    <t>air cavalry|battle|major|soldier|vietnamese</t>
  </si>
  <si>
    <t>Private Benjamin </t>
  </si>
  <si>
    <t>camera shot of feet|female stockinged feet|loss of husband|pantyhose|suntan pantyhose</t>
  </si>
  <si>
    <t>FranÃ§ois Truffaut</t>
  </si>
  <si>
    <t>Mississippi Mermaid </t>
  </si>
  <si>
    <t>antibes|hotel|island|reunion|reunion island</t>
  </si>
  <si>
    <t>Musical|Romance</t>
  </si>
  <si>
    <t>Olivia Newton-John</t>
  </si>
  <si>
    <t>Grease </t>
  </si>
  <si>
    <t>automobile racing|boyfriend girlfriend relationship|high school|wrestling|year 1959</t>
  </si>
  <si>
    <t>Jon Lucas</t>
  </si>
  <si>
    <t>Bad Moms </t>
  </si>
  <si>
    <t>lesbian kiss|mom|pta|reference to mad max|scene during end credits</t>
  </si>
  <si>
    <t>Byron Mann</t>
  </si>
  <si>
    <t>The Corruptor </t>
  </si>
  <si>
    <t>chinatown|illegal immigrant|new york|police|triad</t>
  </si>
  <si>
    <t>Jared Hess</t>
  </si>
  <si>
    <t>Napoleon Dynamite </t>
  </si>
  <si>
    <t>class president|family relationships|friend|high school|jock</t>
  </si>
  <si>
    <t>Thor </t>
  </si>
  <si>
    <t>battle|marvel cinematic universe|scientist|thor|throne</t>
  </si>
  <si>
    <t>Biography|Drama|Music|Romance</t>
  </si>
  <si>
    <t>Sandra Ellis Lafferty</t>
  </si>
  <si>
    <t>Walk the Line </t>
  </si>
  <si>
    <t>1960s|accident|concert|guitar|prison</t>
  </si>
  <si>
    <t>David Zayas</t>
  </si>
  <si>
    <t>Skyline </t>
  </si>
  <si>
    <t>apartment|blue light|drawing|group of friends|light</t>
  </si>
  <si>
    <t>Sally Hawkins</t>
  </si>
  <si>
    <t>Blue Jasmine </t>
  </si>
  <si>
    <t>congenital liar|mental breakdown|self deception|snob|talking to oneself</t>
  </si>
  <si>
    <t>Harry Lennix</t>
  </si>
  <si>
    <t>Barbershop 2: Back in Business </t>
  </si>
  <si>
    <t>barbecue|barbershop|blaxploitation|marriage|politics</t>
  </si>
  <si>
    <t>David Gant</t>
  </si>
  <si>
    <t>Two Brothers </t>
  </si>
  <si>
    <t>circus|death of protagonist|jungle|killing an animal|tiger</t>
  </si>
  <si>
    <t>Lexi Alexander</t>
  </si>
  <si>
    <t>Punisher: War Zone </t>
  </si>
  <si>
    <t>gun fu|plastic surgery|psychopath|undercover|vigilante</t>
  </si>
  <si>
    <t>Lincoln </t>
  </si>
  <si>
    <t>cultural conflict|politics|president|slavery|u.s. president</t>
  </si>
  <si>
    <t>Larry Crowne </t>
  </si>
  <si>
    <t>bus stop|college|community college|scooter|speech class</t>
  </si>
  <si>
    <t>What's the Worst That Could Happen? </t>
  </si>
  <si>
    <t>businessman|ring|thief|vulgarity|washington d.c.</t>
  </si>
  <si>
    <t>Taran Killam</t>
  </si>
  <si>
    <t>Just Married </t>
  </si>
  <si>
    <t>fall|honeymoon|love|marriage|newlywed</t>
  </si>
  <si>
    <t>Wagner Moura</t>
  </si>
  <si>
    <t>Elite Squad </t>
  </si>
  <si>
    <t>brazil|military police|police|rio de janeiro brazil|slum</t>
  </si>
  <si>
    <t>Drama|Romance|War|Western</t>
  </si>
  <si>
    <t>Jeremy W. Auman</t>
  </si>
  <si>
    <t>Ride with the Devil </t>
  </si>
  <si>
    <t>bushwhacker|friend|honor|kansas|raid</t>
  </si>
  <si>
    <t>Animation|Family|Fantasy</t>
  </si>
  <si>
    <t>Jennifer Saunders</t>
  </si>
  <si>
    <t>Coraline </t>
  </si>
  <si>
    <t>dream|new home|parallel worlds|scissors|secret door</t>
  </si>
  <si>
    <t>Kelly Preston</t>
  </si>
  <si>
    <t>Nothing to Lose </t>
  </si>
  <si>
    <t>boss|ghetto|money|robber|robbery</t>
  </si>
  <si>
    <t>What Planet Are You From? </t>
  </si>
  <si>
    <t>alien|baby|banker|pregnancy|question in title</t>
  </si>
  <si>
    <t>Tenzin Thuthob Tsarong</t>
  </si>
  <si>
    <t>Kundun </t>
  </si>
  <si>
    <t>chinese|dalai lama|lama|tibet|tibetan</t>
  </si>
  <si>
    <t>Action|Thriller|Western</t>
  </si>
  <si>
    <t>The Quick and the Dead </t>
  </si>
  <si>
    <t>authority figure as villian|gun duel|saved from hanging|showdown|street shootout</t>
  </si>
  <si>
    <t>Russell Holt</t>
  </si>
  <si>
    <t>Eric Johnson</t>
  </si>
  <si>
    <t>The Work and the Glory </t>
  </si>
  <si>
    <t>1830s|baptism|intolerance|mormon church|sibling rivalry</t>
  </si>
  <si>
    <t>How to Train Your Dragon 2 </t>
  </si>
  <si>
    <t>dragon|father son relationship|husband wife relationship|mother son relationship|viking</t>
  </si>
  <si>
    <t>Bruce McCulloch</t>
  </si>
  <si>
    <t>Superstar </t>
  </si>
  <si>
    <t>dancing|orphan|school|special education|student</t>
  </si>
  <si>
    <t>Angell Conwell</t>
  </si>
  <si>
    <t>The Wash </t>
  </si>
  <si>
    <t>african american stereotype|car wash|rent|roommate|threatening telephone call</t>
  </si>
  <si>
    <t>Mimi Leder</t>
  </si>
  <si>
    <t>Pay It Forward </t>
  </si>
  <si>
    <t>alcoholism|boy|good deed|protective male|teacher</t>
  </si>
  <si>
    <t>Nicholas Jarecki</t>
  </si>
  <si>
    <t>Nate Parker</t>
  </si>
  <si>
    <t>Arbitrage </t>
  </si>
  <si>
    <t>accidental death|dead woman|dead woman with eyes open|death of mistress|manager</t>
  </si>
  <si>
    <t>Holy Man </t>
  </si>
  <si>
    <t>1990s|evangelist|professional rivalry|swimming pool|televangelist</t>
  </si>
  <si>
    <t>The Dilemma </t>
  </si>
  <si>
    <t>best friend|friend|investigation|secret|two word title</t>
  </si>
  <si>
    <t>The Expendables 2 </t>
  </si>
  <si>
    <t>church|hostage|mine|plutonium|revenge</t>
  </si>
  <si>
    <t>Jeff Kanew</t>
  </si>
  <si>
    <t>Troop Beverly Hills </t>
  </si>
  <si>
    <t>beverly hills hotel|divorce|girl|troop|wilderness</t>
  </si>
  <si>
    <t>Moonlight Mile </t>
  </si>
  <si>
    <t>1970s|death|district attorney|fiancee|watching television</t>
  </si>
  <si>
    <t>Contagion </t>
  </si>
  <si>
    <t>contagion|cure|infection|panic|virus</t>
  </si>
  <si>
    <t>Floria Sigismondi</t>
  </si>
  <si>
    <t>The Runaways </t>
  </si>
  <si>
    <t>band|box office flop|critically bashed|historically inaccurate|revisionist history</t>
  </si>
  <si>
    <t>Jay and Silent Bob Strike Back </t>
  </si>
  <si>
    <t>internet|jay and silent bob|new jersey|orangutan|police</t>
  </si>
  <si>
    <t>Black Knight </t>
  </si>
  <si>
    <t>14th century|king|knight|sword duel|time travel</t>
  </si>
  <si>
    <t>Yuri Lowenthal</t>
  </si>
  <si>
    <t>The Pirates Who Don't Do Anything: A VeggieTales Movie </t>
  </si>
  <si>
    <t>17th century|king|pirate|vegetable|waiter</t>
  </si>
  <si>
    <t>The Lucky Ones </t>
  </si>
  <si>
    <t>college tuition|guitar|road trip|soldier|stranded</t>
  </si>
  <si>
    <t>Vivek Agnihotri</t>
  </si>
  <si>
    <t>Thriller</t>
  </si>
  <si>
    <t>Emraan Hashmi</t>
  </si>
  <si>
    <t>Chocolate: Deep Dark Secrets </t>
  </si>
  <si>
    <t>chocolate|christmas|christmas eve|death|suspect</t>
  </si>
  <si>
    <t>Bruce Dellis</t>
  </si>
  <si>
    <t>Tatyana Ali</t>
  </si>
  <si>
    <t>Locker 13 </t>
  </si>
  <si>
    <t>digit in title|latino|life or death|philosophy|supernatural</t>
  </si>
  <si>
    <t>Sci-Fi|Thriller</t>
  </si>
  <si>
    <t>The Happening </t>
  </si>
  <si>
    <t>bee|nature|park|school|teacher</t>
  </si>
  <si>
    <t>Olatunde Osunsanmi</t>
  </si>
  <si>
    <t>The Fourth Kind </t>
  </si>
  <si>
    <t>abduction|alaska|alien|owl|patient</t>
  </si>
  <si>
    <t>Oliver Hirschbiegel</t>
  </si>
  <si>
    <t>The Invasion </t>
  </si>
  <si>
    <t>alien|epidemic|psychiatrist|space shuttle|virus</t>
  </si>
  <si>
    <t>Panos Cosmatos</t>
  </si>
  <si>
    <t>Chris Gauthier</t>
  </si>
  <si>
    <t>Beyond the Black Rainbow </t>
  </si>
  <si>
    <t>exploitation|four word title|hallucinogen|lynchian|telepathy</t>
  </si>
  <si>
    <t>Hilary Brougher</t>
  </si>
  <si>
    <t>Sci-Fi</t>
  </si>
  <si>
    <t>James Urbaniak</t>
  </si>
  <si>
    <t>The Sticky Fingers of Time </t>
  </si>
  <si>
    <t>future|nonlinear timeline|time travel|title directed by female|writer</t>
  </si>
  <si>
    <t>Neill Dela Llana</t>
  </si>
  <si>
    <t>Ian Gamazon</t>
  </si>
  <si>
    <t>Cavite </t>
  </si>
  <si>
    <t>jihad|mindanao|philippines|security guard|squatter</t>
  </si>
  <si>
    <t>Philippines</t>
  </si>
  <si>
    <t>Dean Israelite</t>
  </si>
  <si>
    <t>Gary Weeks</t>
  </si>
  <si>
    <t>Project Almanac </t>
  </si>
  <si>
    <t>found footage|teenager|time machine|time travel|video footage</t>
  </si>
  <si>
    <t>Mystery|Thriller</t>
  </si>
  <si>
    <t>8MM </t>
  </si>
  <si>
    <t>investigation|obsession|private eye|private investigator|snuff film</t>
  </si>
  <si>
    <t>Robert Pine</t>
  </si>
  <si>
    <t>Red Eye </t>
  </si>
  <si>
    <t>airport|flight|hotel|hotel manager|plane</t>
  </si>
  <si>
    <t>Secret Window </t>
  </si>
  <si>
    <t>adultery|extramarital affair|infidelity|unfaithfulness|writer</t>
  </si>
  <si>
    <t>The Da Vinci Code </t>
  </si>
  <si>
    <t>based on supposedly true story|holy grail|mary magdalene|opus dei|secret</t>
  </si>
  <si>
    <t>Angels &amp; Demons </t>
  </si>
  <si>
    <t>conclave|illuminati|murder|reference to bernini|reference to raphael</t>
  </si>
  <si>
    <t>Josef Rusnak</t>
  </si>
  <si>
    <t>The Thirteenth Floor </t>
  </si>
  <si>
    <t>amnesia|barricade|letter|time|virtual reality</t>
  </si>
  <si>
    <t>Joel Edgerton</t>
  </si>
  <si>
    <t>The Gift </t>
  </si>
  <si>
    <t>compulsive liar|fired from a job|gift|rape|substance abuse</t>
  </si>
  <si>
    <t>George Nolfi</t>
  </si>
  <si>
    <t>Romance|Sci-Fi|Thriller</t>
  </si>
  <si>
    <t>The Adjustment Bureau </t>
  </si>
  <si>
    <t>love at first sight|obscene finger gesture|rain|teleportation|three word title</t>
  </si>
  <si>
    <t>John Badham</t>
  </si>
  <si>
    <t>WarGames </t>
  </si>
  <si>
    <t>computer|game|high school|norad|teenager</t>
  </si>
  <si>
    <t>Roman Polanski</t>
  </si>
  <si>
    <t>Jim Belushi</t>
  </si>
  <si>
    <t>The Ghost Writer </t>
  </si>
  <si>
    <t>british prime minister|death|island|memoir|writer</t>
  </si>
  <si>
    <t>Identity </t>
  </si>
  <si>
    <t>dissociative identity disorder|motel room key|murder|storm|stranded</t>
  </si>
  <si>
    <t>Western</t>
  </si>
  <si>
    <t>Pale Rider </t>
  </si>
  <si>
    <t>gold|miner|preacher|prospector|sheriff</t>
  </si>
  <si>
    <t>Eric Bress</t>
  </si>
  <si>
    <t>The Butterfly Effect </t>
  </si>
  <si>
    <t>blackout|child pornography|memory|surprise ending|time travel</t>
  </si>
  <si>
    <t>The Good, the Bad and the Ugly </t>
  </si>
  <si>
    <t>civil war|hitman|outlaw|shootout|spaghetti western</t>
  </si>
  <si>
    <t>Callum Rennie</t>
  </si>
  <si>
    <t>Memento </t>
  </si>
  <si>
    <t>flashback|memory|murder|short term memory|telephone</t>
  </si>
  <si>
    <t>Blade Runner </t>
  </si>
  <si>
    <t>artificial intelligence|human android relationship|megacorporation|police detective|tech noir</t>
  </si>
  <si>
    <t>Shutter Island </t>
  </si>
  <si>
    <t>female prisoner|plot twist|self delusion|surprise ending|year 1954</t>
  </si>
  <si>
    <t>In Time </t>
  </si>
  <si>
    <t>currency|future|murder|on the run|time</t>
  </si>
  <si>
    <t>Pitch Black </t>
  </si>
  <si>
    <t>captain|darkness|eclipse|space|survival</t>
  </si>
  <si>
    <t>Gareth Evans</t>
  </si>
  <si>
    <t>Iko Uwais</t>
  </si>
  <si>
    <t>The Raid: Redemption </t>
  </si>
  <si>
    <t>apartment|drug lord|gangster|police|swat team</t>
  </si>
  <si>
    <t>Indonesian</t>
  </si>
  <si>
    <t>Indonesia</t>
  </si>
  <si>
    <t>Robert Marcarelli</t>
  </si>
  <si>
    <t>George Coe</t>
  </si>
  <si>
    <t>The Omega Code </t>
  </si>
  <si>
    <t>code|evil|false accusation|megalomaniac|torah</t>
  </si>
  <si>
    <t>Gregor Jordan</t>
  </si>
  <si>
    <t>Comedy|Crime|Drama|Thriller|War</t>
  </si>
  <si>
    <t>Buffalo Soldiers </t>
  </si>
  <si>
    <t>berlin wall|germany|murder|soldier|specialist</t>
  </si>
  <si>
    <t>Hotel for Dogs </t>
  </si>
  <si>
    <t>abandoned hotel|dog|foster home|overalls|playing with a dog</t>
  </si>
  <si>
    <t>Charlie McDermott</t>
  </si>
  <si>
    <t>Hot Tub Time Machine </t>
  </si>
  <si>
    <t>cheating wife|drug reference|maintenance man|male vomiting|promiscuous woman</t>
  </si>
  <si>
    <t>Fred Dekker</t>
  </si>
  <si>
    <t>CCH Pounder</t>
  </si>
  <si>
    <t>RoboCop 3 </t>
  </si>
  <si>
    <t>android|corporation|ninja|police|robocop</t>
  </si>
  <si>
    <t>Tiago Riani</t>
  </si>
  <si>
    <t>The Longest Ride </t>
  </si>
  <si>
    <t>1940s|art collector|bull riding|north carolina|student</t>
  </si>
  <si>
    <t>George Hickenlooper</t>
  </si>
  <si>
    <t>Biography|Comedy|Crime|Drama</t>
  </si>
  <si>
    <t>Casino Jack </t>
  </si>
  <si>
    <t>corruption|lobbyist|murder|washington d.c.|washington d.c. lobbyist</t>
  </si>
  <si>
    <t>Brian Robbins</t>
  </si>
  <si>
    <t>A Thousand Words </t>
  </si>
  <si>
    <t>box office flop|buddhist|liar|literary agent|magical tree</t>
  </si>
  <si>
    <t>The Upside of Anger </t>
  </si>
  <si>
    <t>anger|baseball|drinking|radio|secretary</t>
  </si>
  <si>
    <t>Bandits </t>
  </si>
  <si>
    <t>bank manager|hypochondriac|love triangle|prison|television</t>
  </si>
  <si>
    <t>The Great Debaters </t>
  </si>
  <si>
    <t>college|debate|student|texas|wiley college</t>
  </si>
  <si>
    <t>Talulah Riley</t>
  </si>
  <si>
    <t>Pride &amp; Prejudice </t>
  </si>
  <si>
    <t>bachelor|england|gentleman|georgian|love</t>
  </si>
  <si>
    <t>The Dark Knight </t>
  </si>
  <si>
    <t>based on comic book|dc comics|psychopath|star died before release|urban setting</t>
  </si>
  <si>
    <t>Debra Messing</t>
  </si>
  <si>
    <t>The Mothman Prophecies </t>
  </si>
  <si>
    <t>car accident|death of wife|mothman|point pleasant west virginia|urban legend</t>
  </si>
  <si>
    <t>Marc Forby</t>
  </si>
  <si>
    <t>Q'orianka Kilcher</t>
  </si>
  <si>
    <t>Princess Kaiulani </t>
  </si>
  <si>
    <t>hawaii|hawaiian|historically inaccurate|princess|tearing up a letter</t>
  </si>
  <si>
    <t>Phenomenon </t>
  </si>
  <si>
    <t>brain tumor|genius|psionic power|telekinesis|terminal illness</t>
  </si>
  <si>
    <t>Feardotcom </t>
  </si>
  <si>
    <t>bondage gear|bound and gagged|hung by one's wrists|tied to a chair|tied to a table</t>
  </si>
  <si>
    <t>For Love of the Game </t>
  </si>
  <si>
    <t>baseball|baseball movie|detroit tigers|perfect game|pitcher</t>
  </si>
  <si>
    <t>Charles S. Dutton</t>
  </si>
  <si>
    <t>Against the Ropes </t>
  </si>
  <si>
    <t>boxer|boxing|boxing arena|boxing manager|directed by co star</t>
  </si>
  <si>
    <t>Catherine Lough Haggquist</t>
  </si>
  <si>
    <t>Alone in the Dark </t>
  </si>
  <si>
    <t>artifact|creature|darkness|demon|museum</t>
  </si>
  <si>
    <t>BjÃ¸rn Sundquist</t>
  </si>
  <si>
    <t>Dead Snow </t>
  </si>
  <si>
    <t>medical student|nazi|snow|snowmobile|zombie</t>
  </si>
  <si>
    <t>Toby Stephens</t>
  </si>
  <si>
    <t>13 Hours </t>
  </si>
  <si>
    <t>based on true story|cia agent|libya|mercenary|u.s. ambassador</t>
  </si>
  <si>
    <t>Cathy Malkasian</t>
  </si>
  <si>
    <t>The Wild Thornberrys Movie </t>
  </si>
  <si>
    <t>africa|chimpanzee|elephant|safari|shaman</t>
  </si>
  <si>
    <t>Timothy BjÃ¶rklund</t>
  </si>
  <si>
    <t>Animation|Comedy|Family|Fantasy|Musical</t>
  </si>
  <si>
    <t>Nathan Lane</t>
  </si>
  <si>
    <t>Teacher's Pet </t>
  </si>
  <si>
    <t>dog|florida|mad scientist|school|teacher</t>
  </si>
  <si>
    <t>When a Stranger Calls </t>
  </si>
  <si>
    <t>babysitting|cell phone|high school|nightmare|teenager</t>
  </si>
  <si>
    <t>Adventure|Biography|Drama|History</t>
  </si>
  <si>
    <t>Roy Billing</t>
  </si>
  <si>
    <t>Rabbit-Proof Fence </t>
  </si>
  <si>
    <t>aborigine|based on true story|colonialism|fence|half caste</t>
  </si>
  <si>
    <t>Richard Raymond</t>
  </si>
  <si>
    <t>Tom Cullen</t>
  </si>
  <si>
    <t>Desert Dancer </t>
  </si>
  <si>
    <t>dance|dancer|dancing|desert|iran</t>
  </si>
  <si>
    <t>Gary Trousdale</t>
  </si>
  <si>
    <t>Action|Adventure|Animation|Family|Fantasy|Sci-Fi</t>
  </si>
  <si>
    <t>Leonard Nimoy</t>
  </si>
  <si>
    <t>Atlantis: The Lost Empire </t>
  </si>
  <si>
    <t>atlantis|crew|expedition|journal|museum</t>
  </si>
  <si>
    <t>New Year's Eve </t>
  </si>
  <si>
    <t>expecting|kiss|new year|new year's eve|singer</t>
  </si>
  <si>
    <t>Joon-ho Bong</t>
  </si>
  <si>
    <t>Snowpiercer </t>
  </si>
  <si>
    <t>closed ecological system|perpetual winter|population control|revolt|train</t>
  </si>
  <si>
    <t>Bob Spiers</t>
  </si>
  <si>
    <t>Comedy|Family|Music</t>
  </si>
  <si>
    <t>Jason Flemyng</t>
  </si>
  <si>
    <t>Spice World </t>
  </si>
  <si>
    <t>bus|concert|live concert|pop group|spice girl</t>
  </si>
  <si>
    <t>Bill Condon</t>
  </si>
  <si>
    <t>The Fifth Estate </t>
  </si>
  <si>
    <t>computer hacker|internet|news leak|whistleblowing|wikileaks</t>
  </si>
  <si>
    <t>Phaldut Sharma</t>
  </si>
  <si>
    <t>Gravity </t>
  </si>
  <si>
    <t>box office hit|long take|sole survivor|space|space station</t>
  </si>
  <si>
    <t>William Shatner</t>
  </si>
  <si>
    <t>Star Trek V: The Final Frontier </t>
  </si>
  <si>
    <t>captain|half brother|klingon|planet|vulcan</t>
  </si>
  <si>
    <t>Kate &amp; Leopold </t>
  </si>
  <si>
    <t>bridge|brooklyn bridge|falling down an elevator shaft|time travel|time travel romance</t>
  </si>
  <si>
    <t>New York Stories </t>
  </si>
  <si>
    <t>12 year old|artist|hotel|three word title|written and directed by cast member</t>
  </si>
  <si>
    <t>Black Swan </t>
  </si>
  <si>
    <t>ballerina|ballet|fear|female protagonist|madness</t>
  </si>
  <si>
    <t>Aidan Turner</t>
  </si>
  <si>
    <t>The Hobbit: An Unexpected Journey </t>
  </si>
  <si>
    <t>dragon|dwarf|hobbit|orc|wizard</t>
  </si>
  <si>
    <t>True Grit </t>
  </si>
  <si>
    <t>arkansas|murder|sheriff|texas ranger|u.s. marshal</t>
  </si>
  <si>
    <t>Bandslam </t>
  </si>
  <si>
    <t>battle of the bands|high school|rock 'n' roll|school|teenager</t>
  </si>
  <si>
    <t>Tom Putnam</t>
  </si>
  <si>
    <t>Brendan Doogie Milewski</t>
  </si>
  <si>
    <t>Burn </t>
  </si>
  <si>
    <t>abandoned building|detroit michigan|firefighter|michigan|urban setting</t>
  </si>
  <si>
    <t>Reign of Fire </t>
  </si>
  <si>
    <t>castle|dragon|fire breathing dragon|militia|survival</t>
  </si>
  <si>
    <t>Jon Kasdan</t>
  </si>
  <si>
    <t>In the Land of Women </t>
  </si>
  <si>
    <t>actress|love|michigan|neighbor|writer</t>
  </si>
  <si>
    <t>Schindler's List </t>
  </si>
  <si>
    <t>german|german soldier|jew|jewish|nazi</t>
  </si>
  <si>
    <t>Ice Cube</t>
  </si>
  <si>
    <t>The Players Club </t>
  </si>
  <si>
    <t>catfight|dominatrix|rape|spanking|stripper</t>
  </si>
  <si>
    <t>William H. Macy</t>
  </si>
  <si>
    <t>Rudderless </t>
  </si>
  <si>
    <t>demo tape|directed by cast member|grieving father|guitar|guitar player</t>
  </si>
  <si>
    <t>Action|Drama|Fantasy|War</t>
  </si>
  <si>
    <t>300 </t>
  </si>
  <si>
    <t>battle|epic|greece|spartan|warrior</t>
  </si>
  <si>
    <t>Saw IV </t>
  </si>
  <si>
    <t>detective|fbi|rape|rapist|serial rapist</t>
  </si>
  <si>
    <t>Action|Adventure|Comedy|Family|Romance</t>
  </si>
  <si>
    <t>George of the Jungle </t>
  </si>
  <si>
    <t>animal companion|heiress|hero|jungle|male objectification</t>
  </si>
  <si>
    <t>Katt Shea</t>
  </si>
  <si>
    <t>Jason London</t>
  </si>
  <si>
    <t>The Rage: Carrie 2 </t>
  </si>
  <si>
    <t>high school|party|prom|suicide|teenage girl</t>
  </si>
  <si>
    <t>Andrey Konchalovskiy</t>
  </si>
  <si>
    <t>Action|Family|Fantasy|Musical</t>
  </si>
  <si>
    <t>Shirley Henderson</t>
  </si>
  <si>
    <t>The Nutcracker in 3D </t>
  </si>
  <si>
    <t>box office flop|christmas|christmas eve|critically bashed|toy comes to life</t>
  </si>
  <si>
    <t>Benh Zeitlin</t>
  </si>
  <si>
    <t>Beasts of the Southern Wild </t>
  </si>
  <si>
    <t>auroch|community|hospital|illness|six year old</t>
  </si>
  <si>
    <t>Takao Okawara</t>
  </si>
  <si>
    <t>Action|Adventure|Drama|Sci-Fi|Thriller</t>
  </si>
  <si>
    <t>Hiroshi Abe</t>
  </si>
  <si>
    <t>Godzilla 2000 </t>
  </si>
  <si>
    <t>godzilla|kaiju|monster|orga|ufo</t>
  </si>
  <si>
    <t>Drama|Family|Fantasy|Romance</t>
  </si>
  <si>
    <t>Tuck Everlasting </t>
  </si>
  <si>
    <t>fountain of youth|immortality|secret|woods|young man</t>
  </si>
  <si>
    <t>Transformers: Dark of the Moon </t>
  </si>
  <si>
    <t>autobot|decepticon|job interview|moon|spacecraft</t>
  </si>
  <si>
    <t>Comedy|Crime|Music</t>
  </si>
  <si>
    <t>Be Cool </t>
  </si>
  <si>
    <t>concert|mobster|russian|sequel|widow</t>
  </si>
  <si>
    <t>Drama|Music|Musical</t>
  </si>
  <si>
    <t>Dreamgirls </t>
  </si>
  <si>
    <t>1960s|fire|pop chart|singer|trio</t>
  </si>
  <si>
    <t>Bring It On </t>
  </si>
  <si>
    <t>championship|cheerleading|high school|teen comedy|teenage romance</t>
  </si>
  <si>
    <t>Levan Gabriadze</t>
  </si>
  <si>
    <t>Shelley Hennig</t>
  </si>
  <si>
    <t>Unfriended </t>
  </si>
  <si>
    <t>blender|computer screen|secret|skype|webcam</t>
  </si>
  <si>
    <t>Martin Koolhoven</t>
  </si>
  <si>
    <t>Yorick van Wageningen</t>
  </si>
  <si>
    <t>Winter in Wartime </t>
  </si>
  <si>
    <t>horse|nazi|occupation|resistance movement|uncle nephew relationship</t>
  </si>
  <si>
    <t>Dutch</t>
  </si>
  <si>
    <t>Netherlands</t>
  </si>
  <si>
    <t>Chris Zylka</t>
  </si>
  <si>
    <t>Shark Night 3D </t>
  </si>
  <si>
    <t>lake|louisiana|redneck|shark|vacation</t>
  </si>
  <si>
    <t>Oren Moverman</t>
  </si>
  <si>
    <t>The Messenger </t>
  </si>
  <si>
    <t>captain|casualty notification|casualty notification team|sergeant|staff sergeant</t>
  </si>
  <si>
    <t>Home Fries </t>
  </si>
  <si>
    <t>baby|infidelity|pilot|pregnant|waitress</t>
  </si>
  <si>
    <t>Happiness </t>
  </si>
  <si>
    <t>ensemble cast|episodic structure|satire|social satire|suburb</t>
  </si>
  <si>
    <t>Dexter Fletcher</t>
  </si>
  <si>
    <t>Biography|Comedy|Drama|Sport</t>
  </si>
  <si>
    <t>Eddie the Eagle </t>
  </si>
  <si>
    <t>1988 winter olympics|coach|ski jumper|winter|winter olympics</t>
  </si>
  <si>
    <t>Nebraska </t>
  </si>
  <si>
    <t>aging|billings montana|lincoln nebraska|nebraska|pickup truck</t>
  </si>
  <si>
    <t>Max </t>
  </si>
  <si>
    <t>afghanistan|death of marine|dog|dog adoption|man dog relationship</t>
  </si>
  <si>
    <t>Dumb and Dumber To </t>
  </si>
  <si>
    <t>adoption|highway travel|road trip|sequel|stupidity</t>
  </si>
  <si>
    <t>The Greatest Movie Ever Sold </t>
  </si>
  <si>
    <t>advertising|movie in title|product placement</t>
  </si>
  <si>
    <t>Christo Jivkov</t>
  </si>
  <si>
    <t>The Passion of the Christ </t>
  </si>
  <si>
    <t>anti semitism|cult film|grindhouse|suffering|torture</t>
  </si>
  <si>
    <t>Aramaic</t>
  </si>
  <si>
    <t>Jim Gillespie</t>
  </si>
  <si>
    <t>I Know What You Did Last Summer </t>
  </si>
  <si>
    <t>beach|corpse|fourth of july|overalls|revenge</t>
  </si>
  <si>
    <t>The Man from U.N.C.L.E. </t>
  </si>
  <si>
    <t>box office flop|cia agent|criminal organization|kgb agent|nuclear bomb</t>
  </si>
  <si>
    <t>Wally Pfister</t>
  </si>
  <si>
    <t>Drama|Mystery|Romance|Sci-Fi|Thriller</t>
  </si>
  <si>
    <t>Transcendence </t>
  </si>
  <si>
    <t>artificial intelligence|consciousness|power outage|scientist|technology</t>
  </si>
  <si>
    <t>Khyentse Norbu</t>
  </si>
  <si>
    <t>Tshewang Dendup</t>
  </si>
  <si>
    <t>Travelers and Magicians </t>
  </si>
  <si>
    <t>bhutan|buddhist|monk|storytelling|weaver</t>
  </si>
  <si>
    <t>Dzongkha</t>
  </si>
  <si>
    <t>Charles Chaplin</t>
  </si>
  <si>
    <t>Paulette Goddard</t>
  </si>
  <si>
    <t>Modern Times </t>
  </si>
  <si>
    <t>actor director writer|invention|machine|music score composed by director|tramp</t>
  </si>
  <si>
    <t>Risa Bramon Garcia</t>
  </si>
  <si>
    <t>200 Cigarettes </t>
  </si>
  <si>
    <t>bartender|friend|new year's eve|party|punk</t>
  </si>
  <si>
    <t>Katharine Isabelle</t>
  </si>
  <si>
    <t>Freddy vs. Jason </t>
  </si>
  <si>
    <t>elm street|freddy krueger|jason voorhees|serial killer|slasher</t>
  </si>
  <si>
    <t>Action|Adventure|Drama|Family</t>
  </si>
  <si>
    <t>The Young and Prodigious T.S. Spivet </t>
  </si>
  <si>
    <t>3 dimensional|cartographer|punctuation in title|smithsonian|train</t>
  </si>
  <si>
    <t>Training Day </t>
  </si>
  <si>
    <t>lapd|narc|narcotics|title spoken by character|training</t>
  </si>
  <si>
    <t>Extraordinary Measures </t>
  </si>
  <si>
    <t>cure|disease|imagination|race against time|venture capital</t>
  </si>
  <si>
    <t>Denis Villeneuve</t>
  </si>
  <si>
    <t>Drama|Mystery|War</t>
  </si>
  <si>
    <t>Lubna Azabal</t>
  </si>
  <si>
    <t>Incendies </t>
  </si>
  <si>
    <t>brother sister relationship|family relationships|middle east|mother son relationship|twin brother and sister</t>
  </si>
  <si>
    <t>Pacific Rim </t>
  </si>
  <si>
    <t>giant monster|kaiju|pilot|portal|robot</t>
  </si>
  <si>
    <t>The Shawshank Redemption </t>
  </si>
  <si>
    <t>escape from prison|first person narration|prison|prison cell search|wrongful imprisonment</t>
  </si>
  <si>
    <t>Chris Gorak</t>
  </si>
  <si>
    <t>The Darkest Hour </t>
  </si>
  <si>
    <t>alien|aurora borealis|critically bashed|killing an animal|nightclub</t>
  </si>
  <si>
    <t>Jonathan Brandis</t>
  </si>
  <si>
    <t>Outside Providence </t>
  </si>
  <si>
    <t>class|cornwall connecticut|dog|friend|pawtucket rhode island</t>
  </si>
  <si>
    <t>Adventure|Comedy|Family|Sport</t>
  </si>
  <si>
    <t>Doug E. Doug</t>
  </si>
  <si>
    <t>Cool Runnings </t>
  </si>
  <si>
    <t>bobsled|coach|jamaica|olympic games|olympics</t>
  </si>
  <si>
    <t>The Machinist </t>
  </si>
  <si>
    <t>alienation|conscience|insomnia|paranoia|urban gothic</t>
  </si>
  <si>
    <t>Action|Drama|Mystery|Thriller|War</t>
  </si>
  <si>
    <t>Courage Under Fire </t>
  </si>
  <si>
    <t>bravery|honor|medal of honor|military life|unreliable flashback</t>
  </si>
  <si>
    <t>Michael Patrick King</t>
  </si>
  <si>
    <t>Sex and the City 2 </t>
  </si>
  <si>
    <t>abu dhabi|box office hit|muslim|nanny|united arab emirates</t>
  </si>
  <si>
    <t>Bradley Parker</t>
  </si>
  <si>
    <t>Jesse McCartney</t>
  </si>
  <si>
    <t>Chernobyl Diaries </t>
  </si>
  <si>
    <t>abandoned building|chernobyl disaster|exploration|tour guide|van</t>
  </si>
  <si>
    <t>127 Hours </t>
  </si>
  <si>
    <t>alone|aron ralston|based on autobiography|canyon|survival</t>
  </si>
  <si>
    <t>The Wolverine </t>
  </si>
  <si>
    <t>healing power|marvel comics|mecha|regeneration|self healing</t>
  </si>
  <si>
    <t>Gettysburg </t>
  </si>
  <si>
    <t>american civil war|battle|blood splatter|civil war|irish american</t>
  </si>
  <si>
    <t>Gary McKendry</t>
  </si>
  <si>
    <t>Killer Elite </t>
  </si>
  <si>
    <t>australia|death|mentor|revenge|secret society</t>
  </si>
  <si>
    <t>The Full Monty </t>
  </si>
  <si>
    <t>dole|male stripper|northern england|steel worker|unemployment</t>
  </si>
  <si>
    <t>Naseeruddin Shah</t>
  </si>
  <si>
    <t>Monsoon Wedding </t>
  </si>
  <si>
    <t>arranged marriage|bride|celebration|marriage|wedding</t>
  </si>
  <si>
    <t>Love Actually </t>
  </si>
  <si>
    <t>aging rocker|christmas|love at first sight|minister|prime minister</t>
  </si>
  <si>
    <t>The Lego Movie </t>
  </si>
  <si>
    <t>based on toy|dual personality|evil businessman|good cop bad cop|lego</t>
  </si>
  <si>
    <t>Bill Johnson</t>
  </si>
  <si>
    <t>The Texas Chainsaw Massacre 2 </t>
  </si>
  <si>
    <t>chainsaw|chainsaw murder|human monster|music score composed by director|obscene finger gesture</t>
  </si>
  <si>
    <t>Biography|Crime|Drama|Western</t>
  </si>
  <si>
    <t>Butch Cassidy and the Sundance Kid </t>
  </si>
  <si>
    <t>bolivia|gang|outlaw|posse|train</t>
  </si>
  <si>
    <t>Adventure|Comedy|Horror|Sci-Fi</t>
  </si>
  <si>
    <t>Zombieland </t>
  </si>
  <si>
    <t>amusement park|on the road|zombie|zombie apocalypse|zombie spoof</t>
  </si>
  <si>
    <t>Christopher Cain</t>
  </si>
  <si>
    <t>Jack Palance</t>
  </si>
  <si>
    <t>Young Guns </t>
  </si>
  <si>
    <t>army|cattle|deputy|new mexico|rancher</t>
  </si>
  <si>
    <t>Kelly Makin</t>
  </si>
  <si>
    <t>Mickey Blue Eyes </t>
  </si>
  <si>
    <t>auctioneer|fbi|mafia|mobster|painting</t>
  </si>
  <si>
    <t>Frank Sebastiano</t>
  </si>
  <si>
    <t>Beer League </t>
  </si>
  <si>
    <t>baseball|baseball movie|beer|slacker|softball</t>
  </si>
  <si>
    <t>Where the Wild Things Are </t>
  </si>
  <si>
    <t>based on children's book|creature|igloo|imagination|king</t>
  </si>
  <si>
    <t>Drama|Family|Western</t>
  </si>
  <si>
    <t>William Morgan Sheppard</t>
  </si>
  <si>
    <t>Love's Abiding Joy </t>
  </si>
  <si>
    <t>19th century|faith|mayor|ranch|sheriff</t>
  </si>
  <si>
    <t>Whiteout </t>
  </si>
  <si>
    <t>antarctica|geologist|investigation|u.s. marshal|winter</t>
  </si>
  <si>
    <t>Jennifer Wynne Farmer</t>
  </si>
  <si>
    <t>Irene Bedard</t>
  </si>
  <si>
    <t>Naturally Native </t>
  </si>
  <si>
    <t>cosmetics|female protagonist|native american|native american protagonist|sister sister relationship</t>
  </si>
  <si>
    <t>The Adventures of Pluto Nash </t>
  </si>
  <si>
    <t>casino|future|laser gun|moon|nightclub</t>
  </si>
  <si>
    <t>M. Emmet Walsh</t>
  </si>
  <si>
    <t>Raise the Titanic </t>
  </si>
  <si>
    <t>military|mineral|ocean|ship|titanic</t>
  </si>
  <si>
    <t>Aunjanue Ellis</t>
  </si>
  <si>
    <t>Lovely &amp; Amazing </t>
  </si>
  <si>
    <t>african american|dog|homecoming queen|insecurity|surgery</t>
  </si>
  <si>
    <t>TMNT </t>
  </si>
  <si>
    <t>martial arts master|monster|new york city|turtle|warrior</t>
  </si>
  <si>
    <t>Kill Bill: Vol. 1 </t>
  </si>
  <si>
    <t>bride|coma|japan|revenge|sword</t>
  </si>
  <si>
    <t>Victor Fleming</t>
  </si>
  <si>
    <t>Margaret Hamilton</t>
  </si>
  <si>
    <t>The Wizard of Oz </t>
  </si>
  <si>
    <t>evil witch|tornado|witch|wizard|wizard of oz</t>
  </si>
  <si>
    <t>Kief Davidson</t>
  </si>
  <si>
    <t>G.W. Krauss</t>
  </si>
  <si>
    <t>A Lego Brickumentary </t>
  </si>
  <si>
    <t>artist|denmark|lego|toy|toy company</t>
  </si>
  <si>
    <t>Alicia Goranson</t>
  </si>
  <si>
    <t>Boys Don't Cry </t>
  </si>
  <si>
    <t>drinking|female dressed as male|love|nebraska|transgender</t>
  </si>
  <si>
    <t>Piranha 3D </t>
  </si>
  <si>
    <t>bloody water|boat|party|piranha|spring break</t>
  </si>
  <si>
    <t>R. Balki</t>
  </si>
  <si>
    <t>Vidya Balan</t>
  </si>
  <si>
    <t>Paa </t>
  </si>
  <si>
    <t>adult actor playing minor|politician|progeria|reference to spiderman|school</t>
  </si>
  <si>
    <t>Ever After: A Cinderella Story </t>
  </si>
  <si>
    <t>based on fairy tale|bechdel test passed|cinderella|fairy tale|leonardo da vinci</t>
  </si>
  <si>
    <t>Cape Fear </t>
  </si>
  <si>
    <t>lawyer|neo noir|prison|rapist|southern gothic</t>
  </si>
  <si>
    <t>Bride Wars </t>
  </si>
  <si>
    <t>best friend|dyed hair|fake tan|rivalry|wedding</t>
  </si>
  <si>
    <t>Mike Flanagan</t>
  </si>
  <si>
    <t>James Lafferty</t>
  </si>
  <si>
    <t>Oculus </t>
  </si>
  <si>
    <t>home office|mirror|released from a mental hospital|trauma|video camera</t>
  </si>
  <si>
    <t>The Neon Demon </t>
  </si>
  <si>
    <t>beauty|cannibalism|fashion|lesbian|model</t>
  </si>
  <si>
    <t>My Own Private Idaho </t>
  </si>
  <si>
    <t>friend|hustler|italy|narcolepsy|traveling</t>
  </si>
  <si>
    <t>Vinessa Shaw</t>
  </si>
  <si>
    <t>Hocus Pocus </t>
  </si>
  <si>
    <t>candle|cat|halloween|spell|virgin</t>
  </si>
  <si>
    <t>Fred Willard</t>
  </si>
  <si>
    <t>Fifty Shades of Black </t>
  </si>
  <si>
    <t>color in title|parody|reference to cuba gooding jr|reference to netflix|written by star</t>
  </si>
  <si>
    <t>Adventure|Comedy|Crime|Drama</t>
  </si>
  <si>
    <t>The Grand Budapest Hotel </t>
  </si>
  <si>
    <t>first person narration|hotel|lobby boy|mentor protege relationship|painting</t>
  </si>
  <si>
    <t>Harry Potter and the Prisoner of Azkaban </t>
  </si>
  <si>
    <t>magic|muggle|serial killer|traitor|wizard</t>
  </si>
  <si>
    <t>Alister Grierson</t>
  </si>
  <si>
    <t>Sanctum </t>
  </si>
  <si>
    <t>cave|expedition|panic|rebreather|underwater</t>
  </si>
  <si>
    <t>Layer Cake </t>
  </si>
  <si>
    <t>cake|cocaine|drugs|pills|serbian</t>
  </si>
  <si>
    <t>Troy </t>
  </si>
  <si>
    <t>greek|mythology|prince|trojan|troy</t>
  </si>
  <si>
    <t>Max FÃ¤rberbÃ¶ck</t>
  </si>
  <si>
    <t>Heike Makatsch</t>
  </si>
  <si>
    <t>Aimee &amp; Jaguar </t>
  </si>
  <si>
    <t>lesbian mother|lesbian parent|lesbian relationship|lesbian romance|lesbianism</t>
  </si>
  <si>
    <t>Allen Hughes</t>
  </si>
  <si>
    <t>Alona Tal</t>
  </si>
  <si>
    <t>Broken City </t>
  </si>
  <si>
    <t>election|father son relationship|fellatio|gay slur|title spoken by character</t>
  </si>
  <si>
    <t>The Age of Innocence </t>
  </si>
  <si>
    <t>19th century|countess|lawyer|love|new york</t>
  </si>
  <si>
    <t>Paul Guilfoyle</t>
  </si>
  <si>
    <t>Session 9 </t>
  </si>
  <si>
    <t>abandoned asylum|abandoned hospital|asbestos|lobotomy|multiple personality</t>
  </si>
  <si>
    <t>Adventure|Comedy|Family|Fantasy|Music|Sci-Fi</t>
  </si>
  <si>
    <t>Muppets from Space </t>
  </si>
  <si>
    <t>alien|breakfast|escape|rat|ufo</t>
  </si>
  <si>
    <t>Deb Hagan</t>
  </si>
  <si>
    <t>College </t>
  </si>
  <si>
    <t>college|face slap|high school|loss of virginity|pierced nipple</t>
  </si>
  <si>
    <t>Valentine </t>
  </si>
  <si>
    <t>dance|nosebleed|revenge|valentine|valentine's day</t>
  </si>
  <si>
    <t>Blood Work </t>
  </si>
  <si>
    <t>boat|heart transplant|murder|serial killer|sister</t>
  </si>
  <si>
    <t>The Hurt Locker </t>
  </si>
  <si>
    <t>army|bomb|dangerous job|death|iraq</t>
  </si>
  <si>
    <t>The Net </t>
  </si>
  <si>
    <t>chat room|computer|computer hacker|identity|identity theft</t>
  </si>
  <si>
    <t>Mark Tonderai</t>
  </si>
  <si>
    <t>House at the End of the Street </t>
  </si>
  <si>
    <t>brother sister relationship|death of sister|female protagonist|mother daughter relationship|murder</t>
  </si>
  <si>
    <t>Edtv </t>
  </si>
  <si>
    <t>female removes her clothes|one word title|producer|television|video store</t>
  </si>
  <si>
    <t>Mr. Turner </t>
  </si>
  <si>
    <t>prism|rented room|scrofula|sketching|sunrise</t>
  </si>
  <si>
    <t>Made </t>
  </si>
  <si>
    <t>friendship|loudmouth|money laundering|new york city|stripper</t>
  </si>
  <si>
    <t>Monique Gabriela Curnen</t>
  </si>
  <si>
    <t>Finishing the Game: The Search for a New Bruce Lee </t>
  </si>
  <si>
    <t>bruce lee|jeet kune do|karate|satire|spoof</t>
  </si>
  <si>
    <t>Keisha Castle-Hughes</t>
  </si>
  <si>
    <t>Whale Rider </t>
  </si>
  <si>
    <t>girl|maori|new zealand|tradition|whale</t>
  </si>
  <si>
    <t>Ben Davies</t>
  </si>
  <si>
    <t>Courageous </t>
  </si>
  <si>
    <t>faith|fatherhood|integrity|police|responsibility</t>
  </si>
  <si>
    <t>The Odd Life of Timothy Green </t>
  </si>
  <si>
    <t>dodgeball|portrait|soccer|soccer game|young love</t>
  </si>
  <si>
    <t>Cameron Monaghan</t>
  </si>
  <si>
    <t>Prom </t>
  </si>
  <si>
    <t>decoration|father daughter relationship|high school|prom|teenager</t>
  </si>
  <si>
    <t>You've Got Mail </t>
  </si>
  <si>
    <t>bookstore|competing businesses|instant messaging|new york city|shop owner</t>
  </si>
  <si>
    <t>John Boorman</t>
  </si>
  <si>
    <t>The Tailor of Panama </t>
  </si>
  <si>
    <t>canal|panama|president|spy|tailor</t>
  </si>
  <si>
    <t>Robert Lee King</t>
  </si>
  <si>
    <t>Comedy|Horror|Mystery</t>
  </si>
  <si>
    <t>Lauren Ambrose</t>
  </si>
  <si>
    <t>Psycho Beach Party </t>
  </si>
  <si>
    <t>cliche|exchange student|slasher|spoof|surfing</t>
  </si>
  <si>
    <t>The Man in the Iron Mask </t>
  </si>
  <si>
    <t>france|musketeer|three musketeers|twin|twin brother</t>
  </si>
  <si>
    <t>Jelena Jovanova</t>
  </si>
  <si>
    <t>In the Land of Blood and Honey </t>
  </si>
  <si>
    <t>bosnian war|church|emaciation|soldier|violence</t>
  </si>
  <si>
    <t>Bosnian</t>
  </si>
  <si>
    <t>Dania Ramirez</t>
  </si>
  <si>
    <t>Fat Albert </t>
  </si>
  <si>
    <t>animated sequence|junkyard|love|party|television</t>
  </si>
  <si>
    <t>Brad Peyton</t>
  </si>
  <si>
    <t>San Andreas </t>
  </si>
  <si>
    <t>disaster movie|earthquake|journey|natural disaster|san andreas fault</t>
  </si>
  <si>
    <t>Action|Biography|Crime|Drama</t>
  </si>
  <si>
    <t>The Baader Meinhof Complex </t>
  </si>
  <si>
    <t>bonn germany|failed kidnapping|handcuffs|projectile|terrorist</t>
  </si>
  <si>
    <t>Action|Fantasy|Horror|Sci-Fi|Thriller</t>
  </si>
  <si>
    <t>Josh Wingate</t>
  </si>
  <si>
    <t>Priest </t>
  </si>
  <si>
    <t>church|priest|sheriff|vampire|warrior</t>
  </si>
  <si>
    <t>Rob Pritts</t>
  </si>
  <si>
    <t>Corky Romano </t>
  </si>
  <si>
    <t>fbi|mafia|mobster|undercover|veterinarian</t>
  </si>
  <si>
    <t>Geoff Murphy</t>
  </si>
  <si>
    <t>Under Siege 2: Dark Territory </t>
  </si>
  <si>
    <t>colorado|niece|satellite|terrorist|train</t>
  </si>
  <si>
    <t>Adventure|Animation|Family</t>
  </si>
  <si>
    <t>The Land Before Time </t>
  </si>
  <si>
    <t>brontosaurus|classical music|dinosaur|dinosaur feature|earthquake</t>
  </si>
  <si>
    <t>Brian Percival</t>
  </si>
  <si>
    <t>Emily Watson</t>
  </si>
  <si>
    <t>The Book Thief </t>
  </si>
  <si>
    <t>basement|book|girl|library|track</t>
  </si>
  <si>
    <t>Out of the Furnace </t>
  </si>
  <si>
    <t>ambiguous ending|brother brother relationship|drug dealer|fight club|revenge</t>
  </si>
  <si>
    <t>Rick Bieber</t>
  </si>
  <si>
    <t>Aidan Quinn</t>
  </si>
  <si>
    <t>The 5th Quarter </t>
  </si>
  <si>
    <t>athletic training|football practice|funeral|gymnasium|man crying</t>
  </si>
  <si>
    <t>LeVar Burton</t>
  </si>
  <si>
    <t>Star Trek: First Contact </t>
  </si>
  <si>
    <t>21st century|borg|borg sphere|captain|sphere</t>
  </si>
  <si>
    <t>Drew Powell</t>
  </si>
  <si>
    <t>1408 </t>
  </si>
  <si>
    <t>book|debunking|evil|hotel|paranormal phenomena</t>
  </si>
  <si>
    <t>Tim Story</t>
  </si>
  <si>
    <t>Bruce McGill</t>
  </si>
  <si>
    <t>Ride Along </t>
  </si>
  <si>
    <t>gunfight|outrunning explosion|police|security guard|street shootout</t>
  </si>
  <si>
    <t>Stephen J. Anderson</t>
  </si>
  <si>
    <t>Craig Ferguson</t>
  </si>
  <si>
    <t>Winnie the Pooh </t>
  </si>
  <si>
    <t>disney|owl|rabbit|sequel|tiger</t>
  </si>
  <si>
    <t>G.I. Jane </t>
  </si>
  <si>
    <t>feminism|hit in the crotch|kicked in the crotch|kicked in the testicles|navy</t>
  </si>
  <si>
    <t>George Sidney</t>
  </si>
  <si>
    <t>Biography|Comedy|Musical|Romance|Western</t>
  </si>
  <si>
    <t>Keenan Wynn</t>
  </si>
  <si>
    <t>Annie Get Your Gun </t>
  </si>
  <si>
    <t>girl|gun|love|sharpshooter|the end</t>
  </si>
  <si>
    <t>Seven Pounds </t>
  </si>
  <si>
    <t>boyfriend girlfriend relationship|heart|main character dies|organ donor|redemption</t>
  </si>
  <si>
    <t>J. Edgar </t>
  </si>
  <si>
    <t>agent|fbi|federal bureau of investigation|gay relationship|secret</t>
  </si>
  <si>
    <t>Marco Schnabel</t>
  </si>
  <si>
    <t>The Love Guru </t>
  </si>
  <si>
    <t>bloopers during credits|bucket of popcorn|chastity belt|guru|toronto maple leafs</t>
  </si>
  <si>
    <t>Pitof</t>
  </si>
  <si>
    <t>Action|Crime|Fantasy|Romance|Thriller</t>
  </si>
  <si>
    <t>Catwoman </t>
  </si>
  <si>
    <t>based on cult comic book|bechdel test passed|cat|detective|radical transformation</t>
  </si>
  <si>
    <t>Larry Miller</t>
  </si>
  <si>
    <t>Nutty Professor II: The Klumps </t>
  </si>
  <si>
    <t>alter ego|marriage|professor|scientist|serum</t>
  </si>
  <si>
    <t>Michael Gornick</t>
  </si>
  <si>
    <t>Creepshow 2 </t>
  </si>
  <si>
    <t>anthology|hit and run|hit by a car|living statue|melting woman</t>
  </si>
  <si>
    <t>Adventure|Animation|Fantasy</t>
  </si>
  <si>
    <t>Princess Mononoke </t>
  </si>
  <si>
    <t>anime|cult film|forest|princess|studio ghibli</t>
  </si>
  <si>
    <t>Toby Jones</t>
  </si>
  <si>
    <t>Frost/Nixon </t>
  </si>
  <si>
    <t>american president|political drama|scandal|u.s. president|washington post the newspaper</t>
  </si>
  <si>
    <t>Hereafter </t>
  </si>
  <si>
    <t>death|france|near death experience|tsunami|twin brother</t>
  </si>
  <si>
    <t>Chicken Little </t>
  </si>
  <si>
    <t>alien invasion|chicken|fish|friend|panic</t>
  </si>
  <si>
    <t>Biography|Drama|War</t>
  </si>
  <si>
    <t>Jordi MollÃ </t>
  </si>
  <si>
    <t>There Be Dragons </t>
  </si>
  <si>
    <t>dying|forgiveness|saint|spanish civil war|starts with narration</t>
  </si>
  <si>
    <t>Robin Hood: Prince of Thieves </t>
  </si>
  <si>
    <t>balladeer|crusades|england|king|modern minstrel</t>
  </si>
  <si>
    <t>Mad Max: Fury Road </t>
  </si>
  <si>
    <t>australia|desert|escape|on the run|post apocalypse</t>
  </si>
  <si>
    <t>Maggie Greenwald</t>
  </si>
  <si>
    <t>Songcatcher </t>
  </si>
  <si>
    <t>doctor|mountain|musician|song|university</t>
  </si>
  <si>
    <t>Andrew Stanton</t>
  </si>
  <si>
    <t>Daryl Sabara</t>
  </si>
  <si>
    <t>John Carter </t>
  </si>
  <si>
    <t>alien|american civil war|male nipple|mars|princess</t>
  </si>
  <si>
    <t>Callie Khouri</t>
  </si>
  <si>
    <t>Mad Money </t>
  </si>
  <si>
    <t>bank|federal reserve bank|money|security guard|shredder</t>
  </si>
  <si>
    <t>Sam Fell</t>
  </si>
  <si>
    <t>Emma Watson</t>
  </si>
  <si>
    <t>The Tale of Despereaux </t>
  </si>
  <si>
    <t>book|darkness|dungeon|princess|rat</t>
  </si>
  <si>
    <t>Sterling Jerins</t>
  </si>
  <si>
    <t>No Escape </t>
  </si>
  <si>
    <t>asia|fictional country|hotel|rebellion|revolution</t>
  </si>
  <si>
    <t>Crime|Horror|Music|Thriller</t>
  </si>
  <si>
    <t>Alia Shawkat</t>
  </si>
  <si>
    <t>Green Room </t>
  </si>
  <si>
    <t>murder|neo nazi|punk band|skinhead|suspense</t>
  </si>
  <si>
    <t>Thaddeus O'Sullivan</t>
  </si>
  <si>
    <t>Olivia Williams</t>
  </si>
  <si>
    <t>The Heart of Me </t>
  </si>
  <si>
    <t>1930s|car accident|hospital|marital rape|painter</t>
  </si>
  <si>
    <t>Red Cliff </t>
  </si>
  <si>
    <t>alliance|battle|china|chinese|strategy</t>
  </si>
  <si>
    <t>Robby Henson</t>
  </si>
  <si>
    <t>Marc Blucas</t>
  </si>
  <si>
    <t>Thr3e </t>
  </si>
  <si>
    <t>bound with duct tape|flash forward|number|riddle|stalking</t>
  </si>
  <si>
    <t>Poland</t>
  </si>
  <si>
    <t>The Damned United </t>
  </si>
  <si>
    <t>cup|derby county|flashback|football|leeds united</t>
  </si>
  <si>
    <t>Unleashed </t>
  </si>
  <si>
    <t>collar|dog|fight|fighting|piano</t>
  </si>
  <si>
    <t>The Hobbit: The Desolation of Smaug </t>
  </si>
  <si>
    <t>dwarf|elf|lake town|mountain|sword and sorcery</t>
  </si>
  <si>
    <t>Mallrats </t>
  </si>
  <si>
    <t>comic|ex girlfriend|jay and silent bob|mall|teenager</t>
  </si>
  <si>
    <t>Barry Skolnick</t>
  </si>
  <si>
    <t>Comedy|Drama|Sport</t>
  </si>
  <si>
    <t>Mean Machine </t>
  </si>
  <si>
    <t>inmate|prison|prison guard|soccer|soccer star</t>
  </si>
  <si>
    <t>Anika Noni Rose</t>
  </si>
  <si>
    <t>From Justin to Kelly </t>
  </si>
  <si>
    <t>bar|florida|love|spring break|waitress</t>
  </si>
  <si>
    <t>James Toback</t>
  </si>
  <si>
    <t>Two Girls and a Guy </t>
  </si>
  <si>
    <t>actor|anilingus|double cross|funeral home|two timing</t>
  </si>
  <si>
    <t>Ayelet Zurer</t>
  </si>
  <si>
    <t>Munich </t>
  </si>
  <si>
    <t>arab|black september|israel|jew|munich olympics</t>
  </si>
  <si>
    <t>Udayan Prasad</t>
  </si>
  <si>
    <t>The Yellow Handkerchief </t>
  </si>
  <si>
    <t>louisiana|overalls|road trip|southern u.s.|teenage boy</t>
  </si>
  <si>
    <t>Green Lantern </t>
  </si>
  <si>
    <t>autopsy|lantern|planet|ring|test pilot</t>
  </si>
  <si>
    <t>Rounders </t>
  </si>
  <si>
    <t>breasts|cult film|loan shark|poker|reference to christy turlington</t>
  </si>
  <si>
    <t>Crime|Drama|History|Mystery|Thriller</t>
  </si>
  <si>
    <t>Zodiac </t>
  </si>
  <si>
    <t>cartoonist|reporter|serial killer|zodiac|zodiac killer</t>
  </si>
  <si>
    <t>The Perez Family </t>
  </si>
  <si>
    <t>immigration|love|political prisoner|reference to john wayne|title directed by female</t>
  </si>
  <si>
    <t>Fury </t>
  </si>
  <si>
    <t>battle|battlefield|brutality|combat|tank</t>
  </si>
  <si>
    <t>Chris Roberts</t>
  </si>
  <si>
    <t>Saffron Burrows</t>
  </si>
  <si>
    <t>Wing Commander </t>
  </si>
  <si>
    <t>27th century|fighter pilot|orchestral music score|outer space|space opera</t>
  </si>
  <si>
    <t>Mirrors </t>
  </si>
  <si>
    <t>estranged wife|evil|fire|medication|mirror</t>
  </si>
  <si>
    <t>Femme Fatale </t>
  </si>
  <si>
    <t>ambassador|cannes|identity|suicide|thief</t>
  </si>
  <si>
    <t>L.A. Confidential </t>
  </si>
  <si>
    <t>1950s|call girl|corruption|murder|police detective</t>
  </si>
  <si>
    <t>Gulliver's Travels </t>
  </si>
  <si>
    <t>bermuda triangle|box office hit|shipwrecked|travel|travel writer</t>
  </si>
  <si>
    <t>Nima Nourizadeh</t>
  </si>
  <si>
    <t>Dax Flame</t>
  </si>
  <si>
    <t>Project X </t>
  </si>
  <si>
    <t>birthday party|high school|high school senior|millennial generation|party</t>
  </si>
  <si>
    <t>The Borrowers </t>
  </si>
  <si>
    <t>child's point of view|house|lawyer|real estate|washing machine</t>
  </si>
  <si>
    <t>Die Hard with a Vengeance </t>
  </si>
  <si>
    <t>bomb|detective|new york city|police|terrorist</t>
  </si>
  <si>
    <t>William A. Graham</t>
  </si>
  <si>
    <t>Return to the Blue Lagoon </t>
  </si>
  <si>
    <t>baby|desert island|island|sequel|teenage girl</t>
  </si>
  <si>
    <t>FranÃ§ois Cluzet</t>
  </si>
  <si>
    <t>Little White Lies </t>
  </si>
  <si>
    <t>friend|restaurant|secret|unrequited love|vacation</t>
  </si>
  <si>
    <t>Death at a Funeral </t>
  </si>
  <si>
    <t>end credits roll call|four word title|funeral|secret|uncle</t>
  </si>
  <si>
    <t>eXistenZ </t>
  </si>
  <si>
    <t>assassin|game|game designer|pod|virtual reality</t>
  </si>
  <si>
    <t>The Incredible Hulk </t>
  </si>
  <si>
    <t>antidote|cure|hulk|marvel cinematic universe|opening action scene</t>
  </si>
  <si>
    <t>Furious 7 </t>
  </si>
  <si>
    <t>car falling off a cliff|hospital|revenge|star died before release|terrorist</t>
  </si>
  <si>
    <t>Rupert Sanders</t>
  </si>
  <si>
    <t>Snow White and the Huntsman </t>
  </si>
  <si>
    <t>evil queen|fairy tale|magic|queen|snow white</t>
  </si>
  <si>
    <t>The Matrix </t>
  </si>
  <si>
    <t>artificial reality|computer|matrix|questioning reality|simulated reality</t>
  </si>
  <si>
    <t>Ruairi Robinson</t>
  </si>
  <si>
    <t>The Last Days on Mars </t>
  </si>
  <si>
    <t>alien infection|astronaut|mars|mission|zombie</t>
  </si>
  <si>
    <t>Resurrecting the Champ </t>
  </si>
  <si>
    <t>boxing|colosseum|homeless man|reporter|writer</t>
  </si>
  <si>
    <t>Insidious </t>
  </si>
  <si>
    <t>baby|boy|coma|demon|house</t>
  </si>
  <si>
    <t>Stuart Gordon</t>
  </si>
  <si>
    <t>Fortress </t>
  </si>
  <si>
    <t>escape|future|population control|prison|prisoner</t>
  </si>
  <si>
    <t>Beverly D'Angelo</t>
  </si>
  <si>
    <t>National Lampoon's Vacation </t>
  </si>
  <si>
    <t>amusement park|dog|family vacation|national lampoon series|vacation</t>
  </si>
  <si>
    <t>Alex &amp; Emma </t>
  </si>
  <si>
    <t>gambling|novel|stenographer|writer|writer's block</t>
  </si>
  <si>
    <t>Action|Adventure|Family|Fantasy|Sci-Fi</t>
  </si>
  <si>
    <t>Journey to the Center of the Earth </t>
  </si>
  <si>
    <t>cave|lost world|missing brother|mountain|venus flytrap</t>
  </si>
  <si>
    <t>J.S. Cardone</t>
  </si>
  <si>
    <t>Brendan Fehr</t>
  </si>
  <si>
    <t>The Forsaken </t>
  </si>
  <si>
    <t>flashing breasts|hitchhiker|vampire|vampire hunter|virus</t>
  </si>
  <si>
    <t>The Legend of Tarzan </t>
  </si>
  <si>
    <t>africa|capture|jungle|male objectification|tarzan</t>
  </si>
  <si>
    <t>Clare Kilner</t>
  </si>
  <si>
    <t>Jack Davenport</t>
  </si>
  <si>
    <t>The Wedding Date </t>
  </si>
  <si>
    <t>chick flick|escort|male escort|wedding|wedding date</t>
  </si>
  <si>
    <t>Scott Waugh</t>
  </si>
  <si>
    <t>Rami Malek</t>
  </si>
  <si>
    <t>Need for Speed </t>
  </si>
  <si>
    <t>cross country|custom car|illegal street racing|police officer crushed|street racing</t>
  </si>
  <si>
    <t>Sideways </t>
  </si>
  <si>
    <t>actor|california|teacher|wine|writer</t>
  </si>
  <si>
    <t>Adventure|Biography|Drama|History|Sport|Thriller</t>
  </si>
  <si>
    <t>Everest </t>
  </si>
  <si>
    <t>blizzard|mount everest|mountain|mountain climbing|snow</t>
  </si>
  <si>
    <t>Manish Dayal</t>
  </si>
  <si>
    <t>The Hundred-Foot Journey </t>
  </si>
  <si>
    <t>chef|haute cuisine|indian cuisine|michelin guide|restaurant</t>
  </si>
  <si>
    <t>Glen Morgan</t>
  </si>
  <si>
    <t>Willard </t>
  </si>
  <si>
    <t>at work|rat|revenge|vermin|work</t>
  </si>
  <si>
    <t>Carter Smith</t>
  </si>
  <si>
    <t>The Ruins </t>
  </si>
  <si>
    <t>bow and arrow|group of friends|horse|rifle|ruins</t>
  </si>
  <si>
    <t>Steven Zaillian</t>
  </si>
  <si>
    <t>A Civil Action </t>
  </si>
  <si>
    <t>1980s|law firm|lawsuit|lawyer|toxic waste</t>
  </si>
  <si>
    <t>Collateral </t>
  </si>
  <si>
    <t>city by night|contract killer|driving at night|los angeles california|taxi</t>
  </si>
  <si>
    <t>American Wedding </t>
  </si>
  <si>
    <t>bachelor party|blow job|breasts|friend|wedding</t>
  </si>
  <si>
    <t>Action|Drama|Music|Romance</t>
  </si>
  <si>
    <t>The Bodyguard </t>
  </si>
  <si>
    <t>bodyguard|manager|pop singer|secret service agent|singer</t>
  </si>
  <si>
    <t>Superman III </t>
  </si>
  <si>
    <t>computer|high school|kryptonite|smallville|villain</t>
  </si>
  <si>
    <t>Adventure|Family|Fantasy|Sci-Fi</t>
  </si>
  <si>
    <t>City of Ember </t>
  </si>
  <si>
    <t>box|food|mayor|pipeworks|scientist</t>
  </si>
  <si>
    <t>Aisha Tyler</t>
  </si>
  <si>
    <t>Death Sentence </t>
  </si>
  <si>
    <t>blood|death|gang|murder|revenge</t>
  </si>
  <si>
    <t>The Lone Ranger </t>
  </si>
  <si>
    <t>horse|outlaw|texas|texas ranger|train</t>
  </si>
  <si>
    <t>Michael Anderson</t>
  </si>
  <si>
    <t>Farrah Fawcett</t>
  </si>
  <si>
    <t>Logan's Run </t>
  </si>
  <si>
    <t>cat|computer|cult film|runner|sanctuary</t>
  </si>
  <si>
    <t>Bob Rafelson</t>
  </si>
  <si>
    <t>Blood and Wine </t>
  </si>
  <si>
    <t>diamond|necklace|safecracker|wine|wine dealer</t>
  </si>
  <si>
    <t>Myles Berkowitz</t>
  </si>
  <si>
    <t>Biography|Comedy|Romance</t>
  </si>
  <si>
    <t>20 Dates </t>
  </si>
  <si>
    <t>fake documentary|hidden camera|mockumentary|narrative|reality show</t>
  </si>
  <si>
    <t>Pineapple Express </t>
  </si>
  <si>
    <t>murder|paranoia|process server|roach|stoner</t>
  </si>
  <si>
    <t>Claudia Sainte-Luce</t>
  </si>
  <si>
    <t>Ximena Ayala</t>
  </si>
  <si>
    <t>The Amazing Catfish </t>
  </si>
  <si>
    <t>actress shares first name with character|appendicitis|hospital|loss of mother|supermarket</t>
  </si>
  <si>
    <t>Riddick </t>
  </si>
  <si>
    <t>alien|left for dead|mercenary|survival|vomiting</t>
  </si>
  <si>
    <t>You Don't Mess with the Zohan </t>
  </si>
  <si>
    <t>hair stylist|jew|landlord|muslim|palestinian</t>
  </si>
  <si>
    <t>Ron Shelton</t>
  </si>
  <si>
    <t>Khandi Alexander</t>
  </si>
  <si>
    <t>Dark Blue </t>
  </si>
  <si>
    <t>corrupt|criminal|investigation|lapd|police</t>
  </si>
  <si>
    <t>Jay Chandrasekhar</t>
  </si>
  <si>
    <t>Club Dread </t>
  </si>
  <si>
    <t>beach|island|party|resort|serial killer</t>
  </si>
  <si>
    <t>Gordon Chan</t>
  </si>
  <si>
    <t>The Medallion </t>
  </si>
  <si>
    <t>hong kong|interpol|medallion|ship|tough cop</t>
  </si>
  <si>
    <t>Find Me Guilty </t>
  </si>
  <si>
    <t>court|drugs|judge|mafia|mobster</t>
  </si>
  <si>
    <t>What to Expect When You're Expecting </t>
  </si>
  <si>
    <t>baby|expecting twins|hawaiian shirt|photographer|pregnancy</t>
  </si>
  <si>
    <t>Tarsem Singh</t>
  </si>
  <si>
    <t>Adventure|Comedy|Drama|Family|Fantasy</t>
  </si>
  <si>
    <t>Mirror Mirror </t>
  </si>
  <si>
    <t>kingdom|prince|princess|queen|snow</t>
  </si>
  <si>
    <t>Paul McGuigan</t>
  </si>
  <si>
    <t>Lucky Number Slevin </t>
  </si>
  <si>
    <t>coroner|death|gay son|love|mistaken identity</t>
  </si>
  <si>
    <t>Night at the Museum: Secret of the Tomb </t>
  </si>
  <si>
    <t>museum|museum of natural history manhattan new york city|night watchman|star died before release|tablet</t>
  </si>
  <si>
    <t>James Manera</t>
  </si>
  <si>
    <t>Atlas Shrugged: Who Is John Galt? </t>
  </si>
  <si>
    <t>box office flop|critically bashed|economy|individual versus society|rescue</t>
  </si>
  <si>
    <t>Action|Drama|Fantasy</t>
  </si>
  <si>
    <t>The Crow </t>
  </si>
  <si>
    <t>back from the dead|crime boss|crow|gothic|vigilante</t>
  </si>
  <si>
    <t>Kurt Hale</t>
  </si>
  <si>
    <t>Kirby Heyborne</t>
  </si>
  <si>
    <t>The Singles Ward </t>
  </si>
  <si>
    <t>church|love|marriage|mormon|single</t>
  </si>
  <si>
    <t>Biography|Comedy|Drama|War</t>
  </si>
  <si>
    <t>Good Morning, Vietnam </t>
  </si>
  <si>
    <t>disc jockey|friendship|radio|vietnam|vietnamese</t>
  </si>
  <si>
    <t>Kiss Kiss Bang Bang </t>
  </si>
  <si>
    <t>actor|detective sergeant|hotel|nightclub|thief</t>
  </si>
  <si>
    <t>Jeff Garlin</t>
  </si>
  <si>
    <t>Jessy Schram</t>
  </si>
  <si>
    <t>I Want Someone to Eat Cheese With </t>
  </si>
  <si>
    <t>cheese|city|ice cream|school|second city</t>
  </si>
  <si>
    <t>Hal Holbrook</t>
  </si>
  <si>
    <t>Wall Street </t>
  </si>
  <si>
    <t>1980s|argument|critique of capitalism|f word|fired from the job</t>
  </si>
  <si>
    <t>Robert Townsend</t>
  </si>
  <si>
    <t>Hollywood Shuffle </t>
  </si>
  <si>
    <t>actor|african american|dream|two word title|written and directed by cast member</t>
  </si>
  <si>
    <t>Bam Margera</t>
  </si>
  <si>
    <t>Jackass: The Movie </t>
  </si>
  <si>
    <t>alligator|golf|japan|panda|stunt</t>
  </si>
  <si>
    <t>Radio Days </t>
  </si>
  <si>
    <t>beach|cigarette girl|radio|woman holding a baby|working class</t>
  </si>
  <si>
    <t>Dan Fogelman</t>
  </si>
  <si>
    <t>Danny Collins </t>
  </si>
  <si>
    <t>entertainer|inspiration|lost opportunity|pregnant mother|rock star</t>
  </si>
  <si>
    <t>Michael Lembeck</t>
  </si>
  <si>
    <t>The Santa Clause 2 </t>
  </si>
  <si>
    <t>christmas|magic|santa claus|son|toy</t>
  </si>
  <si>
    <t>Antonia Bird</t>
  </si>
  <si>
    <t>Jeremy Davies</t>
  </si>
  <si>
    <t>Ravenous </t>
  </si>
  <si>
    <t>based on true story|cannibalism|captain|mexican american war|u.s. frontier</t>
  </si>
  <si>
    <t>Czech Republic</t>
  </si>
  <si>
    <t>Drama|Fantasy|Romance|Thriller</t>
  </si>
  <si>
    <t>Ghost </t>
  </si>
  <si>
    <t>death|film blanc|invisibility|love|unrequited love</t>
  </si>
  <si>
    <t>Pam Ferris</t>
  </si>
  <si>
    <t>The Raven </t>
  </si>
  <si>
    <t>mask|murder|newspaper|poem|serial killer</t>
  </si>
  <si>
    <t>The Life Aquatic with Steve Zissou </t>
  </si>
  <si>
    <t>expedition|oceanographer|sea|shark|team</t>
  </si>
  <si>
    <t>Tatsuo Matsumura</t>
  </si>
  <si>
    <t>Madadayo </t>
  </si>
  <si>
    <t>air raid|beer|birthday|japan|professor</t>
  </si>
  <si>
    <t>Cinderella </t>
  </si>
  <si>
    <t>dress|duke|fairy godmother|fairy tale|pumpkin</t>
  </si>
  <si>
    <t>Resident Evil: Extinction </t>
  </si>
  <si>
    <t>clone|convoy|crow|desert|satellite</t>
  </si>
  <si>
    <t>Phil Traill</t>
  </si>
  <si>
    <t>All About Steve </t>
  </si>
  <si>
    <t>blind date|crossword puzzle|eccentric|fall|mine shaft</t>
  </si>
  <si>
    <t>Radio Flyer </t>
  </si>
  <si>
    <t>father son relationship|physical abuse|radio flyer|stepfather|stepfather stepson relationship</t>
  </si>
  <si>
    <t>Zoolander </t>
  </si>
  <si>
    <t>fashion|malaysia|male model|reporter|rival</t>
  </si>
  <si>
    <t>Biography|Drama|History|Thriller|War</t>
  </si>
  <si>
    <t>A Mighty Heart </t>
  </si>
  <si>
    <t>fbi|journalist|missing|pakistan|reporter</t>
  </si>
  <si>
    <t>Frank Miller</t>
  </si>
  <si>
    <t>Sin City </t>
  </si>
  <si>
    <t>anthology|corruption|hearing characters thoughts|neo noir|night</t>
  </si>
  <si>
    <t>A Simple Plan </t>
  </si>
  <si>
    <t>bag of money|found money|minnesota|screenplay adapted by author|snow</t>
  </si>
  <si>
    <t>Get Shorty </t>
  </si>
  <si>
    <t>debt|loan shark|mobster|movie business|producer</t>
  </si>
  <si>
    <t>Beverly Hills Cop </t>
  </si>
  <si>
    <t>drug dealer|drugs|murder|police brutality|police shootout</t>
  </si>
  <si>
    <t>The Royal Tenenbaums </t>
  </si>
  <si>
    <t>brother brother relationship|family relationships|father daughter relationship|genius|thrown through a window</t>
  </si>
  <si>
    <t>Documentary|Drama|Sport</t>
  </si>
  <si>
    <t>William Gates</t>
  </si>
  <si>
    <t>Hoop Dreams </t>
  </si>
  <si>
    <t>athlete|basketball|high school|high school student|school</t>
  </si>
  <si>
    <t>Beetlejuice </t>
  </si>
  <si>
    <t>attic|ghost|surrealism|teenage girl|yuppie</t>
  </si>
  <si>
    <t>Tommy Pallotta</t>
  </si>
  <si>
    <t>Slacker </t>
  </si>
  <si>
    <t>austin texas|moon|pap smear|texas|twenty something</t>
  </si>
  <si>
    <t>You Can Count on Me </t>
  </si>
  <si>
    <t>bank|car accident|cheating husband|new york|single mother</t>
  </si>
  <si>
    <t>Melanie Griffith</t>
  </si>
  <si>
    <t>Celebrity </t>
  </si>
  <si>
    <t>celebrity|journalist|lesbian kiss|strong female character|tv producer</t>
  </si>
  <si>
    <t>My Week with Marilyn </t>
  </si>
  <si>
    <t>actress|assistant director|blonde bombshell|movie star|wardrobe</t>
  </si>
  <si>
    <t>Michael Emerson</t>
  </si>
  <si>
    <t>Saw </t>
  </si>
  <si>
    <t>chained|flashback|killer|serial killer|surprise ending</t>
  </si>
  <si>
    <t>Up Close &amp; Personal </t>
  </si>
  <si>
    <t>journalism|news anchor|newscast|newscaster|tv journalism</t>
  </si>
  <si>
    <t>Jamal Hill</t>
  </si>
  <si>
    <t>Logan Browning</t>
  </si>
  <si>
    <t>Brotherly Love </t>
  </si>
  <si>
    <t>basketball|burglary|police|robbery|teenage girl</t>
  </si>
  <si>
    <t>Star Wars: Episode II - Attack of the Clones </t>
  </si>
  <si>
    <t>martial arts|murdered before giving protagonist information|part computer animation|prequel|prequel to cult film</t>
  </si>
  <si>
    <t>Forrest Gump </t>
  </si>
  <si>
    <t>amputee|love|vietnam|vietnam war|war hero</t>
  </si>
  <si>
    <t>Thank You for Smoking </t>
  </si>
  <si>
    <t>cigarette smoking|lobbyist|political satire|reporter|tobacco industry</t>
  </si>
  <si>
    <t>Leon Ichaso</t>
  </si>
  <si>
    <t>Sugar Hill </t>
  </si>
  <si>
    <t>african american|harlem manhattan new york city|manhattan new york city|new york city|urination</t>
  </si>
  <si>
    <t>Star Wars: Episode I - The Phantom Menace </t>
  </si>
  <si>
    <t>alien|character says i have a bad feeling about this|hand to hand combat|seven word title|wilhelm scream</t>
  </si>
  <si>
    <t>Dominique Othenin-Girard</t>
  </si>
  <si>
    <t>Halloween 5 </t>
  </si>
  <si>
    <t>cat|halloween|kitten|michael myers|psychotronic</t>
  </si>
  <si>
    <t>Inkheart </t>
  </si>
  <si>
    <t>book|escape|girl|overalls|villain</t>
  </si>
  <si>
    <t>Four Christmases </t>
  </si>
  <si>
    <t>airport|christmas|news broadcast|tv broadcast|tv news</t>
  </si>
  <si>
    <t>The Aviator </t>
  </si>
  <si>
    <t>1920s|aviation|fight|spruce goose|test flight</t>
  </si>
  <si>
    <t>The Boss </t>
  </si>
  <si>
    <t>business|girl scouts|orphanage|overweight woman|quitting a job</t>
  </si>
  <si>
    <t>Cedric Nicolas-Troyan</t>
  </si>
  <si>
    <t>The Huntsman: Winter's War </t>
  </si>
  <si>
    <t>based on fairy tale|dark fantasy|fairy tale|second part|sequel</t>
  </si>
  <si>
    <t>Bridge of Spies </t>
  </si>
  <si>
    <t>cia|cold war|lawyer|negotiation|spy</t>
  </si>
  <si>
    <t>Ed Gass-Donnelly</t>
  </si>
  <si>
    <t>The Last Exorcism Part II </t>
  </si>
  <si>
    <t>car fire|evil|hospital|hotel|prophecy</t>
  </si>
  <si>
    <t>Steven Anthony Lawrence</t>
  </si>
  <si>
    <t>My Favorite Martian </t>
  </si>
  <si>
    <t>alien|hidden camera|martian|reporter|spaceship</t>
  </si>
  <si>
    <t>Road to Perdition </t>
  </si>
  <si>
    <t>1930s|blood|gun|on the run|revenge</t>
  </si>
  <si>
    <t>Bryan Barber</t>
  </si>
  <si>
    <t>Crime|Drama|Musical|Romance</t>
  </si>
  <si>
    <t>Idlewild </t>
  </si>
  <si>
    <t>gangster|playing piano|song and dance|speakeasy|written and directed by cast member</t>
  </si>
  <si>
    <t>Action|Adventure|Animation|Comedy|Drama|Family|Sci-Fi</t>
  </si>
  <si>
    <t>The Iron Giant </t>
  </si>
  <si>
    <t>boy|friend|government agent|maine|robot</t>
  </si>
  <si>
    <t>Crime|Thriller|War</t>
  </si>
  <si>
    <t>Mike Figueroa</t>
  </si>
  <si>
    <t>Redacted </t>
  </si>
  <si>
    <t>blood splatter|iraq|murder|rape|soldier</t>
  </si>
  <si>
    <t>The Town </t>
  </si>
  <si>
    <t>bank manager|bank robbery|criminal gang|heist|prison</t>
  </si>
  <si>
    <t>Glengarry Glen Ross </t>
  </si>
  <si>
    <t>office|pressure|real estate|robbery|sales</t>
  </si>
  <si>
    <t>Miranda Cosgrove</t>
  </si>
  <si>
    <t>School of Rock </t>
  </si>
  <si>
    <t>battle of the bands|rock band|school teacher|substitute teacher|teacher</t>
  </si>
  <si>
    <t>Easy A </t>
  </si>
  <si>
    <t>gay|gay interest|high school|school|student</t>
  </si>
  <si>
    <t>Gothika </t>
  </si>
  <si>
    <t>memory|murder|patient|psychiatrist|the devil</t>
  </si>
  <si>
    <t>Cedric the Entertainer</t>
  </si>
  <si>
    <t>Intolerable Cruelty </t>
  </si>
  <si>
    <t>attorney|divorce|marriage|real estate|screwball comedy</t>
  </si>
  <si>
    <t>Littleman </t>
  </si>
  <si>
    <t>diamond|infant|parody|spoof|sports violence</t>
  </si>
  <si>
    <t>James Ponsoldt</t>
  </si>
  <si>
    <t>Shailene Woodley</t>
  </si>
  <si>
    <t>The Spectacular Now </t>
  </si>
  <si>
    <t>crying man|high school|high school senior|men's clothing store|party</t>
  </si>
  <si>
    <t>Julio DePietro</t>
  </si>
  <si>
    <t>Adrian Martinez</t>
  </si>
  <si>
    <t>The Good Guy </t>
  </si>
  <si>
    <t>book club|cheating boyfriend|job promotion|manhattan new york city|new york city</t>
  </si>
  <si>
    <t>Hancock </t>
  </si>
  <si>
    <t>bully comeuppance|destruction|prison|superhero|tough girl</t>
  </si>
  <si>
    <t>Joe Charbanic</t>
  </si>
  <si>
    <t>The Watcher </t>
  </si>
  <si>
    <t>fbi|murder|scene of the crime|serial killer|therapy</t>
  </si>
  <si>
    <t>Orgazmo </t>
  </si>
  <si>
    <t>book of mormon|fight|mormon|ray gun|sidekick</t>
  </si>
  <si>
    <t>Adventure|Comedy|Family|Fantasy|Romance|Sport</t>
  </si>
  <si>
    <t>Herbie Fully Loaded </t>
  </si>
  <si>
    <t>automobile racing|car|mechanic|nascar|street racing</t>
  </si>
  <si>
    <t>Blake Edwards</t>
  </si>
  <si>
    <t>Comedy|Drama|Musical|Romance|War</t>
  </si>
  <si>
    <t>Rock Hudson</t>
  </si>
  <si>
    <t>Darling Lili </t>
  </si>
  <si>
    <t>crepe suzette|french|mata hari spoof|song|spy</t>
  </si>
  <si>
    <t>Out of Time </t>
  </si>
  <si>
    <t>cancer|florida|insurance|life insurance policy|small town</t>
  </si>
  <si>
    <t>Craig Bolotin</t>
  </si>
  <si>
    <t>Light It Up </t>
  </si>
  <si>
    <t>black cop|die hard scenario|hostage negotiator|police|police brutality</t>
  </si>
  <si>
    <t>Non-Stop </t>
  </si>
  <si>
    <t>air marshal|death|passenger|terrorist|transatlantic flight</t>
  </si>
  <si>
    <t>William Cottrell</t>
  </si>
  <si>
    <t>Adriana Caselotti</t>
  </si>
  <si>
    <t>Snow White and the Seven Dwarfs </t>
  </si>
  <si>
    <t>dwarf|love|princess|queen|snow white</t>
  </si>
  <si>
    <t>Ronny Cox</t>
  </si>
  <si>
    <t>Total Recall </t>
  </si>
  <si>
    <t>ambiguous ending|false memory|implanted memory|memory|space colony</t>
  </si>
  <si>
    <t>Stolen </t>
  </si>
  <si>
    <t>bank|money|presumed dead|rescue|thief</t>
  </si>
  <si>
    <t>Joshua Marston</t>
  </si>
  <si>
    <t>Catalina Sandino Moreno</t>
  </si>
  <si>
    <t>Maria Full of Grace </t>
  </si>
  <si>
    <t>colombia|colombian|drug mule|money|stomach</t>
  </si>
  <si>
    <t>Colombia</t>
  </si>
  <si>
    <t>Julie Walters</t>
  </si>
  <si>
    <t>Billy Elliot </t>
  </si>
  <si>
    <t>audition|ballet|boxing|miner|miners strike</t>
  </si>
  <si>
    <t>Cirque du Freak: The Vampire's Assistant </t>
  </si>
  <si>
    <t>antidote|based on young adult novel|flyer|spider|vampire</t>
  </si>
  <si>
    <t>Ladder 49 </t>
  </si>
  <si>
    <t>death of husband|fire|firefighter|funeral|main character dies</t>
  </si>
  <si>
    <t>Drama|Family|Fantasy</t>
  </si>
  <si>
    <t>The Nativity Story </t>
  </si>
  <si>
    <t>angel|bethlehem|journey|nazareth|virgin</t>
  </si>
  <si>
    <t>Wil Shriner</t>
  </si>
  <si>
    <t>Hoot </t>
  </si>
  <si>
    <t>fight|florida|montana|owl|school</t>
  </si>
  <si>
    <t>Ri¢hie Ri¢h </t>
  </si>
  <si>
    <t>attempted murder|based on comic book|escape from prison|lost at sea|wealth</t>
  </si>
  <si>
    <t>The Heat </t>
  </si>
  <si>
    <t>drug lord|fbi|fbi agent|hospital|shot in the crotch</t>
  </si>
  <si>
    <t>Trust the Man </t>
  </si>
  <si>
    <t>actress|lesbianism|manhattan new york city|urination|watching pornography</t>
  </si>
  <si>
    <t>Lone Scherfig</t>
  </si>
  <si>
    <t>One Day </t>
  </si>
  <si>
    <t>23 year time span|accidental death|best friend|loss of loved one|male female friendship</t>
  </si>
  <si>
    <t>Crime|Fantasy|Horror</t>
  </si>
  <si>
    <t>From Dusk Till Dawn </t>
  </si>
  <si>
    <t>brother|human versus vampire|rapist|stripper|vampire</t>
  </si>
  <si>
    <t>Marc Levin</t>
  </si>
  <si>
    <t>Sonja Sohn</t>
  </si>
  <si>
    <t>Slam </t>
  </si>
  <si>
    <t>gang|independent film|prison|racial slur|urban setting</t>
  </si>
  <si>
    <t>David Carson</t>
  </si>
  <si>
    <t>Star Trek: Generations </t>
  </si>
  <si>
    <t>23rd century|bare chested male bondage|enterprise the starship|rescue|sacrifice</t>
  </si>
  <si>
    <t>Tina Desai</t>
  </si>
  <si>
    <t>The Second Best Exotic Marigold Hotel </t>
  </si>
  <si>
    <t>sequel</t>
  </si>
  <si>
    <t>The Bourne Ultimatum </t>
  </si>
  <si>
    <t>action hero|cia|dark past|flashback|memory</t>
  </si>
  <si>
    <t>William McNamara</t>
  </si>
  <si>
    <t>Copycat </t>
  </si>
  <si>
    <t>agoraphobia|copycat murder|detective|psychologist|serial killer</t>
  </si>
  <si>
    <t>Paul Schneider</t>
  </si>
  <si>
    <t>George Washington </t>
  </si>
  <si>
    <t>cover up|north carolina|redemption|small town|teenager</t>
  </si>
  <si>
    <t>Stephen Gaghan</t>
  </si>
  <si>
    <t>Syriana </t>
  </si>
  <si>
    <t>cia|hezbollah|lebanon|oil|prince</t>
  </si>
  <si>
    <t>Mars Attacks! </t>
  </si>
  <si>
    <t>alien|general|martian|president|weapon</t>
  </si>
  <si>
    <t>Leonard Roberts</t>
  </si>
  <si>
    <t>Drumline </t>
  </si>
  <si>
    <t>drumline|drummer|fish out of water|marching band|university</t>
  </si>
  <si>
    <t>Masayuki Ochiai</t>
  </si>
  <si>
    <t>James Kyson</t>
  </si>
  <si>
    <t>Shutter </t>
  </si>
  <si>
    <t>car accident|japan|newlywed|photograph|photographer</t>
  </si>
  <si>
    <t>Bob Odenkirk</t>
  </si>
  <si>
    <t>The Brothers Solomon </t>
  </si>
  <si>
    <t>antarctica|coma|neighbor|phd|pregnancy</t>
  </si>
  <si>
    <t>Kevin Rankin</t>
  </si>
  <si>
    <t>Hulk </t>
  </si>
  <si>
    <t>1980s|c 130 hercules|monster|panzer|san francisco california</t>
  </si>
  <si>
    <t>Cloud Atlas </t>
  </si>
  <si>
    <t>composer|future|letter|nonlinear timeline|nursing home</t>
  </si>
  <si>
    <t>Troy Duffy</t>
  </si>
  <si>
    <t>The Boondock Saints II: All Saints Day </t>
  </si>
  <si>
    <t>final showdown|ireland|justice|priest|sheep</t>
  </si>
  <si>
    <t>Flubber </t>
  </si>
  <si>
    <t>college|flubber|flying rubber|professor|wedding</t>
  </si>
  <si>
    <t>George P. Cosmatos</t>
  </si>
  <si>
    <t>Action|Adventure|Thriller|War</t>
  </si>
  <si>
    <t>Rambo: First Blood Part II </t>
  </si>
  <si>
    <t>1980s|mission|prison|rambo|vietnam</t>
  </si>
  <si>
    <t>Leighton Meester</t>
  </si>
  <si>
    <t>Monte Carlo </t>
  </si>
  <si>
    <t>cell phone|hotel|misunderstanding|monte carlo|young woman</t>
  </si>
  <si>
    <t>Trance </t>
  </si>
  <si>
    <t>amnesia|criminal|heist|hypnotherapy|lost painting</t>
  </si>
  <si>
    <t>Alun Armstrong</t>
  </si>
  <si>
    <t>The Saint </t>
  </si>
  <si>
    <t>cold fusion|disguise|energy|fusion|the saint</t>
  </si>
  <si>
    <t>Alice Greczyn</t>
  </si>
  <si>
    <t>The Dukes of Hazzard </t>
  </si>
  <si>
    <t>1969 dodge charger|bikini|farm|misogynist|tow truck</t>
  </si>
  <si>
    <t>David Duchovny</t>
  </si>
  <si>
    <t>House of D </t>
  </si>
  <si>
    <t>artist|butchery|catholic|catholic school|friend</t>
  </si>
  <si>
    <t>Peter Howitt</t>
  </si>
  <si>
    <t>Johnny English </t>
  </si>
  <si>
    <t>british|crown jewels|explosion|funeral|spy</t>
  </si>
  <si>
    <t>The Last Samurai </t>
  </si>
  <si>
    <t>captain|emperor|honor|japan|samurai</t>
  </si>
  <si>
    <t>James D'Arcy</t>
  </si>
  <si>
    <t>Exorcist: The Beginning </t>
  </si>
  <si>
    <t>archeologist|church|excavation|faith|relic</t>
  </si>
  <si>
    <t>Adventure|Crime|Mystery|Sci-Fi|Thriller</t>
  </si>
  <si>
    <t>Samira Wiley</t>
  </si>
  <si>
    <t>Nerve </t>
  </si>
  <si>
    <t>dare|game|knocked out|motorcycle|online game</t>
  </si>
  <si>
    <t>Year One </t>
  </si>
  <si>
    <t>abraham|hunter|princess|sodom|tribe</t>
  </si>
  <si>
    <t>Tony Jaa</t>
  </si>
  <si>
    <t>Nirut Sirichanya</t>
  </si>
  <si>
    <t>Ong-bak 2 </t>
  </si>
  <si>
    <t>cult film|elephant|jungle|martial arts|stylized violence</t>
  </si>
  <si>
    <t>Noah Baumbach</t>
  </si>
  <si>
    <t>William Baldwin</t>
  </si>
  <si>
    <t>The Squid and the Whale </t>
  </si>
  <si>
    <t>boy|divorce|tennis|tennis coach|writer</t>
  </si>
  <si>
    <t>Action|Adventure|Animation|Comedy|Family|Sci-Fi</t>
  </si>
  <si>
    <t>Jimmy Neutron: Boy Genius </t>
  </si>
  <si>
    <t>alien|boy genius|children|genius|rescue</t>
  </si>
  <si>
    <t>Adaptation. </t>
  </si>
  <si>
    <t>book|orchid|screenwriter|thief|twin</t>
  </si>
  <si>
    <t>Alan Metter</t>
  </si>
  <si>
    <t>Police Academy: Mission to Moscow </t>
  </si>
  <si>
    <t>captain|commandant|mafia|russian mafia|security system</t>
  </si>
  <si>
    <t>Matt Shively</t>
  </si>
  <si>
    <t>Paranormal Activity 4 </t>
  </si>
  <si>
    <t>boy in a bathtub|demon|laptop computer|pulled underwater|walking in the dark</t>
  </si>
  <si>
    <t>Andrew Bergman</t>
  </si>
  <si>
    <t>Striptease </t>
  </si>
  <si>
    <t>bouncer|breasts|congressman|private dancer|stripper</t>
  </si>
  <si>
    <t>Katherine Dieckmann</t>
  </si>
  <si>
    <t>Stephanie Szostak</t>
  </si>
  <si>
    <t>Motherhood </t>
  </si>
  <si>
    <t>birthday|birthday party|delivery man|mother|neighbor</t>
  </si>
  <si>
    <t>Siddiq Barmak</t>
  </si>
  <si>
    <t>Marina Golbahari</t>
  </si>
  <si>
    <t>Osama </t>
  </si>
  <si>
    <t>boy|girl|hair|school|taliban</t>
  </si>
  <si>
    <t>Dari</t>
  </si>
  <si>
    <t>Afghanistan</t>
  </si>
  <si>
    <t>Jon Hurwitz</t>
  </si>
  <si>
    <t>Danneel Ackles</t>
  </si>
  <si>
    <t>Harold &amp; Kumar Escape from Guantanamo Bay </t>
  </si>
  <si>
    <t>bong|escape|ex girlfriend|guantanamo bay|texas</t>
  </si>
  <si>
    <t>Snatch </t>
  </si>
  <si>
    <t>boxer|boxing|diamond|fight|gypsy</t>
  </si>
  <si>
    <t>X-Men </t>
  </si>
  <si>
    <t>first part|mutant|professor|superhero|superhero team</t>
  </si>
  <si>
    <t>Battleship </t>
  </si>
  <si>
    <t>box office flop|hawaii|naval|oahu hawaii|ship</t>
  </si>
  <si>
    <t>Marc SchÃ¶lermann</t>
  </si>
  <si>
    <t>Pathology </t>
  </si>
  <si>
    <t>corpse|dark humor|medical school|murder|pathology</t>
  </si>
  <si>
    <t>Midnight in the Garden of Good and Evil </t>
  </si>
  <si>
    <t>graveyard|murder|murder trial|reporter|trial</t>
  </si>
  <si>
    <t>Prometheus </t>
  </si>
  <si>
    <t>cave painting|medical scanner|planet|pregnant with an alien fetus|suspended animation</t>
  </si>
  <si>
    <t>Dudley Do-Right </t>
  </si>
  <si>
    <t>gold|gold rush|mirror|police officer|singer</t>
  </si>
  <si>
    <t>Adventure|Comedy|Drama|Family|Romance</t>
  </si>
  <si>
    <t>Beverly Hills Chihuahua </t>
  </si>
  <si>
    <t>chihuahua|german shepherd|mexico|potted plant|tijuana mexico</t>
  </si>
  <si>
    <t>Adventure|Comedy|Family|Romance|Sci-Fi</t>
  </si>
  <si>
    <t>Meet Dave </t>
  </si>
  <si>
    <t>alien|mutiny|orb|planet|spaceship</t>
  </si>
  <si>
    <t>Hitoshi Matsumoto</t>
  </si>
  <si>
    <t>Lindsay Kay Hayward</t>
  </si>
  <si>
    <t>R100 </t>
  </si>
  <si>
    <t>coma|one word title|spitting|sushi|swimming pool</t>
  </si>
  <si>
    <t>Jeff Lowell</t>
  </si>
  <si>
    <t>Over Her Dead Body </t>
  </si>
  <si>
    <t>accident|diary|ghost|psychic|veterinarian</t>
  </si>
  <si>
    <t>Cursed </t>
  </si>
  <si>
    <t>creature|death|party|rescue|werewolf</t>
  </si>
  <si>
    <t>Ethan Maniquis</t>
  </si>
  <si>
    <t>Machete </t>
  </si>
  <si>
    <t>machete|mexican|mexico|priest|texas</t>
  </si>
  <si>
    <t>Ice Age: The Meltdown </t>
  </si>
  <si>
    <t>flood|mammoth|no opening credits|squirrel|valley</t>
  </si>
  <si>
    <t>Margin Call </t>
  </si>
  <si>
    <t>capital management|financial crisis|financial disaster|investment fraud|management</t>
  </si>
  <si>
    <t>Seamus Davey-Fitzpatrick</t>
  </si>
  <si>
    <t>Before Midnight </t>
  </si>
  <si>
    <t>friend|greece|greek|hotel room|twin</t>
  </si>
  <si>
    <t>Batman </t>
  </si>
  <si>
    <t>city|dc comics|gotham|pantyhose|police</t>
  </si>
  <si>
    <t>Up in the Air </t>
  </si>
  <si>
    <t>airport|business trip|downsizing|on the road|travel</t>
  </si>
  <si>
    <t>Joshua Seftel</t>
  </si>
  <si>
    <t>Bashar Rahal</t>
  </si>
  <si>
    <t>War, Inc. </t>
  </si>
  <si>
    <t>assassin|corporation|pop star|reporter|satire</t>
  </si>
  <si>
    <t>Drew Goddard</t>
  </si>
  <si>
    <t>The Cabin in the Woods </t>
  </si>
  <si>
    <t>cabin in the woods|dark humor|hatchet|killed in an elevator|robot</t>
  </si>
  <si>
    <t>Suicide Squad </t>
  </si>
  <si>
    <t>based on comic book|critically bashed|father daughter relationship|reference to superman|super villain</t>
  </si>
  <si>
    <t>Adventure|Drama|Sci-Fi</t>
  </si>
  <si>
    <t>A.I. Artificial Intelligence </t>
  </si>
  <si>
    <t>affection|boy|fairy|future|robot</t>
  </si>
  <si>
    <t>Action|Fantasy</t>
  </si>
  <si>
    <t>Sucker Punch </t>
  </si>
  <si>
    <t>alternate reality|escape|girl gang|prostitution|samurai</t>
  </si>
  <si>
    <t>Adventure|Animation|Comedy|Family|Fantasy|Music</t>
  </si>
  <si>
    <t>Alvin and the Chipmunks: Chipwrecked </t>
  </si>
  <si>
    <t>chipmunk|cruise ship|football ball|overboard|tennis ball</t>
  </si>
  <si>
    <t>Armageddon </t>
  </si>
  <si>
    <t>asteroid|astronaut|bomb|meteorite|outer space</t>
  </si>
  <si>
    <t>Bolo Yeung</t>
  </si>
  <si>
    <t>Double Impact </t>
  </si>
  <si>
    <t>boat|hong kong|murder|tunnel|twins</t>
  </si>
  <si>
    <t>The Pursuit of Happyness </t>
  </si>
  <si>
    <t>bus|intern|internship|salesman|stockbroker</t>
  </si>
  <si>
    <t>Jumping the Broom </t>
  </si>
  <si>
    <t>martha's vineyard|mother|older woman younger man relationship|wedding|weekend</t>
  </si>
  <si>
    <t>The Ten </t>
  </si>
  <si>
    <t>death|mexico|sabbath|surgeon|ten stories</t>
  </si>
  <si>
    <t>The Crazies </t>
  </si>
  <si>
    <t>deputy|iowa|rural setting|sheriff|survival</t>
  </si>
  <si>
    <t>Cyrus Nowrasteh</t>
  </si>
  <si>
    <t>Clive Russell</t>
  </si>
  <si>
    <t>The Young Messiah </t>
  </si>
  <si>
    <t>based on novel</t>
  </si>
  <si>
    <t>Clear and Present Danger </t>
  </si>
  <si>
    <t>cia|colombia|colombian drug cartel|drugs|president</t>
  </si>
  <si>
    <t>Action|Biography|Drama|History|Thriller|War</t>
  </si>
  <si>
    <t>American Sniper </t>
  </si>
  <si>
    <t>assassin|death of child|iraq|sniper|sniper rifle</t>
  </si>
  <si>
    <t>Pierre Coffin</t>
  </si>
  <si>
    <t>Despicable Me </t>
  </si>
  <si>
    <t>girl|minion|moon|pyramid|white picket fence</t>
  </si>
  <si>
    <t>Elysium </t>
  </si>
  <si>
    <t>christ figure|class differences|messiah|saviour|social commentary</t>
  </si>
  <si>
    <t>Stephen Milburn Anderson</t>
  </si>
  <si>
    <t>Ca$h </t>
  </si>
  <si>
    <t>cash|financial problem|heist|land rover|mortgage</t>
  </si>
  <si>
    <t>The Road </t>
  </si>
  <si>
    <t>apocalypse|boy|food|pistol|survival</t>
  </si>
  <si>
    <t>Steve Hickner</t>
  </si>
  <si>
    <t>Bee Movie </t>
  </si>
  <si>
    <t>bee|dream sequence|egg|scatological humor|squashed bug</t>
  </si>
  <si>
    <t>Adventure|Animation|Comedy|Family|Western</t>
  </si>
  <si>
    <t>Rango </t>
  </si>
  <si>
    <t>chameleon|lizard|sheriff|water|western town</t>
  </si>
  <si>
    <t>Youth in Revolt </t>
  </si>
  <si>
    <t>alter ego|boarding school|love|masturbation|teen movie</t>
  </si>
  <si>
    <t>Carrie </t>
  </si>
  <si>
    <t>outcast|prom|self injury|telekinesis|tragic event</t>
  </si>
  <si>
    <t>Fatih Akin</t>
  </si>
  <si>
    <t>Udo Kier</t>
  </si>
  <si>
    <t>Soul Kitchen </t>
  </si>
  <si>
    <t>2000s|burglar|chef|cook|restaurant</t>
  </si>
  <si>
    <t>Action|Horror|Romance</t>
  </si>
  <si>
    <t>Matt Smith</t>
  </si>
  <si>
    <t>Pride and Prejudice and Zombies </t>
  </si>
  <si>
    <t>based on novel|damsel in distress|deception|england|zombie</t>
  </si>
  <si>
    <t>The Big Lebowski </t>
  </si>
  <si>
    <t>death|drug|nihilism|rug|white russian</t>
  </si>
  <si>
    <t>Drama|Fantasy|War</t>
  </si>
  <si>
    <t>Ivana Baquero</t>
  </si>
  <si>
    <t>Pan's Labyrinth </t>
  </si>
  <si>
    <t>fairy|fairy tale|faun|princess|spain</t>
  </si>
  <si>
    <t>Mike Cahill</t>
  </si>
  <si>
    <t>Robin Lord Taylor</t>
  </si>
  <si>
    <t>Another Earth </t>
  </si>
  <si>
    <t>duplicate earth|janitor|planet|solar system|synchronicity</t>
  </si>
  <si>
    <t>Paycheck </t>
  </si>
  <si>
    <t>anti hero|babe scientist|engineer|memory|money</t>
  </si>
  <si>
    <t>Louis Morneau</t>
  </si>
  <si>
    <t>Leon</t>
  </si>
  <si>
    <t>Bats </t>
  </si>
  <si>
    <t>animal attack|bat|creature feature|experiment|mad scientist</t>
  </si>
  <si>
    <t>A Better Life </t>
  </si>
  <si>
    <t>gang|gardener|money|police|truck</t>
  </si>
  <si>
    <t>Don't Say a Word </t>
  </si>
  <si>
    <t>mental institution|post traumatic stress|psychiatrist|vomiting|voyeur</t>
  </si>
  <si>
    <t>Draft Day </t>
  </si>
  <si>
    <t>cleveland browns|head coach|linebacker|nfl|team owner</t>
  </si>
  <si>
    <t>Mary Elizabeth Mastrantonio</t>
  </si>
  <si>
    <t>Limbo </t>
  </si>
  <si>
    <t>alaska|island|motorboat|singer|wilderness</t>
  </si>
  <si>
    <t>Tony Gilroy</t>
  </si>
  <si>
    <t>The Bourne Legacy </t>
  </si>
  <si>
    <t>assassin|cia|drone|pill|wolf</t>
  </si>
  <si>
    <t>Lords of Dogtown </t>
  </si>
  <si>
    <t>1970s|skateboarder|skateboarding|surf|swimming pool</t>
  </si>
  <si>
    <t>A Beautiful Mind </t>
  </si>
  <si>
    <t>conspiracy|cryptography|mathematician|mental illness|nobel prize</t>
  </si>
  <si>
    <t>Larry David</t>
  </si>
  <si>
    <t>Whatever Works </t>
  </si>
  <si>
    <t>atheist|limp|quantum mechanics|religion|runaway</t>
  </si>
  <si>
    <t>Henry Hobson</t>
  </si>
  <si>
    <t>Maggie </t>
  </si>
  <si>
    <t>father daughter relationship|playing against type|post apocalypse|protective father|zombie apocalypse</t>
  </si>
  <si>
    <t>Kelly Macdonald</t>
  </si>
  <si>
    <t>Trainspotting </t>
  </si>
  <si>
    <t>drug culture|drugs|filthy toilet|heroin addict|heroin withdrawal</t>
  </si>
  <si>
    <t>Comedy|Horror|Romance</t>
  </si>
  <si>
    <t>Vamps </t>
  </si>
  <si>
    <t>murder|new york city|one word title|vampire|vampire slayer</t>
  </si>
  <si>
    <t>Harold Cronk</t>
  </si>
  <si>
    <t>Benjamin A. Onyango</t>
  </si>
  <si>
    <t>God's Not Dead 2 </t>
  </si>
  <si>
    <t>alternate universe|christian|christian film|christianity|manipulation</t>
  </si>
  <si>
    <t>Michael Cuesta</t>
  </si>
  <si>
    <t>Adam LeFevre</t>
  </si>
  <si>
    <t>L.I.E. </t>
  </si>
  <si>
    <t>ephebophile|pederasty|pedophilia|playing hooky|shaving</t>
  </si>
  <si>
    <t>Stuart Baird</t>
  </si>
  <si>
    <t>Star Trek: Nemesis </t>
  </si>
  <si>
    <t>earth|federation|romulan|slave|space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</si>
  <si>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</si>
  <si>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</si>
  <si>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</si>
  <si>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</si>
  <si>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</si>
  <si>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Cruel Intentions </t>
  </si>
  <si>
    <t>bet|revenge|seduction|virgin|wager</t>
  </si>
  <si>
    <t>Yentl </t>
  </si>
  <si>
    <t>love|study|talmud|wedding|yeshiva</t>
  </si>
  <si>
    <t>Tom Green</t>
  </si>
  <si>
    <t>Freddy Got Fingered </t>
  </si>
  <si>
    <t>animator|bamboo cane|cartoonist|sausage|slacker</t>
  </si>
  <si>
    <t>Action|Biography|Drama</t>
  </si>
  <si>
    <t>Tony Chiu Wai Leung</t>
  </si>
  <si>
    <t>The Grandmaster </t>
  </si>
  <si>
    <t>challenge|china|hong kong|martial arts|martial arts master</t>
  </si>
  <si>
    <t>This Is Where I Leave You </t>
  </si>
  <si>
    <t>brother sister relationship|childhood home|man child|sibling|vomiting</t>
  </si>
  <si>
    <t>Thomas Bo Larsen</t>
  </si>
  <si>
    <t>The Hunt </t>
  </si>
  <si>
    <t>deer|gun|gunshot|hunt|kindergarten teacher</t>
  </si>
  <si>
    <t>Mark Herman</t>
  </si>
  <si>
    <t>Richard Johnson</t>
  </si>
  <si>
    <t>The Boy in the Striped Pajamas </t>
  </si>
  <si>
    <t>boy|fence|jew|nazis|poison gas</t>
  </si>
  <si>
    <t>Due Date </t>
  </si>
  <si>
    <t>actor|aspiring actor|birth|misadventure|suitcase</t>
  </si>
  <si>
    <t>Maggie Carey</t>
  </si>
  <si>
    <t>Donald Glover</t>
  </si>
  <si>
    <t>The To Do List </t>
  </si>
  <si>
    <t>feces in a swimming pool|female vomiting|high school|lifeguard|male objectification</t>
  </si>
  <si>
    <t>The Call </t>
  </si>
  <si>
    <t>911 operator|calling 911|die hard scenario|head held underwater|white villain</t>
  </si>
  <si>
    <t>Scott Frank</t>
  </si>
  <si>
    <t>A Walk Among the Tombstones </t>
  </si>
  <si>
    <t>drug dealer|ex cop|murder of wife|revenge|violence</t>
  </si>
  <si>
    <t>Kevin Hooks</t>
  </si>
  <si>
    <t>Action|Adventure|Crime|Drama|Romance</t>
  </si>
  <si>
    <t>Fled </t>
  </si>
  <si>
    <t>disk|floppy disk|mafia|prison|prisoner</t>
  </si>
  <si>
    <t>Avatar</t>
  </si>
  <si>
    <t>avatar|future|marine|native|paraplegic</t>
  </si>
  <si>
    <t>Sherlock Holmes: A Game of Shadows </t>
  </si>
  <si>
    <t>factory|gypsy|investigation|sherlock holmes|train</t>
  </si>
  <si>
    <t>Country Strong </t>
  </si>
  <si>
    <t>country music|panties|pink panties|relapse|songwriter</t>
  </si>
  <si>
    <t>Official site</t>
  </si>
  <si>
    <t>Thunderball </t>
  </si>
  <si>
    <t>domino|fiery redhead|nassau|official james bond series|underwater battle</t>
  </si>
  <si>
    <t>Andy Garcia</t>
  </si>
  <si>
    <t>Danny Pino</t>
  </si>
  <si>
    <t>The Lost City </t>
  </si>
  <si>
    <t>1950s|cuba|cuban flag|fidel castro|havana cuba</t>
  </si>
  <si>
    <t>Mamoru Hosoda</t>
  </si>
  <si>
    <t>Action|Adventure|Animation|Family|Sci-Fi</t>
  </si>
  <si>
    <t>Lara Jill Miller</t>
  </si>
  <si>
    <t>Digimon: The Movie </t>
  </si>
  <si>
    <t>based on video game|box office hit|computer|digimon|internet</t>
  </si>
  <si>
    <t>Wimbledon </t>
  </si>
  <si>
    <t>career|player|tennis|tennis player|wimbledon</t>
  </si>
  <si>
    <t>Se7en </t>
  </si>
  <si>
    <t>detective|police partner|serial killer|serial murder|seven deadly sins</t>
  </si>
  <si>
    <t>The Object of My Affection </t>
  </si>
  <si>
    <t>baby|dancing|gay|name calling|penis slur</t>
  </si>
  <si>
    <t>What Just Happened </t>
  </si>
  <si>
    <t>actor|agent|beard|cannes|hollywood</t>
  </si>
  <si>
    <t>Addicted </t>
  </si>
  <si>
    <t>adultery|attraction|lust|obsession|temptation</t>
  </si>
  <si>
    <t>Insomnia </t>
  </si>
  <si>
    <t>detective|insomnia|murder|partner|police</t>
  </si>
  <si>
    <t>Michael Dinner</t>
  </si>
  <si>
    <t>The Crew </t>
  </si>
  <si>
    <t>beach|drug lord|drugs|hotel|stripper</t>
  </si>
  <si>
    <t>The Scorpion King </t>
  </si>
  <si>
    <t>desert|king|showdown|sorceress|warrior</t>
  </si>
  <si>
    <t>Action|Adventure|Comedy|Fantasy|Mystery</t>
  </si>
  <si>
    <t>The Golden Child </t>
  </si>
  <si>
    <t>boy|child|chosen one|demon|detective</t>
  </si>
  <si>
    <t>Rufus Sewell</t>
  </si>
  <si>
    <t>Extreme Ops </t>
  </si>
  <si>
    <t>commercial|extreme sports|mountain|serbian|terrorist</t>
  </si>
  <si>
    <t>Bibo Bergeron</t>
  </si>
  <si>
    <t>Shark Tale </t>
  </si>
  <si>
    <t>anchor|fish|mobster|shark|vegetarian</t>
  </si>
  <si>
    <t>American Hustle </t>
  </si>
  <si>
    <t>based on true story|con artist|drunk wife|fbi investigation|scam</t>
  </si>
  <si>
    <t>Christopher Meloni</t>
  </si>
  <si>
    <t>Bound </t>
  </si>
  <si>
    <t>gangster|lesbian|mafia|money|neo noir</t>
  </si>
  <si>
    <t>Sliding Doors </t>
  </si>
  <si>
    <t>alternative reality|multiple outcomes|parallel time|serendipity|twist of fate</t>
  </si>
  <si>
    <t>Sofia Boutella</t>
  </si>
  <si>
    <t>Star Trek Beyond </t>
  </si>
  <si>
    <t>hatred|sequel|space opera|star trek|third part</t>
  </si>
  <si>
    <t>Elizabeth Allen Rosenbaum</t>
  </si>
  <si>
    <t>Tammin Sursok</t>
  </si>
  <si>
    <t>Aquamarine </t>
  </si>
  <si>
    <t>beach|love|mermaid|storm|swimming</t>
  </si>
  <si>
    <t>Star Trek Into Darkness </t>
  </si>
  <si>
    <t>admiral|captain|manhunt|mission|space</t>
  </si>
  <si>
    <t>Lorraine Bracco</t>
  </si>
  <si>
    <t>Medicine Man </t>
  </si>
  <si>
    <t>cancer|environment|gas chromatograph|jungle|nature</t>
  </si>
  <si>
    <t>Michael Dougherty</t>
  </si>
  <si>
    <t>Krampus </t>
  </si>
  <si>
    <t>christmas|german|holiday|krampus|santa claus</t>
  </si>
  <si>
    <t>Wah-Wah </t>
  </si>
  <si>
    <t>alcoholic|alcoholic father|stepmother|swaziland|unfaithful wife</t>
  </si>
  <si>
    <t>David Belle</t>
  </si>
  <si>
    <t>District B13 </t>
  </si>
  <si>
    <t>bomb|gang|police|sister|undercover cop</t>
  </si>
  <si>
    <t>The Pirates! Band of Misfits </t>
  </si>
  <si>
    <t>charles darwin|cutlass|pirate|queen victoria|scientist</t>
  </si>
  <si>
    <t>Mary McGuckian</t>
  </si>
  <si>
    <t>The Bridge of San Luis Rey </t>
  </si>
  <si>
    <t>bridge|friar|inquisition|peru|rope bridge</t>
  </si>
  <si>
    <t>In Dreams </t>
  </si>
  <si>
    <t>dream|mental institution|padded cell|serial killer|suicide attempt</t>
  </si>
  <si>
    <t>Andrew Morahan</t>
  </si>
  <si>
    <t>Action|Fantasy|Romance|Sci-Fi</t>
  </si>
  <si>
    <t>Highlander: The Final Dimension </t>
  </si>
  <si>
    <t>cave|highlander|illusion|immortal|japan</t>
  </si>
  <si>
    <t>Iron Man 2 </t>
  </si>
  <si>
    <t>hammer|military|monaco|revenge|tony stark</t>
  </si>
  <si>
    <t>Action|Biography|Drama|History|Romance|Western</t>
  </si>
  <si>
    <t>Tombstone </t>
  </si>
  <si>
    <t>cigar smoking|cowboy|duel|outlaw|tombstone arizona</t>
  </si>
  <si>
    <t>Fred Gwynne</t>
  </si>
  <si>
    <t>My Cousin Vinny </t>
  </si>
  <si>
    <t>alabama|jail|judicial system|lawyer|trial</t>
  </si>
  <si>
    <t>Emile Ardolino</t>
  </si>
  <si>
    <t>Family|Fantasy|Music</t>
  </si>
  <si>
    <t>Darci Kistler</t>
  </si>
  <si>
    <t>The Nutcracker </t>
  </si>
  <si>
    <t>christmas|lifting female in air|lifting male in air|lifting someone into the air|little girl</t>
  </si>
  <si>
    <t>Gregory Jacobs</t>
  </si>
  <si>
    <t>Magic Mike XXL </t>
  </si>
  <si>
    <t>male bonding|male friendship|male objectification|muscular|stripper</t>
  </si>
  <si>
    <t>George Ratliff</t>
  </si>
  <si>
    <t>Action|Comedy|Drama|Thriller</t>
  </si>
  <si>
    <t>Salvation Boulevard </t>
  </si>
  <si>
    <t>cross|doused with gasoline|pastor|security guard|shower</t>
  </si>
  <si>
    <t>Jeremy Leven</t>
  </si>
  <si>
    <t>Don Juan DeMarco </t>
  </si>
  <si>
    <t>don juan|mental institution|patient|psychiatrist|retirement</t>
  </si>
  <si>
    <t>Resident Evil: Afterlife </t>
  </si>
  <si>
    <t>alaska|female gunfighter|mutation|ship|siege</t>
  </si>
  <si>
    <t>The New World </t>
  </si>
  <si>
    <t>captain|fort|love|native american|trade</t>
  </si>
  <si>
    <t>Noah </t>
  </si>
  <si>
    <t>ark|flood|noah's ark|water|wrath of god</t>
  </si>
  <si>
    <t>Rachel Perkins</t>
  </si>
  <si>
    <t>Deborah Mailman</t>
  </si>
  <si>
    <t>Bran Nue Dae </t>
  </si>
  <si>
    <t>australia|journey|love|priest|traveling</t>
  </si>
  <si>
    <t>Any Given Sunday </t>
  </si>
  <si>
    <t>breasts|coach|football|in medias res|vomiting</t>
  </si>
  <si>
    <t>Prison </t>
  </si>
  <si>
    <t>electric chair|haunting|prison|prisoner|revenge</t>
  </si>
  <si>
    <t>While We're Young </t>
  </si>
  <si>
    <t>documentary filmmaker|documentary filmmaking|father in law|generation z|hipster</t>
  </si>
  <si>
    <t>Action|Biography|Drama|History|War</t>
  </si>
  <si>
    <t>Free State of Jones </t>
  </si>
  <si>
    <t>american civil war|civil war|u.s. civil war</t>
  </si>
  <si>
    <t>Courtney Hunt</t>
  </si>
  <si>
    <t>Frozen River </t>
  </si>
  <si>
    <t>border|mohawk|money|new york|river</t>
  </si>
  <si>
    <t>Jonathan D. Mellor</t>
  </si>
  <si>
    <t>[Rec] 2 </t>
  </si>
  <si>
    <t>apartment|apartment building|blood sample|crucifix|zombie</t>
  </si>
  <si>
    <t>Rawson Marshall Thurber</t>
  </si>
  <si>
    <t>Dodgeball: A True Underdog Story </t>
  </si>
  <si>
    <t>dodgeball|gym|las vegas|pirate|ups</t>
  </si>
  <si>
    <t>The Best Man </t>
  </si>
  <si>
    <t>african american|bachelor party|brooklyn bridge|family relationships|stripper</t>
  </si>
  <si>
    <t>Tate Donovan</t>
  </si>
  <si>
    <t>Shooter </t>
  </si>
  <si>
    <t>colonel|ethiopia|marksman|on the run|rangefinder</t>
  </si>
  <si>
    <t>Catherine Gund</t>
  </si>
  <si>
    <t>Action|Biography|Documentary|Sport</t>
  </si>
  <si>
    <t>Elizabeth Streb</t>
  </si>
  <si>
    <t>Born to Fly: Elizabeth Streb vs. Gravity </t>
  </si>
  <si>
    <t>three word title</t>
  </si>
  <si>
    <t>Bonnie Hunt</t>
  </si>
  <si>
    <t>Return to Me </t>
  </si>
  <si>
    <t>heart|italian restaurant|restaurant|transplant|waitress</t>
  </si>
  <si>
    <t>Arthur Hiller</t>
  </si>
  <si>
    <t>An Alan Smithee Film: Burn Hollywood Burn </t>
  </si>
  <si>
    <t>box office flop|critically bashed|director|hollywood|mockumentary</t>
  </si>
  <si>
    <t>Action|Sci-Fi|Sport</t>
  </si>
  <si>
    <t>Rollerball </t>
  </si>
  <si>
    <t>ball|blood|skating|song|year 2005</t>
  </si>
  <si>
    <t>Honor Blackman</t>
  </si>
  <si>
    <t>Goldfinger </t>
  </si>
  <si>
    <t>bikini|covered in melted gold|fort knox|gold|pilot</t>
  </si>
  <si>
    <t>Kris Isacsson</t>
  </si>
  <si>
    <t>Down to You </t>
  </si>
  <si>
    <t>artist|cake|college|new york city|student</t>
  </si>
  <si>
    <t>Julian Jarrold</t>
  </si>
  <si>
    <t>Becoming Jane </t>
  </si>
  <si>
    <t>country estate|jane austen|lady|love|writing</t>
  </si>
  <si>
    <t>Robinson Devor</t>
  </si>
  <si>
    <t>Marilyn Rising</t>
  </si>
  <si>
    <t>The Woman Chaser </t>
  </si>
  <si>
    <t>car salesman|filmmaking|pulp fiction|santa claus suit|truck driver</t>
  </si>
  <si>
    <t>Greg Germann</t>
  </si>
  <si>
    <t>Friends with Money </t>
  </si>
  <si>
    <t>friend|friendship|marital problem|money problems|nervous breakdown</t>
  </si>
  <si>
    <t>The Intern </t>
  </si>
  <si>
    <t>reference to ben affleck|reference to brad pitt|reference to george clooney|reference to jack nicholson|website</t>
  </si>
  <si>
    <t>Open Range </t>
  </si>
  <si>
    <t>boss|cattle|cowboy|rancher|violence</t>
  </si>
  <si>
    <t>Tony Bill</t>
  </si>
  <si>
    <t>Action|Adventure|Drama|History|Romance|War</t>
  </si>
  <si>
    <t>Flyboys </t>
  </si>
  <si>
    <t>american|france|military|pilot|training</t>
  </si>
  <si>
    <t>John Beasley</t>
  </si>
  <si>
    <t>The Apostle </t>
  </si>
  <si>
    <t>church|louisiana|minister|preacher|texas</t>
  </si>
  <si>
    <t>Eugenio Derbez</t>
  </si>
  <si>
    <t>Instructions Not Included </t>
  </si>
  <si>
    <t>father daughter relationship</t>
  </si>
  <si>
    <t>Serving Sara </t>
  </si>
  <si>
    <t>divorce|divorce papers|new york|process server|texas</t>
  </si>
  <si>
    <t>Greg Coolidge</t>
  </si>
  <si>
    <t>Employee of the Month </t>
  </si>
  <si>
    <t>competition|date|employee|laser in eyes|slacker</t>
  </si>
  <si>
    <t>Je-kyu Kang</t>
  </si>
  <si>
    <t>Min-sik Choi</t>
  </si>
  <si>
    <t>Tae Guk Gi: The Brotherhood of War </t>
  </si>
  <si>
    <t>1950s|archeologist|korea|korean war|soldier</t>
  </si>
  <si>
    <t>Inside Man </t>
  </si>
  <si>
    <t>bank|detective|negotiation|police|robber</t>
  </si>
  <si>
    <t>Ben Younger</t>
  </si>
  <si>
    <t>Boiler Room </t>
  </si>
  <si>
    <t>career|casino|judge|stock|stock broker</t>
  </si>
  <si>
    <t>Michael Caton-Jones</t>
  </si>
  <si>
    <t>The Jackal </t>
  </si>
  <si>
    <t>assassin|fbi|ira|jackal|russian</t>
  </si>
  <si>
    <t>Steven Shainberg</t>
  </si>
  <si>
    <t>Secretary </t>
  </si>
  <si>
    <t>bdsm|employer employee relationship|hospital|mental hospital|secretary</t>
  </si>
  <si>
    <t>Spencer Susser</t>
  </si>
  <si>
    <t>Hesher </t>
  </si>
  <si>
    <t>bully|car|car accident|fire|vomiting</t>
  </si>
  <si>
    <t>Sarah Smith</t>
  </si>
  <si>
    <t>Arthur Christmas </t>
  </si>
  <si>
    <t>christmas|christmas eve|elf|high tech|resentment</t>
  </si>
  <si>
    <t>Casino </t>
  </si>
  <si>
    <t>car bomb|card cheat|cash|casino|gambling syndicate</t>
  </si>
  <si>
    <t>Timur Bekmambetov</t>
  </si>
  <si>
    <t>Fantasy|Thriller</t>
  </si>
  <si>
    <t>Konstantin Khabenskiy</t>
  </si>
  <si>
    <t>Night Watch </t>
  </si>
  <si>
    <t>battle|bridge|mother son relationship|supernatural power|vampire</t>
  </si>
  <si>
    <t>Russian</t>
  </si>
  <si>
    <t>Russia</t>
  </si>
  <si>
    <t>Out of Africa </t>
  </si>
  <si>
    <t>africa|hunter|love|marriage|plantation</t>
  </si>
  <si>
    <t>David Webb Peoples</t>
  </si>
  <si>
    <t>The Blood of Heroes </t>
  </si>
  <si>
    <t>battle|blood splatter|combat|game|showdown</t>
  </si>
  <si>
    <t>Alan Parker</t>
  </si>
  <si>
    <t>Angela's Ashes </t>
  </si>
  <si>
    <t>drink|ira|irish|limerick|prejudice</t>
  </si>
  <si>
    <t>Michael Tollin</t>
  </si>
  <si>
    <t>Radio </t>
  </si>
  <si>
    <t>coach|football|football coach|high school|radio</t>
  </si>
  <si>
    <t>Peter Serafinowicz</t>
  </si>
  <si>
    <t>Shaun of the Dead </t>
  </si>
  <si>
    <t>british horror|pub|record collection|zombie|zombie apocalypse</t>
  </si>
  <si>
    <t>Jeffrey W. Byrd</t>
  </si>
  <si>
    <t>Donald Faison</t>
  </si>
  <si>
    <t>King's Ransom </t>
  </si>
  <si>
    <t>hit in the crotch|kidnapping|nail gun|police|release from prison</t>
  </si>
  <si>
    <t>Michael McGowan</t>
  </si>
  <si>
    <t>Saint Ralph </t>
  </si>
  <si>
    <t>boston marathon|coma|marathon|miracles|running</t>
  </si>
  <si>
    <t>Peter Kosminsky</t>
  </si>
  <si>
    <t>Patrick Fugit</t>
  </si>
  <si>
    <t>White Oleander </t>
  </si>
  <si>
    <t>california|foster home|love|oleander|prison</t>
  </si>
  <si>
    <t>The Constant Gardener </t>
  </si>
  <si>
    <t>death|diplomat|doctor|kenya|murder</t>
  </si>
  <si>
    <t>Rick Friedberg</t>
  </si>
  <si>
    <t>Hulk Hogan</t>
  </si>
  <si>
    <t>Spy Hard </t>
  </si>
  <si>
    <t>1990s|dentist|hit with a door|martial arts|museum</t>
  </si>
  <si>
    <t>Chan-wook Park</t>
  </si>
  <si>
    <t>Mia Wasikowska</t>
  </si>
  <si>
    <t>Stoker </t>
  </si>
  <si>
    <t>death|hitchcockian|psychopath|sociopath|vomiting</t>
  </si>
  <si>
    <t>Luis Llosa</t>
  </si>
  <si>
    <t>The Specialist </t>
  </si>
  <si>
    <t>bomb|cia|explosive|explosives expert|miami florida</t>
  </si>
  <si>
    <t>Peru</t>
  </si>
  <si>
    <t>The Good German </t>
  </si>
  <si>
    <t>american|driver|journalist|russian|secret</t>
  </si>
  <si>
    <t>Thirteen Days </t>
  </si>
  <si>
    <t>blockade|crisis|cuba|missile|president</t>
  </si>
  <si>
    <t>The Godfather: Part II </t>
  </si>
  <si>
    <t>1950s|corrupt politician|lake tahoe nevada|melancholy|revenge</t>
  </si>
  <si>
    <t>Kay Pollak</t>
  </si>
  <si>
    <t>Michael Nyqvist</t>
  </si>
  <si>
    <t>As It Is in Heaven </t>
  </si>
  <si>
    <t>amazing grace the hymn|choir|heart attack|hometown|skidding truck</t>
  </si>
  <si>
    <t>Swedish</t>
  </si>
  <si>
    <t>Sweden</t>
  </si>
  <si>
    <t>Summer of Sam </t>
  </si>
  <si>
    <t>distrust|fear|murder|neighborhood|new york city</t>
  </si>
  <si>
    <t>Bruce McDonald</t>
  </si>
  <si>
    <t>Stephen McHattie</t>
  </si>
  <si>
    <t>Pontypool </t>
  </si>
  <si>
    <t>blood splatter|talk radio|virus|vomiting blood|zombie apocalypse</t>
  </si>
  <si>
    <t>Machete Kills </t>
  </si>
  <si>
    <t>arms dealer|battle|bomb|machete|missile</t>
  </si>
  <si>
    <t>John Bonito</t>
  </si>
  <si>
    <t>Kelly Carlson</t>
  </si>
  <si>
    <t>The Marine </t>
  </si>
  <si>
    <t>beating|marine|muscleman|tied up|tough guy</t>
  </si>
  <si>
    <t>Louis Jourdan</t>
  </si>
  <si>
    <t>Octopussy </t>
  </si>
  <si>
    <t>agent|egg|faberge egg|general|russian</t>
  </si>
  <si>
    <t>Anthony Russo</t>
  </si>
  <si>
    <t>Captain America: The Winter Soldier </t>
  </si>
  <si>
    <t>conspiracy|heroism|megalomaniac|super soldier|world domination</t>
  </si>
  <si>
    <t>Noah Buschel</t>
  </si>
  <si>
    <t>Merritt Wever</t>
  </si>
  <si>
    <t>The Missing Person </t>
  </si>
  <si>
    <t>cellphone|detective|missing person|private detective|train</t>
  </si>
  <si>
    <t>Larry Blamire</t>
  </si>
  <si>
    <t>Fay Masterson</t>
  </si>
  <si>
    <t>The Lost Skeleton of Cadavra </t>
  </si>
  <si>
    <t>alien|cave|husband wife relationship|monster|skeleton</t>
  </si>
  <si>
    <t>David McNally</t>
  </si>
  <si>
    <t>Estella Warren</t>
  </si>
  <si>
    <t>Kangaroo Jack </t>
  </si>
  <si>
    <t>australia|body paint|kangaroo|mob|money</t>
  </si>
  <si>
    <t>The Wrestler </t>
  </si>
  <si>
    <t>heart attack|stripper|supermarket|wrestler|wrestling</t>
  </si>
  <si>
    <t>The Bucket List </t>
  </si>
  <si>
    <t>billionaire|friend|hospital|list|mechanic</t>
  </si>
  <si>
    <t>Chasing Amy </t>
  </si>
  <si>
    <t>comic book|friendship|gay|lesbian|secret</t>
  </si>
  <si>
    <t>Vadim Perelman</t>
  </si>
  <si>
    <t>Frances Fisher</t>
  </si>
  <si>
    <t>House of Sand and Fog </t>
  </si>
  <si>
    <t>auction|home|house|iranian|marriage</t>
  </si>
  <si>
    <t>Action|Adventure|Drama|Sci-Fi</t>
  </si>
  <si>
    <t>Dawn of the Planet of the Apes </t>
  </si>
  <si>
    <t>ape|dam|leader|post apocalypse|sequel</t>
  </si>
  <si>
    <t>Kaige Chen</t>
  </si>
  <si>
    <t>Dong-gun Jang</t>
  </si>
  <si>
    <t>The Promise </t>
  </si>
  <si>
    <t>armor|general|king|princess|slave</t>
  </si>
  <si>
    <t>Drama|History|Romance</t>
  </si>
  <si>
    <t>Bai Ling</t>
  </si>
  <si>
    <t>Anna and the King </t>
  </si>
  <si>
    <t>1860s|children|king|schoolteacher|siam</t>
  </si>
  <si>
    <t>Adventure|Drama|Family|Mystery</t>
  </si>
  <si>
    <t>Hugo </t>
  </si>
  <si>
    <t>automaton|mechanical|railway station|steampunk|train</t>
  </si>
  <si>
    <t>Taken 3 </t>
  </si>
  <si>
    <t>betrayal|death|final showdown|murder|on the run</t>
  </si>
  <si>
    <t>Beginners </t>
  </si>
  <si>
    <t>actress|cancer|death|french|gay relationship</t>
  </si>
  <si>
    <t>Alden Ehrenreich</t>
  </si>
  <si>
    <t>Beautiful Creatures </t>
  </si>
  <si>
    <t>dream|escape|magic|magic spell|small town</t>
  </si>
  <si>
    <t>Matt Williams</t>
  </si>
  <si>
    <t>Where the Heart Is </t>
  </si>
  <si>
    <t>birth|oklahoma|photographer|tennessee|wal mart</t>
  </si>
  <si>
    <t>Joby Harold</t>
  </si>
  <si>
    <t>Awake </t>
  </si>
  <si>
    <t>anesthetic|anesthetic awareness|heart|heart surgery|surgery</t>
  </si>
  <si>
    <t>Action|Comedy|Fantasy|Romance</t>
  </si>
  <si>
    <t>Scott Pilgrim vs. the World </t>
  </si>
  <si>
    <t>band|dating|high school|hipster|rock band</t>
  </si>
  <si>
    <t>My Sister's Keeper </t>
  </si>
  <si>
    <t>hospital|leukemia|oncology|sick child|terminal illness</t>
  </si>
  <si>
    <t>Comedy|Drama|Family|Music|Musical|Romance</t>
  </si>
  <si>
    <t>Jerry Stiller</t>
  </si>
  <si>
    <t>Hairspray </t>
  </si>
  <si>
    <t>audition|best friend|dance|friend|tv dance show</t>
  </si>
  <si>
    <t>Richard Coyle</t>
  </si>
  <si>
    <t>5 Days of War </t>
  </si>
  <si>
    <t>cameraman|epic battle|journalist|south ossetia|street shootout</t>
  </si>
  <si>
    <t>Georgia</t>
  </si>
  <si>
    <t>The Shipping News </t>
  </si>
  <si>
    <t>employee employer relationship|husband wife relationship|newspaper|ship|wake</t>
  </si>
  <si>
    <t>Illeana Douglas</t>
  </si>
  <si>
    <t>Alive </t>
  </si>
  <si>
    <t>andes mountains|crash|death|starvation|stranded</t>
  </si>
  <si>
    <t>Unstoppable </t>
  </si>
  <si>
    <t>freight train|race against time|runaway train|train|train engineer</t>
  </si>
  <si>
    <t>Tim Hunter</t>
  </si>
  <si>
    <t>River's Edge </t>
  </si>
  <si>
    <t>death|friend|high school|murder|police</t>
  </si>
  <si>
    <t>Hitch </t>
  </si>
  <si>
    <t>advice|friendship|gossip|newspaper|quitting a job</t>
  </si>
  <si>
    <t>The Rookie </t>
  </si>
  <si>
    <t>baseball|coach|high school|pitching|texas</t>
  </si>
  <si>
    <t>Greg Harrison</t>
  </si>
  <si>
    <t>Rachel True</t>
  </si>
  <si>
    <t>Groove </t>
  </si>
  <si>
    <t>dj|ecstasy the drug|rave|raver|warehouse</t>
  </si>
  <si>
    <t>Amir Talai</t>
  </si>
  <si>
    <t>November </t>
  </si>
  <si>
    <t>female protagonist|murder|photographer|robbery|shot to death</t>
  </si>
  <si>
    <t>Majid Majidi</t>
  </si>
  <si>
    <t>Bahare Seddiqi</t>
  </si>
  <si>
    <t>Children of Heaven </t>
  </si>
  <si>
    <t>class|gardening|race|school|shoe</t>
  </si>
  <si>
    <t>Mark Piznarski</t>
  </si>
  <si>
    <t>Here on Earth </t>
  </si>
  <si>
    <t>diner|love|private school|school|small town</t>
  </si>
  <si>
    <t>Action|Drama|Sport|Thriller</t>
  </si>
  <si>
    <t>The Fan </t>
  </si>
  <si>
    <t>baseball|fan|obsession|salesman|san francisco giants</t>
  </si>
  <si>
    <t>Tim Heidecker</t>
  </si>
  <si>
    <t>Michael Gross</t>
  </si>
  <si>
    <t>Tim and Eric's Billion Dollar Movie </t>
  </si>
  <si>
    <t>film in film|man with glasses|reference to steven spielberg|self referential|shopping mall</t>
  </si>
  <si>
    <t>Russell Crowe</t>
  </si>
  <si>
    <t>Cem Yilmaz</t>
  </si>
  <si>
    <t>The Water Diviner </t>
  </si>
  <si>
    <t>australian|battle|battle of gallipoli|gallipoli|world war one</t>
  </si>
  <si>
    <t>David Anspaugh</t>
  </si>
  <si>
    <t>Drama|History|Sport</t>
  </si>
  <si>
    <t>The Game of Their Lives </t>
  </si>
  <si>
    <t>1950s|brazil|soccer|soccer movie|world cup</t>
  </si>
  <si>
    <t>Action|Adventure|Romance|Thriller</t>
  </si>
  <si>
    <t>First Knight </t>
  </si>
  <si>
    <t>battle|king|king arthur|knight|marriage</t>
  </si>
  <si>
    <t>Tom Burke</t>
  </si>
  <si>
    <t>ChÃ©ri </t>
  </si>
  <si>
    <t>age difference|courtesan|mansion|marriage|prostitute</t>
  </si>
  <si>
    <t>Adventure|Comedy|Drama|Family|Mystery</t>
  </si>
  <si>
    <t>Holes </t>
  </si>
  <si>
    <t>bad luck|camp|curse|digging|hole</t>
  </si>
  <si>
    <t>Rent </t>
  </si>
  <si>
    <t>aids|hiv positive|lawyer|new york city|roommate</t>
  </si>
  <si>
    <t>Cliffhanger </t>
  </si>
  <si>
    <t>money|mountain|rocky mountains|snow|suitcase</t>
  </si>
  <si>
    <t>Chris Butler</t>
  </si>
  <si>
    <t>ParaNorman </t>
  </si>
  <si>
    <t>curse|ghost|outcast|witch|zombie</t>
  </si>
  <si>
    <t>Wonder Boys </t>
  </si>
  <si>
    <t>based on novel|college girl|midlife crisis|pittsburgh pennsylvania|professor</t>
  </si>
  <si>
    <t>Unforgiven </t>
  </si>
  <si>
    <t>englishman|leaving flowers on a grave|one last job|reputation|visiting wife's grave</t>
  </si>
  <si>
    <t>John Cornell</t>
  </si>
  <si>
    <t>Crocodile Dundee II </t>
  </si>
  <si>
    <t>australia|australian|crime boss|crocodile|gangster</t>
  </si>
  <si>
    <t>The Debt </t>
  </si>
  <si>
    <t>east berlin|kiev ukraine|mossad|nazi|nazi war criminal</t>
  </si>
  <si>
    <t>Fred Schepisi</t>
  </si>
  <si>
    <t>Last Orders </t>
  </si>
  <si>
    <t>ashes|butcher|friend|friendship|memory</t>
  </si>
  <si>
    <t>The Other Boleyn Girl </t>
  </si>
  <si>
    <t>children|court|king|king henry viii|love</t>
  </si>
  <si>
    <t>D.B. Woodside</t>
  </si>
  <si>
    <t>Paul Blart: Mall Cop 2 </t>
  </si>
  <si>
    <t>character name in title|no opening credits|sequel|wilhelm scream</t>
  </si>
  <si>
    <t>Joe Somebody </t>
  </si>
  <si>
    <t>bully|co worker|divorce|fight|karate</t>
  </si>
  <si>
    <t>Red Dragon </t>
  </si>
  <si>
    <t>criminal profile|fbi agent|madman|tabloid reporter|tragic villain</t>
  </si>
  <si>
    <t>Blue Crush </t>
  </si>
  <si>
    <t>bikini|female surfer|sister sister relationship|surfing contest|swimsuit</t>
  </si>
  <si>
    <t>Bernie </t>
  </si>
  <si>
    <t>funeral|stockbroker|texas|vacation|widow</t>
  </si>
  <si>
    <t>Biography|Comedy|Documentary</t>
  </si>
  <si>
    <t>Nancy O'Dell</t>
  </si>
  <si>
    <t>Martin Lawrence Live: Runteldat </t>
  </si>
  <si>
    <t>actor name in title|colon in title|four word title|live performance|satire</t>
  </si>
  <si>
    <t>The Martian </t>
  </si>
  <si>
    <t>astronaut|international cooperation|left for dead|nasa|space habitat</t>
  </si>
  <si>
    <t>Eric Bross</t>
  </si>
  <si>
    <t>On the Line </t>
  </si>
  <si>
    <t>based on short film|chicago illinois|el train|love|train</t>
  </si>
  <si>
    <t>Guy Maddin</t>
  </si>
  <si>
    <t>Comedy|Horror|Musical</t>
  </si>
  <si>
    <t>Sarah Murphy-Dyson</t>
  </si>
  <si>
    <t>Dracula: Pages from a Virgin's Diary </t>
  </si>
  <si>
    <t>ballet|cult film|dance|dracula|gothic</t>
  </si>
  <si>
    <t>Bill Paxton</t>
  </si>
  <si>
    <t>Frailty </t>
  </si>
  <si>
    <t>demon|fbi|fbi agent|murder|religious fanatic</t>
  </si>
  <si>
    <t>Pirates of the Caribbean: On Stranger Tides </t>
  </si>
  <si>
    <t>blackbeard|captain|pirate|revenge|soldier</t>
  </si>
  <si>
    <t>Insidious: Chapter 2 </t>
  </si>
  <si>
    <t>barricading a door|injection in leg|police detective|supernatural|taser</t>
  </si>
  <si>
    <t>Natasha Lyonne</t>
  </si>
  <si>
    <t>Everyone Says I Love You </t>
  </si>
  <si>
    <t>engagement|grandfather|liberal|maid|song</t>
  </si>
  <si>
    <t>Scott Hicks</t>
  </si>
  <si>
    <t>Noah Taylor</t>
  </si>
  <si>
    <t>Shine </t>
  </si>
  <si>
    <t>abuse|australia|concert|pianist|piano</t>
  </si>
  <si>
    <t>The Hunger Games: Catching Fire </t>
  </si>
  <si>
    <t>president|snow|television|tour|uprising</t>
  </si>
  <si>
    <t>Nicholas Meyer</t>
  </si>
  <si>
    <t>Star Trek VI: The Undiscovered Country </t>
  </si>
  <si>
    <t>captain|explosion|klingon|moon|peace</t>
  </si>
  <si>
    <t>EugÃ¨ne LouriÃ©</t>
  </si>
  <si>
    <t>Adventure|Horror|Sci-Fi</t>
  </si>
  <si>
    <t>Kenneth Tobey</t>
  </si>
  <si>
    <t>The Beast from 20,000 Fathoms </t>
  </si>
  <si>
    <t>arctic|beast|dinosaur|monster|rhedosaurus</t>
  </si>
  <si>
    <t>Drama|Music|Mystery|Romance|Thriller</t>
  </si>
  <si>
    <t>Abandon </t>
  </si>
  <si>
    <t>college|detective|disappearance|police detective|thesis</t>
  </si>
  <si>
    <t>Martin Dew</t>
  </si>
  <si>
    <t>Inherent Vice </t>
  </si>
  <si>
    <t>1960s|based on novel|ex boyfriend ex girlfriend relationship|southern california|voice over narration</t>
  </si>
  <si>
    <t>Harry Potter and the Chamber of Secrets </t>
  </si>
  <si>
    <t>bildungsroman|flying broom|invisibility cloak|monster|wizardry</t>
  </si>
  <si>
    <t>Stephen Norrington</t>
  </si>
  <si>
    <t>The League of Extraordinary Gentlemen </t>
  </si>
  <si>
    <t>box office flop|captain nemo|dorian gray|invisible man|steampunk</t>
  </si>
  <si>
    <t>Angie Dickinson</t>
  </si>
  <si>
    <t>Dressed to Kill </t>
  </si>
  <si>
    <t>apartment|elevator|murder|psychiatrist|sunglasses</t>
  </si>
  <si>
    <t>Britt Allcroft</t>
  </si>
  <si>
    <t>Thomas and the Magic Railroad </t>
  </si>
  <si>
    <t>locomotive|magic|mountain|railroad|steam locomotive</t>
  </si>
  <si>
    <t>Comedy|Western</t>
  </si>
  <si>
    <t>A Million Ways to Die in the West </t>
  </si>
  <si>
    <t>dancing sheep|fetish|musical scene|racial humor|snake poison</t>
  </si>
  <si>
    <t>Rachel Griffiths</t>
  </si>
  <si>
    <t>Among Giants </t>
  </si>
  <si>
    <t>australian|female armpit hair|friend|sheffield|yorkshire</t>
  </si>
  <si>
    <t>Cry Freedom </t>
  </si>
  <si>
    <t>activist|editor|journalist|newspaper|south africa</t>
  </si>
  <si>
    <t>David G. Evans</t>
  </si>
  <si>
    <t>Michael Joiner</t>
  </si>
  <si>
    <t>The Grace Card </t>
  </si>
  <si>
    <t>christian film|forgiveness|hospital|pastor|police</t>
  </si>
  <si>
    <t>William A. Fraker</t>
  </si>
  <si>
    <t>Jason Robards</t>
  </si>
  <si>
    <t>The Legend of the Lone Ranger </t>
  </si>
  <si>
    <t>ambush|hero|masked hero|outlaw|texas ranger</t>
  </si>
  <si>
    <t>Scary Movie 2 </t>
  </si>
  <si>
    <t>blow job|demon|exorcism|priest|professor</t>
  </si>
  <si>
    <t>I, Robot </t>
  </si>
  <si>
    <t>humanoid robot|man versus machine|prosthetic limb|robot as pathos|robot vs. robot</t>
  </si>
  <si>
    <t>Laws of Attraction </t>
  </si>
  <si>
    <t>date|divorce|divorce lawyer|drinking|lawyer</t>
  </si>
  <si>
    <t>Alejandro Monteverde</t>
  </si>
  <si>
    <t>Bella </t>
  </si>
  <si>
    <t>inter cultural|latino|restaurant|soccer|train</t>
  </si>
  <si>
    <t>Fantasy|Horror|Romance|Thriller</t>
  </si>
  <si>
    <t>Lisa Wilcox</t>
  </si>
  <si>
    <t>A Nightmare on Elm Street 5: The Dream Child </t>
  </si>
  <si>
    <t>child|comic book|dream|murderer|nightmare</t>
  </si>
  <si>
    <t>Action|Adventure|Animation|Family|Fantasy</t>
  </si>
  <si>
    <t>Legend of the Guardians: The Owls of Ga'Hoole </t>
  </si>
  <si>
    <t>barn owl|escape|owl|ruler|soldier</t>
  </si>
  <si>
    <t>Harry Elfont</t>
  </si>
  <si>
    <t>Josie and the Pussycats </t>
  </si>
  <si>
    <t>based on tv series|fictional band|girl band|music industry|pop band</t>
  </si>
  <si>
    <t>Diary of a Wimpy Kid: Rodrick Rules </t>
  </si>
  <si>
    <t>brother|middle school|no opening credits|photograph|school</t>
  </si>
  <si>
    <t>The Ladykillers </t>
  </si>
  <si>
    <t>casino|irony of fate|landlady|professor|remake</t>
  </si>
  <si>
    <t>I Am Sam </t>
  </si>
  <si>
    <t>child custody|custody battle|disability|mentally impaired man|single father</t>
  </si>
  <si>
    <t>Peter MacDonald</t>
  </si>
  <si>
    <t>Rambo III </t>
  </si>
  <si>
    <t>afghanistan|colonel|rambo|rescue|soviet</t>
  </si>
  <si>
    <t>Omar Sy</t>
  </si>
  <si>
    <t>Micmacs </t>
  </si>
  <si>
    <t>bullet|contortionist|gag humor|human cannonball|revenge</t>
  </si>
  <si>
    <t>John Curran</t>
  </si>
  <si>
    <t>Stone </t>
  </si>
  <si>
    <t>arsonist|blood splatter on face|deception|parole|parole officer</t>
  </si>
  <si>
    <t>Lee Toland Krieger</t>
  </si>
  <si>
    <t>The Age of Adaline </t>
  </si>
  <si>
    <t>hit by a pickup truck|immortality|paramedic|resuscitation|san francisco california</t>
  </si>
  <si>
    <t>Babe: Pig in the City </t>
  </si>
  <si>
    <t>animal|farm|farmer|hotel|pig</t>
  </si>
  <si>
    <t>Dolphin Tale </t>
  </si>
  <si>
    <t>boy|dolphin|prosthetics|tail|trap</t>
  </si>
  <si>
    <t>Not Easily Broken </t>
  </si>
  <si>
    <t>african american protagonist|based on novel|title spoken by character</t>
  </si>
  <si>
    <t>Barry W. Blaustein</t>
  </si>
  <si>
    <t>Biography|Documentary|Sport</t>
  </si>
  <si>
    <t>Terry Funk</t>
  </si>
  <si>
    <t>Beyond the Mat </t>
  </si>
  <si>
    <t>championship|drugs|three word title|wrestler|wrestling</t>
  </si>
  <si>
    <t>The Siege </t>
  </si>
  <si>
    <t>abduction|martial law|military|new york city|terrorist</t>
  </si>
  <si>
    <t>All the Real Girls </t>
  </si>
  <si>
    <t>best friend|lake|love|small town|womanizer</t>
  </si>
  <si>
    <t>Invictus </t>
  </si>
  <si>
    <t>apartheid|nation|nelson mandela|president|rugby</t>
  </si>
  <si>
    <t>Adventure|Horror</t>
  </si>
  <si>
    <t>The Green Inferno </t>
  </si>
  <si>
    <t>activist|amazon|color in title|rain|rain forest</t>
  </si>
  <si>
    <t>Tommy Lee Jones</t>
  </si>
  <si>
    <t>The Homesman </t>
  </si>
  <si>
    <t>abusive marriage|pastor|prison wagon|roast pig|suicide by hanging</t>
  </si>
  <si>
    <t>Crime|Drama|Fantasy|Mystery</t>
  </si>
  <si>
    <t>The Green Mile </t>
  </si>
  <si>
    <t>1930s|death row inmate|healing|prison guard|southern u.s.</t>
  </si>
  <si>
    <t>Sherman Alexie</t>
  </si>
  <si>
    <t>William Joseph Elk III</t>
  </si>
  <si>
    <t>The Business of Fancydancing </t>
  </si>
  <si>
    <t>funeral|gay|native american protagonist|poet|reservation</t>
  </si>
  <si>
    <t>The Children of Huang Shi </t>
  </si>
  <si>
    <t>british|communist|journalist|nurse|orphan</t>
  </si>
  <si>
    <t>Duplicity </t>
  </si>
  <si>
    <t>ceo|dubai|product|rivalry|spy</t>
  </si>
  <si>
    <t>Bianca Kajlich</t>
  </si>
  <si>
    <t>30 Minutes or Less </t>
  </si>
  <si>
    <t>bank heist|bank robbery|heist gone wrong|pizza delivery boy|unlikely criminal</t>
  </si>
  <si>
    <t>Reed Cowan</t>
  </si>
  <si>
    <t>Dustin Lance Black</t>
  </si>
  <si>
    <t>8: The Mormon Proposition </t>
  </si>
  <si>
    <t>church|marriage|mormon|mormon church|proposition</t>
  </si>
  <si>
    <t>The Informant! </t>
  </si>
  <si>
    <t>compulsive liar|fbi|informant|investigation|spy</t>
  </si>
  <si>
    <t>Animation|Drama|Family|Fantasy</t>
  </si>
  <si>
    <t>A Christmas Carol </t>
  </si>
  <si>
    <t>charles dickens|christmas|christmas eve|ghost|scrooge</t>
  </si>
  <si>
    <t>Street Kings </t>
  </si>
  <si>
    <t>captain|lapd|murder|undercover cop|violence</t>
  </si>
  <si>
    <t>David Nutter</t>
  </si>
  <si>
    <t>Disturbing Behavior </t>
  </si>
  <si>
    <t>blue ribbon|high school|jacket|jock|yogurt</t>
  </si>
  <si>
    <t>Tadanobu Asano</t>
  </si>
  <si>
    <t>Mongol: The Rise of Genghis Khan </t>
  </si>
  <si>
    <t>epic|genghis khan|one word title|slave|starving</t>
  </si>
  <si>
    <t>Mongolian</t>
  </si>
  <si>
    <t>Action|Adventure|Family|Mystery</t>
  </si>
  <si>
    <t>The Adventures of Tintin </t>
  </si>
  <si>
    <t>captain|morocco|ship|tintin|treasure</t>
  </si>
  <si>
    <t>Blended </t>
  </si>
  <si>
    <t>blind date|children|date|daughter|son</t>
  </si>
  <si>
    <t>Adventure|Animation|Family|Sci-Fi</t>
  </si>
  <si>
    <t>WALL·E </t>
  </si>
  <si>
    <t>earth|obesity|plant|robot|soil</t>
  </si>
  <si>
    <t>Carmen Marron</t>
  </si>
  <si>
    <t>Jossara Jinaro</t>
  </si>
  <si>
    <t>Go for It! </t>
  </si>
  <si>
    <t>exclamation point in title|imperative in title|punctuation in title|three word title</t>
  </si>
  <si>
    <t>House of 1000 Corpses </t>
  </si>
  <si>
    <t>actor playing multiple roles|axe|dark comedy|masked man|sadism</t>
  </si>
  <si>
    <t>Drama|History|War|Western</t>
  </si>
  <si>
    <t>The Alamo </t>
  </si>
  <si>
    <t>army|dictator|general|texan|texas</t>
  </si>
  <si>
    <t>Gary Chapman</t>
  </si>
  <si>
    <t>Adventure|Animation|Comedy|Family|War</t>
  </si>
  <si>
    <t>Valiant </t>
  </si>
  <si>
    <t>dove|falcon|nursing|pigeon|psychological torture</t>
  </si>
  <si>
    <t>Babel </t>
  </si>
  <si>
    <t>american|destiny|mexican border|multiple perspectives|muslim</t>
  </si>
  <si>
    <t>Stefen Fangmeier</t>
  </si>
  <si>
    <t>Eragon </t>
  </si>
  <si>
    <t>dragon|dragon rider|fictional war|sword and fantasy|teenage hero</t>
  </si>
  <si>
    <t>Emilio Estevez</t>
  </si>
  <si>
    <t>Bobby </t>
  </si>
  <si>
    <t>campaign|chess|friend|hotel|senator</t>
  </si>
  <si>
    <t>Joshua Tickell</t>
  </si>
  <si>
    <t>Fuel </t>
  </si>
  <si>
    <t>alternative energy|energy|fuel|green|oil</t>
  </si>
  <si>
    <t>Diary of a Wimpy Kid: Dog Days </t>
  </si>
  <si>
    <t>best friend|camping|country club|no opening credits|summer vacation</t>
  </si>
  <si>
    <t>Stefan Schwartz</t>
  </si>
  <si>
    <t>Peter McNamara</t>
  </si>
  <si>
    <t>Shooting Fish </t>
  </si>
  <si>
    <t>con artist|money|orphan|scam|secretary</t>
  </si>
  <si>
    <t>Quentin Dupieux</t>
  </si>
  <si>
    <t>Haley Ramm</t>
  </si>
  <si>
    <t>Rubber </t>
  </si>
  <si>
    <t>desert|dump|show|spectator|tire</t>
  </si>
  <si>
    <t>Mako</t>
  </si>
  <si>
    <t>Under the Rainbow </t>
  </si>
  <si>
    <t>assassin|hotel|japanese tourist|secret service|wizard of oz</t>
  </si>
  <si>
    <t>Crime|Documentary|Drama</t>
  </si>
  <si>
    <t>Bowling for Columbine </t>
  </si>
  <si>
    <t>bank|columbine|columbine high school killings|firearm|school shooting</t>
  </si>
  <si>
    <t>Taken </t>
  </si>
  <si>
    <t>agent|cia|france|rescue|teenage abduction</t>
  </si>
  <si>
    <t>Fred Walton</t>
  </si>
  <si>
    <t>April Fool's Day </t>
  </si>
  <si>
    <t>april fool's day|island|mansion|psycho|secret</t>
  </si>
  <si>
    <t>Open Season </t>
  </si>
  <si>
    <t>bear|deer|forest|grizzly bear|hunter</t>
  </si>
  <si>
    <t>Action|Adventure|Crime|Drama|Family|Fantasy|Romance|Thriller</t>
  </si>
  <si>
    <t>Reindeer Games </t>
  </si>
  <si>
    <t>casino|christmas|christmas season|girlfriend|release from prison</t>
  </si>
  <si>
    <t>Animation|Comedy|Family|Music|Romance</t>
  </si>
  <si>
    <t>Happy Feet </t>
  </si>
  <si>
    <t>dance|emperor penguin|friend|penguin|song</t>
  </si>
  <si>
    <t>Luc Jacquet</t>
  </si>
  <si>
    <t>March of the Penguins </t>
  </si>
  <si>
    <t>chick|emperor penguin|journey|ocean|penguin</t>
  </si>
  <si>
    <t>Bend It Like Beckham </t>
  </si>
  <si>
    <t>hinduism|marriage engagement|soccer|team|tradition</t>
  </si>
  <si>
    <t>Action|Adventure|Comedy|Crime|Thriller</t>
  </si>
  <si>
    <t>Charlie's Angels </t>
  </si>
  <si>
    <t>booty shake|box office hit|duct tape over mouth|first part|martial arts</t>
  </si>
  <si>
    <t>Elf </t>
  </si>
  <si>
    <t>baby|christmas spirit|elf|new york city|north pole</t>
  </si>
  <si>
    <t>Rio </t>
  </si>
  <si>
    <t>bird|brazilian|cockatoo|macaw|minnesota</t>
  </si>
  <si>
    <t>Barry Watson</t>
  </si>
  <si>
    <t>Boogeyman </t>
  </si>
  <si>
    <t>boogeyman|childhood|fear|hometown|uncle</t>
  </si>
  <si>
    <t>Action|Biography|Drama|History|Romance|War</t>
  </si>
  <si>
    <t>Brian Blessed</t>
  </si>
  <si>
    <t>Henry V </t>
  </si>
  <si>
    <t>battle|battle of agincourt|king|shakespeare play|sword and shield</t>
  </si>
  <si>
    <t>No Country for Old Men </t>
  </si>
  <si>
    <t>coin toss|desert|sheriff|texas|tracking device</t>
  </si>
  <si>
    <t>Alien </t>
  </si>
  <si>
    <t>alien|creature|future|outer space|spaceship</t>
  </si>
  <si>
    <t>Richard Shepard</t>
  </si>
  <si>
    <t>The Matador </t>
  </si>
  <si>
    <t>bar|hitman|luck|mexico|mexico city</t>
  </si>
  <si>
    <t>The Descendants </t>
  </si>
  <si>
    <t>boating accident|daughters|father daughter relationship|hospital|marriage</t>
  </si>
  <si>
    <t>Marco TreviÃ±o</t>
  </si>
  <si>
    <t>The 33 </t>
  </si>
  <si>
    <t>disaster movie|mine|minister|president|trapped in a mine</t>
  </si>
  <si>
    <t>Chile</t>
  </si>
  <si>
    <t>Black Rain </t>
  </si>
  <si>
    <t>counterfeit|detective|japan|police chase|yakuza</t>
  </si>
  <si>
    <t>Master and Commander: The Far Side of the World </t>
  </si>
  <si>
    <t>1800s|napoleonic wars|pursuit|royal navy|ship</t>
  </si>
  <si>
    <t>Last Holiday </t>
  </si>
  <si>
    <t>chef|congressman|cook|hotel|senator</t>
  </si>
  <si>
    <t>Fede Alvarez</t>
  </si>
  <si>
    <t>Lou Taylor Pucci</t>
  </si>
  <si>
    <t>Evil Dead </t>
  </si>
  <si>
    <t>book of the dead|demon|h.p. lovecraft|lesbian kiss|promise</t>
  </si>
  <si>
    <t>Adventure|Fantasy|Mystery|Thriller</t>
  </si>
  <si>
    <t>Nicholas Rowe</t>
  </si>
  <si>
    <t>Young Sherlock Holmes </t>
  </si>
  <si>
    <t>cult|death|delusion|girl|sherlock holmes</t>
  </si>
  <si>
    <t>Untraceable </t>
  </si>
  <si>
    <t>cat|fbi agent|murder|serial killer|website</t>
  </si>
  <si>
    <t>John August</t>
  </si>
  <si>
    <t>My Date with Drew </t>
  </si>
  <si>
    <t>actress name in title|crush|date|four word title|video camera</t>
  </si>
  <si>
    <t>Basic </t>
  </si>
  <si>
    <t>2000s|army|military crime|necklace yanked off|panama</t>
  </si>
  <si>
    <t>Richard Lawson</t>
  </si>
  <si>
    <t>How Stella Got Her Groove Back </t>
  </si>
  <si>
    <t>female protagonist|jamaica|six word title|tragic event|vacation</t>
  </si>
  <si>
    <t>Action|Adventure|Family|Fantasy|Thriller</t>
  </si>
  <si>
    <t>Mighty Joe Young </t>
  </si>
  <si>
    <t>animal|california|gorilla|hunter|poacher</t>
  </si>
  <si>
    <t>Giancarlo Giannini</t>
  </si>
  <si>
    <t>Quantum of Solace </t>
  </si>
  <si>
    <t>action hero|attempted rape|bond girl|official james bond series|revenge</t>
  </si>
  <si>
    <t>Adventure|Drama|War</t>
  </si>
  <si>
    <t>William Holden</t>
  </si>
  <si>
    <t>The Bridge on the River Kwai </t>
  </si>
  <si>
    <t>allies|bridge|construction|jungle|sabotage</t>
  </si>
  <si>
    <t>The Chronicles of Narnia: The Lion, the Witch and the Wardrobe </t>
  </si>
  <si>
    <t>hide and seek|lion|magic|professor|snow</t>
  </si>
  <si>
    <t>True Lies </t>
  </si>
  <si>
    <t>espionage|secret agent|secret mission|spy|spy film</t>
  </si>
  <si>
    <t>Peter Billingsley</t>
  </si>
  <si>
    <t>Couples Retreat </t>
  </si>
  <si>
    <t>couple|island|marriage|tropical|voyeurism</t>
  </si>
  <si>
    <t>The Mechanic </t>
  </si>
  <si>
    <t>apprentice|disobeying orders|gas station|hitman|nightclub</t>
  </si>
  <si>
    <t>Hero </t>
  </si>
  <si>
    <t>china|flying|king|palace|sword</t>
  </si>
  <si>
    <t>A Time to Kill </t>
  </si>
  <si>
    <t>african american|court|law|mississippi|trial</t>
  </si>
  <si>
    <t>Nat Faxon</t>
  </si>
  <si>
    <t>The Way Way Back </t>
  </si>
  <si>
    <t>awkward boy|shy kid|summer|vacation|water park</t>
  </si>
  <si>
    <t>Stanley Tong</t>
  </si>
  <si>
    <t>FranÃ§oise Yip</t>
  </si>
  <si>
    <t>Rumble in the Bronx </t>
  </si>
  <si>
    <t>fight|gang|greed|street gang|wedding</t>
  </si>
  <si>
    <t>Michael Rymer</t>
  </si>
  <si>
    <t>Aaliyah</t>
  </si>
  <si>
    <t>Queen of the Damned </t>
  </si>
  <si>
    <t>fatal attraction|interspecies romance|queen|supernatural power|vampire</t>
  </si>
  <si>
    <t>Drama|Family|Music|Romance</t>
  </si>
  <si>
    <t>The Last Song </t>
  </si>
  <si>
    <t>beach|fire|love|pianist|summer</t>
  </si>
  <si>
    <t>Finding Nemo </t>
  </si>
  <si>
    <t>great barrier reef|protective father|separation from family|shark|short term memory loss</t>
  </si>
  <si>
    <t>John Belushi</t>
  </si>
  <si>
    <t>Animal House </t>
  </si>
  <si>
    <t>academic probation|camera shot of feet|fraternity|school expulsion|smashing a guitar</t>
  </si>
  <si>
    <t>Adam Rifkin</t>
  </si>
  <si>
    <t>Detroit Rock City </t>
  </si>
  <si>
    <t>band|concert|high school|kiss|teenager</t>
  </si>
  <si>
    <t>Tyler Labine</t>
  </si>
  <si>
    <t>Antitrust </t>
  </si>
  <si>
    <t>boss|communications|computer|genius|job</t>
  </si>
  <si>
    <t>Animation|Comedy|Family|Music|Western</t>
  </si>
  <si>
    <t>Home on the Range </t>
  </si>
  <si>
    <t>cattle|cow|dairy farm|farm|rustler</t>
  </si>
  <si>
    <t>Christmas with the Kranks </t>
  </si>
  <si>
    <t>act of kindness|christmas|christmas eve|neighbor|vacation</t>
  </si>
  <si>
    <t>A Prairie Home Companion </t>
  </si>
  <si>
    <t>backstage|country music|cowboy|radio|singing</t>
  </si>
  <si>
    <t>Joseph Zito</t>
  </si>
  <si>
    <t>Judie Aronson</t>
  </si>
  <si>
    <t>Friday the 13th: The Final Chapter </t>
  </si>
  <si>
    <t>friday the thirteenth|hockey mask|jason voorhees|morgue|slasher</t>
  </si>
  <si>
    <t>Small Time Crooks </t>
  </si>
  <si>
    <t>apartment building|crook|new york city|three word title|written and directed by cast member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</si>
  <si>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</si>
  <si>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</si>
  <si>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</si>
  <si>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</si>
  <si>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Julian Schnabel</t>
  </si>
  <si>
    <t>Basquiat </t>
  </si>
  <si>
    <t>andy warhol|art|artist|friendship|street artist</t>
  </si>
  <si>
    <t>The Good Girl </t>
  </si>
  <si>
    <t>dysfunctional marriage|marijuana|small town|store|trying to conceive</t>
  </si>
  <si>
    <t>Adventure|Comedy|Drama|Fantasy|Musical</t>
  </si>
  <si>
    <t>Into the Woods </t>
  </si>
  <si>
    <t>based on stage musical|cinderella|little red riding hood|singing|witch</t>
  </si>
  <si>
    <t>Stepmom </t>
  </si>
  <si>
    <t>attorney|cancer|custody|fashion photographer|photographer</t>
  </si>
  <si>
    <t>The Animal </t>
  </si>
  <si>
    <t>camera focus on a female butt|cartoon on tv|forest|hairy buttocks|seal the animal</t>
  </si>
  <si>
    <t>Colin Higgins</t>
  </si>
  <si>
    <t>The Best Little Whorehouse in Texas </t>
  </si>
  <si>
    <t>chicken|governor|locker room|sheriff|texas</t>
  </si>
  <si>
    <t>Phone Booth </t>
  </si>
  <si>
    <t>phone booth|publicist|single set production|sniper|sniper rifle</t>
  </si>
  <si>
    <t>Someone Like You... </t>
  </si>
  <si>
    <t>apartment|girl in panties|roommate|thong panties|upskirt</t>
  </si>
  <si>
    <t>Jeff, Who Lives at Home </t>
  </si>
  <si>
    <t>basement|errand|secret admirer|slacker|wrong number</t>
  </si>
  <si>
    <t>Drama|Fantasy|Sport</t>
  </si>
  <si>
    <t>The Legend of Bagger Vance </t>
  </si>
  <si>
    <t>caddy|game|golf|golf course|golfer</t>
  </si>
  <si>
    <t>Miss Potter </t>
  </si>
  <si>
    <t>book|children|friend|illustrator|letter</t>
  </si>
  <si>
    <t>Comedy|Horror|Musical|Sci-Fi</t>
  </si>
  <si>
    <t>Little Shop of Horrors </t>
  </si>
  <si>
    <t>eclipse|florist|nerd|plant|shop</t>
  </si>
  <si>
    <t>Action|Drama|Mystery|Thriller</t>
  </si>
  <si>
    <t>Eraser </t>
  </si>
  <si>
    <t>assassination attempt|corporate crime|rogue agent|witness|witness protection program</t>
  </si>
  <si>
    <t>Out of Sight </t>
  </si>
  <si>
    <t>heist|neo noir|one last job|opposites attract|u.s. marshal</t>
  </si>
  <si>
    <t>Wilson Yip</t>
  </si>
  <si>
    <t>Action|Biography|Drama|History</t>
  </si>
  <si>
    <t>Mike Tyson</t>
  </si>
  <si>
    <t>Ip Man 3 </t>
  </si>
  <si>
    <t>1950s|cancer|hong kong|martial arts school|wing chun</t>
  </si>
  <si>
    <t>Bad Boys </t>
  </si>
  <si>
    <t>drugs|heroin|murder|police|witness</t>
  </si>
  <si>
    <t>The Killer Inside Me </t>
  </si>
  <si>
    <t>deputy|murder|revenge|sheriff|texas</t>
  </si>
  <si>
    <t>Christian Clemenson</t>
  </si>
  <si>
    <t>United 93 </t>
  </si>
  <si>
    <t>flight|passenger|plane|september 11 2001|terrorist</t>
  </si>
  <si>
    <t>Michael Clayton </t>
  </si>
  <si>
    <t>attorney|debt|fixer|law|law firm</t>
  </si>
  <si>
    <t>Efram Potelle</t>
  </si>
  <si>
    <t>Shiri Appleby</t>
  </si>
  <si>
    <t>The Battle of Shaker Heights </t>
  </si>
  <si>
    <t>bully comeuppance|high school|painter|reference to led zeppelin|wetting pants</t>
  </si>
  <si>
    <t>Action|Comedy|Crime|Sci-Fi|Thriller</t>
  </si>
  <si>
    <t>The Green Hornet </t>
  </si>
  <si>
    <t>heir|kung fu|party|playboy|superhero</t>
  </si>
  <si>
    <t>Driven </t>
  </si>
  <si>
    <t>car race|german|race car|race car driver|rookie</t>
  </si>
  <si>
    <t>Bullet to the Head </t>
  </si>
  <si>
    <t>bar|bullet|corruption|detective|lawyer</t>
  </si>
  <si>
    <t>Witness </t>
  </si>
  <si>
    <t>amish|love|murder|police|train</t>
  </si>
  <si>
    <t>My Blueberry Nights </t>
  </si>
  <si>
    <t>blueberry pie|diner|nevada|new york city|pie</t>
  </si>
  <si>
    <t>Conan the Destroyer </t>
  </si>
  <si>
    <t>gods|princess|queen|rescue|wizard</t>
  </si>
  <si>
    <t>Michael Jeter</t>
  </si>
  <si>
    <t>Jurassic Park III </t>
  </si>
  <si>
    <t>dinosaur|island|jurassic park|paleontologist|search</t>
  </si>
  <si>
    <t>Gena Rowlands</t>
  </si>
  <si>
    <t>The Skeleton Key </t>
  </si>
  <si>
    <t>attic|bound and gagged|hoodoo|secret|southern gothic</t>
  </si>
  <si>
    <t>Boogie Nights </t>
  </si>
  <si>
    <t>1970s|adult entertainment industry|nightclub|porn industry|san fernando valley california</t>
  </si>
  <si>
    <t>Adventure|Comedy|Romance</t>
  </si>
  <si>
    <t>Katrina Bowden</t>
  </si>
  <si>
    <t>Sex Drive </t>
  </si>
  <si>
    <t>amish|friend|friendship|high school|virgin</t>
  </si>
  <si>
    <t>Salvador Carrasco</t>
  </si>
  <si>
    <t>Elpidia Carrillo</t>
  </si>
  <si>
    <t>La otra conquista </t>
  </si>
  <si>
    <t>1520s|aztec|indian|spanish colonization|spanish conquest</t>
  </si>
  <si>
    <t>Chris Kentis</t>
  </si>
  <si>
    <t>Eric Sheffer Stevens</t>
  </si>
  <si>
    <t>Silent House </t>
  </si>
  <si>
    <t>bound and gagged|girl|haunted house|hearing noises|uninterrupted shot</t>
  </si>
  <si>
    <t>Shane Carruth</t>
  </si>
  <si>
    <t>Primer </t>
  </si>
  <si>
    <t>changing the future|independent film|invention|nonlinear timeline|time travel</t>
  </si>
  <si>
    <t>Eye for an Eye </t>
  </si>
  <si>
    <t>justice|rape|self defense|support group|vigilante</t>
  </si>
  <si>
    <t>Downfall </t>
  </si>
  <si>
    <t>bunker|hitler|nazi|no exit|war ruins</t>
  </si>
  <si>
    <t>Georgia Rule </t>
  </si>
  <si>
    <t>alcoholic|rules|secret|summer|teenager</t>
  </si>
  <si>
    <t>Percy Jackson: Sea of Monsters </t>
  </si>
  <si>
    <t>golden fleece|half brother|magical tree|sea|tree</t>
  </si>
  <si>
    <t>Akiva Goldsman</t>
  </si>
  <si>
    <t>Drama|Fantasy|Mystery|Romance</t>
  </si>
  <si>
    <t>Winter's Tale </t>
  </si>
  <si>
    <t>black and white photograph|drawing with blood|falling through ice|playing piano|red haired woman</t>
  </si>
  <si>
    <t>Marshall Bell</t>
  </si>
  <si>
    <t>Stand by Me </t>
  </si>
  <si>
    <t>friendship|summertime|treehouse|walking on train tracks|woods</t>
  </si>
  <si>
    <t>Luca Guadagnino</t>
  </si>
  <si>
    <t>Flavio Parenti</t>
  </si>
  <si>
    <t>I Am Love </t>
  </si>
  <si>
    <t>chef|friend|italy|restaurant|russian</t>
  </si>
  <si>
    <t>Steve Carver</t>
  </si>
  <si>
    <t>Lone Wolf McQuade </t>
  </si>
  <si>
    <t>drugs|martial arts|texas|texas ranger|weapon</t>
  </si>
  <si>
    <t>David S. Ward</t>
  </si>
  <si>
    <t>Major League </t>
  </si>
  <si>
    <t>cleveland indians|league|manager|owner|team</t>
  </si>
  <si>
    <t>Ed Decter</t>
  </si>
  <si>
    <t>The New Guy </t>
  </si>
  <si>
    <t>cheerleader|geek|high school|prison|reference to janet jackson</t>
  </si>
  <si>
    <t>Christophe Barratier</t>
  </si>
  <si>
    <t>Jean-Baptiste Maunier</t>
  </si>
  <si>
    <t>The Chorus </t>
  </si>
  <si>
    <t>boarding school|boy|choir|school|teacher</t>
  </si>
  <si>
    <t>Fred Savage</t>
  </si>
  <si>
    <t>Daddy Day Camp </t>
  </si>
  <si>
    <t>competition|estranged father|skunk|summer camp|wall</t>
  </si>
  <si>
    <t>Mike Figgis</t>
  </si>
  <si>
    <t>The Loss of Sexual Innocence </t>
  </si>
  <si>
    <t>1950s|italian|murder|tunisia|vomiting</t>
  </si>
  <si>
    <t>Jackie Brown </t>
  </si>
  <si>
    <t>arms dealer|atf|bail|money|multiple perspectives</t>
  </si>
  <si>
    <t>Sanaa Lathan</t>
  </si>
  <si>
    <t>Blade </t>
  </si>
  <si>
    <t>1990s|blade|blood|vampire|vampire hunter</t>
  </si>
  <si>
    <t>The Break-Up </t>
  </si>
  <si>
    <t>art|break up|football video game|kitchen|talking to one's self in a mirror</t>
  </si>
  <si>
    <t>Mark Duplass</t>
  </si>
  <si>
    <t>The Puffy Chair </t>
  </si>
  <si>
    <t>birthday|gift|motel|new york city|upholsterer</t>
  </si>
  <si>
    <t>Ti West</t>
  </si>
  <si>
    <t>The House of the Devil </t>
  </si>
  <si>
    <t>cult film|eclipse|haunted house|lunar eclipse|secret</t>
  </si>
  <si>
    <t>Del Zamora</t>
  </si>
  <si>
    <t>Town &amp; Country </t>
  </si>
  <si>
    <t>anniversary|architect|cellist|friend|hardware store</t>
  </si>
  <si>
    <t>New Line</t>
  </si>
  <si>
    <t>The Ugly Truth </t>
  </si>
  <si>
    <t>call in|chick flick|date|hot air balloon|show producer</t>
  </si>
  <si>
    <t>The Muse </t>
  </si>
  <si>
    <t>directed by star|muse|satire|screenwriter|tiffany's</t>
  </si>
  <si>
    <t>Joe Pytka</t>
  </si>
  <si>
    <t>Adventure|Animation|Comedy|Family|Fantasy|Sci-Fi|Sport</t>
  </si>
  <si>
    <t>Space Jam </t>
  </si>
  <si>
    <t>alien|basketball|basketball game|cult film|monstars</t>
  </si>
  <si>
    <t>David Soren</t>
  </si>
  <si>
    <t>Turbo </t>
  </si>
  <si>
    <t>accident|freak accident|race|snail|underdog</t>
  </si>
  <si>
    <t>Scoop </t>
  </si>
  <si>
    <t>english garden|fake drowning|fake parent|musical instrument|poker the card game</t>
  </si>
  <si>
    <t>Goal! The Dream Begins </t>
  </si>
  <si>
    <t>barrio|border|newcastle united|party|soccer</t>
  </si>
  <si>
    <t>Tony Maylam</t>
  </si>
  <si>
    <t>Action|Crime|Horror|Sci-Fi|Thriller</t>
  </si>
  <si>
    <t>Michael J. Pollard</t>
  </si>
  <si>
    <t>Split Second </t>
  </si>
  <si>
    <t>appearing from water|breasts|creature|partner|water</t>
  </si>
  <si>
    <t>Nowhere to Run </t>
  </si>
  <si>
    <t>business|escaped convict|farm|motorcycle|widow</t>
  </si>
  <si>
    <t>The Hoax </t>
  </si>
  <si>
    <t>book|fabrication|fake|hoax|manuscript</t>
  </si>
  <si>
    <t>George Cukor</t>
  </si>
  <si>
    <t>Jeremy Brett</t>
  </si>
  <si>
    <t>My Fair Lady </t>
  </si>
  <si>
    <t>colonel|flower girl|professor|street|wager</t>
  </si>
  <si>
    <t>Mark Mylod</t>
  </si>
  <si>
    <t>What's Your Number? </t>
  </si>
  <si>
    <t>ex boyfriend|morning after|prince charming|quarrel|womanizer</t>
  </si>
  <si>
    <t>Damien Dante Wayans</t>
  </si>
  <si>
    <t>Action|Comedy|Music</t>
  </si>
  <si>
    <t>Damon Wayans Jr.</t>
  </si>
  <si>
    <t>Dance Flick </t>
  </si>
  <si>
    <t>african american|dance|overalls|parody|rap</t>
  </si>
  <si>
    <t>Legally Blonde </t>
  </si>
  <si>
    <t>blonde|harvard|law|law school|sorority</t>
  </si>
  <si>
    <t>Jim Mickle</t>
  </si>
  <si>
    <t>Connor Paolo</t>
  </si>
  <si>
    <t>Stake Land </t>
  </si>
  <si>
    <t>canada|post apocalypse|road movie|vampire|vampire hunter</t>
  </si>
  <si>
    <t>Lucas Grabeel</t>
  </si>
  <si>
    <t>High School Musical 3: Senior Year </t>
  </si>
  <si>
    <t>basketball|curtain call|graduation|high school|high school senior</t>
  </si>
  <si>
    <t>Carl Rinsch</t>
  </si>
  <si>
    <t>47 Ronin </t>
  </si>
  <si>
    <t>box office flop|ronin|samurai|shogun|tournament</t>
  </si>
  <si>
    <t>The Curious Case of Benjamin Button </t>
  </si>
  <si>
    <t>deformed baby|diary|lingerie slip|older man younger woman relationship|premature aging</t>
  </si>
  <si>
    <t>Sue Corcoran</t>
  </si>
  <si>
    <t>Comedy|Fantasy|Horror|Musical</t>
  </si>
  <si>
    <t>Tony Doupe</t>
  </si>
  <si>
    <t>Gory Gory Hallelujah </t>
  </si>
  <si>
    <t>conspiracy|feminist|hippie|motorcycle|slapstick comedy</t>
  </si>
  <si>
    <t>Stuart Gillard</t>
  </si>
  <si>
    <t>Paige Turco</t>
  </si>
  <si>
    <t>Teenage Mutant Ninja Turtles III </t>
  </si>
  <si>
    <t>battle|japan|magic|samurai|turtle</t>
  </si>
  <si>
    <t>The Lords of Salem </t>
  </si>
  <si>
    <t>blood|flashback|radio dj|radio station|vinyl</t>
  </si>
  <si>
    <t>Nixon </t>
  </si>
  <si>
    <t>courtship|election|paranoia|president|quaker</t>
  </si>
  <si>
    <t>Stacy Edwards</t>
  </si>
  <si>
    <t>In the Company of Men </t>
  </si>
  <si>
    <t>business trip|love|misogynist|office|secretary</t>
  </si>
  <si>
    <t>Captain America: The First Avenger </t>
  </si>
  <si>
    <t>arctic|captain america|scientist|tesseract|war bond</t>
  </si>
  <si>
    <t>Sylvain Chomet</t>
  </si>
  <si>
    <t>Animation|Comedy|Drama</t>
  </si>
  <si>
    <t>Michel Robin</t>
  </si>
  <si>
    <t>The Triplets of Belleville </t>
  </si>
  <si>
    <t>belleville|dog|mafia|tour de france|very little dialogue</t>
  </si>
  <si>
    <t>Nathan Greno</t>
  </si>
  <si>
    <t>Adventure|Animation|Comedy|Family|Fantasy|Musical|Romance</t>
  </si>
  <si>
    <t>Brad Garrett</t>
  </si>
  <si>
    <t>Tangled </t>
  </si>
  <si>
    <t>17th century|based on fairy tale|disney|flower|tower</t>
  </si>
  <si>
    <t>Birdman or (The Unexpected Virtue of Ignorance) </t>
  </si>
  <si>
    <t>actor|artist|broadway play|replacement|stage</t>
  </si>
  <si>
    <t>Tuesday Knight</t>
  </si>
  <si>
    <t>A Nightmare on Elm Street 4: The Dream Master </t>
  </si>
  <si>
    <t>demon|dream|elm street|freddy krueger|nightmare</t>
  </si>
  <si>
    <t>The Secret Life of Bees </t>
  </si>
  <si>
    <t>beekeeping|insect in title|racism|sister|south carolina</t>
  </si>
  <si>
    <t>A Home at the End of the World </t>
  </si>
  <si>
    <t>hand job|hugging|long hair|new york city|two men one woman</t>
  </si>
  <si>
    <t>Dear Wendy </t>
  </si>
  <si>
    <t>gang|gun|loner|love|outcast</t>
  </si>
  <si>
    <t>Christopher Nicholas Smith</t>
  </si>
  <si>
    <t>Enough Said </t>
  </si>
  <si>
    <t>dating|divorcee|ex husband|ex wife|party</t>
  </si>
  <si>
    <t>Pretty Woman </t>
  </si>
  <si>
    <t>businessman|falling in love with a prostitute|hotel|prostitute|rich man poor woman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</si>
  <si>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</si>
  <si>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</si>
  <si>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</si>
  <si>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</si>
  <si>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The Astronaut Farmer </t>
  </si>
  <si>
    <t>bank|fbi|fuel|rocket|space travel</t>
  </si>
  <si>
    <t>Cats &amp; Dogs: The Revenge of Kitty Galore </t>
  </si>
  <si>
    <t>cartoon on tv|cat|dog|kitty|special agent</t>
  </si>
  <si>
    <t>Justin Kerrigan</t>
  </si>
  <si>
    <t>Danny Dyer</t>
  </si>
  <si>
    <t>Human Traffic </t>
  </si>
  <si>
    <t>friday|friend|hip hop|techno rave|weekend</t>
  </si>
  <si>
    <t>Nelson McCormick</t>
  </si>
  <si>
    <t>Prom Night </t>
  </si>
  <si>
    <t>friend|hotel|killer|murder|prom</t>
  </si>
  <si>
    <t>Ricki Stern</t>
  </si>
  <si>
    <t>Crime|Documentary</t>
  </si>
  <si>
    <t>Darryl Hunt</t>
  </si>
  <si>
    <t>The Trials of Darryl Hunt </t>
  </si>
  <si>
    <t>false accusation|murder|north carolina|trial|wrongful conviction</t>
  </si>
  <si>
    <t>Kyle Balda</t>
  </si>
  <si>
    <t>Minions </t>
  </si>
  <si>
    <t>antarctica|minion|queen|super villain|villain</t>
  </si>
  <si>
    <t>Parental Guidance </t>
  </si>
  <si>
    <t>chores|father figure|helicopter parents|in laws|punishment</t>
  </si>
  <si>
    <t>Wanted </t>
  </si>
  <si>
    <t>assassin|bobble head doll|femme fatale|rejuvenation|strong female lead</t>
  </si>
  <si>
    <t>Josh Boone</t>
  </si>
  <si>
    <t>The Fault in Our Stars </t>
  </si>
  <si>
    <t>cancer|falling in love|friendship|novel|teenager</t>
  </si>
  <si>
    <t>Taylor Cole</t>
  </si>
  <si>
    <t>12 Rounds </t>
  </si>
  <si>
    <t>2000s|detective|sadist|terrorism|terrorist</t>
  </si>
  <si>
    <t>Born on the Fourth of July </t>
  </si>
  <si>
    <t>desert|drunkenness|religious mother|strict mother|vietnam war</t>
  </si>
  <si>
    <t>Mia Farrow</t>
  </si>
  <si>
    <t>Arthur and the Invisibles </t>
  </si>
  <si>
    <t>boy|debt|garden|princess|treasure</t>
  </si>
  <si>
    <t>Zal Batmanglij</t>
  </si>
  <si>
    <t>Alexander SkarsgÃ¥rd</t>
  </si>
  <si>
    <t>The East </t>
  </si>
  <si>
    <t>anarchist|corporation|greedy institution|vomiting|watching television</t>
  </si>
  <si>
    <t>Gran Torino </t>
  </si>
  <si>
    <t>gang|gang rape|hmong|teenager|widower</t>
  </si>
  <si>
    <t>Legends of the Fall </t>
  </si>
  <si>
    <t>epic|heart|killing an animal|passion|usa</t>
  </si>
  <si>
    <t>What Lies Beneath </t>
  </si>
  <si>
    <t>ghost|haunted house|research|secret|vermont</t>
  </si>
  <si>
    <t>Catherine Dyer</t>
  </si>
  <si>
    <t>The Blind Side </t>
  </si>
  <si>
    <t>american football|based on true story|football star|high school football|left tackle</t>
  </si>
  <si>
    <t>Did You Hear About the Morgans? </t>
  </si>
  <si>
    <t>fbi|murder|witness|witness protection|wyoming</t>
  </si>
  <si>
    <t>Captain America: Civil War </t>
  </si>
  <si>
    <t>based on comic book|knife|marvel cinematic universe|returning character killed off|superhero</t>
  </si>
  <si>
    <t>Adventure|Comedy|Family|Fantasy|Horror|Mystery</t>
  </si>
  <si>
    <t>Scooby-Doo 2: Monsters Unleashed </t>
  </si>
  <si>
    <t>ghost|masked villain|monster|museum|tv</t>
  </si>
  <si>
    <t>Sharon Small</t>
  </si>
  <si>
    <t>About a Boy </t>
  </si>
  <si>
    <t>boy|friend|imaginary son|single father|single mother</t>
  </si>
  <si>
    <t>Jerry Zaks</t>
  </si>
  <si>
    <t>Marvin's Room </t>
  </si>
  <si>
    <t>house|leukemia|mental institution|nursing home|transplant</t>
  </si>
  <si>
    <t>I Spy </t>
  </si>
  <si>
    <t>boxer|espionage|spy|stealth|top secret</t>
  </si>
  <si>
    <t>Journey 2: The Mysterious Island </t>
  </si>
  <si>
    <t>gold|hurricane|island|mountain|mysterious island</t>
  </si>
  <si>
    <t>A League of Their Own </t>
  </si>
  <si>
    <t>baseball|friend|oregon|rivalry|softball</t>
  </si>
  <si>
    <t>Scott Ziehl</t>
  </si>
  <si>
    <t>Broken Vessels </t>
  </si>
  <si>
    <t>independent film|katana sword|los angeles storm drain</t>
  </si>
  <si>
    <t>Raymond Cruz</t>
  </si>
  <si>
    <t>Collateral Damage </t>
  </si>
  <si>
    <t>bare chested boy|car explosion|colombia|explosion|terrorism</t>
  </si>
  <si>
    <t>Gary David Goldberg</t>
  </si>
  <si>
    <t>Must Love Dogs </t>
  </si>
  <si>
    <t>date|dating|dog|love|teacher</t>
  </si>
  <si>
    <t>Action|Crime|Mystery|Sci-Fi|Thriller</t>
  </si>
  <si>
    <t>Escape Plan </t>
  </si>
  <si>
    <t>cia agent|escape|muslim|prison|ship</t>
  </si>
  <si>
    <t>Sean Patrick Thomas</t>
  </si>
  <si>
    <t>Save the Last Dance </t>
  </si>
  <si>
    <t>dance|dancing|ghetto|hip hop|imperative in title</t>
  </si>
  <si>
    <t>Leigh Whannell</t>
  </si>
  <si>
    <t>Insidious: Chapter 3 </t>
  </si>
  <si>
    <t>demon|possession|psychic|supernatural|teenager</t>
  </si>
  <si>
    <t>Zoolander 2 </t>
  </si>
  <si>
    <t>chosen one|fashion|fashion model|model|retired</t>
  </si>
  <si>
    <t>Peter Faiman</t>
  </si>
  <si>
    <t>Crocodile Dundee </t>
  </si>
  <si>
    <t>australian outback|crocodile|female reporter|journalist|new york city</t>
  </si>
  <si>
    <t>Tsotsi </t>
  </si>
  <si>
    <t>baby|bathing a baby|criminal|slum|vomiting</t>
  </si>
  <si>
    <t>Zulu</t>
  </si>
  <si>
    <t>James Isaac</t>
  </si>
  <si>
    <t>Peter Mensah</t>
  </si>
  <si>
    <t>Jason X </t>
  </si>
  <si>
    <t>jason voorhees|lake|machete|scientist|slasher</t>
  </si>
  <si>
    <t>J.D. Evermore</t>
  </si>
  <si>
    <t>The Host </t>
  </si>
  <si>
    <t>alien|alien creature|body snatching|desert|parasite</t>
  </si>
  <si>
    <t>Jingle All the Way </t>
  </si>
  <si>
    <t>action figure|christmas|hero|karate|toy</t>
  </si>
  <si>
    <t>Tango &amp; Cash </t>
  </si>
  <si>
    <t>1980s|80s action|escape|plea bargain|prison</t>
  </si>
  <si>
    <t>Morgan Neville</t>
  </si>
  <si>
    <t>Sheryl Crow</t>
  </si>
  <si>
    <t>20 Feet from Stardom </t>
  </si>
  <si>
    <t>backup singer|band|bechdel test passed|concert footage|singer</t>
  </si>
  <si>
    <t>Documentary|Drama|War</t>
  </si>
  <si>
    <t>Osama bin Laden</t>
  </si>
  <si>
    <t>Fahrenheit 9/11 </t>
  </si>
  <si>
    <t>anti war|interview|iraq|paranoia|war on terrorism</t>
  </si>
  <si>
    <t>Analyze This </t>
  </si>
  <si>
    <t>analyst|mafia|patient|psychiatrist|wedding</t>
  </si>
  <si>
    <t>Ghost Rider: Spirit of Vengeance </t>
  </si>
  <si>
    <t>deal with the devil|devil|eastern europe|ghost rider|monk</t>
  </si>
  <si>
    <t>The Replacements </t>
  </si>
  <si>
    <t>coach|football player|misfits|strike|sumo wrestler</t>
  </si>
  <si>
    <t>American Pie </t>
  </si>
  <si>
    <t>1990s|first love|milf|prom|virginity</t>
  </si>
  <si>
    <t>The International </t>
  </si>
  <si>
    <t>bank|chase|district attorney|interpol|murder</t>
  </si>
  <si>
    <t>Dinesh D'Souza</t>
  </si>
  <si>
    <t>Barack Obama</t>
  </si>
  <si>
    <t>2016: Obama's America </t>
  </si>
  <si>
    <t>critically bashed|partisan commentary|political propoganda|punctuation in title|reenactment</t>
  </si>
  <si>
    <t>Horror|Musical|Sci-Fi</t>
  </si>
  <si>
    <t>Repo! The Genetic Opera </t>
  </si>
  <si>
    <t>future|murder|opera|repossession|surgery</t>
  </si>
  <si>
    <t>Bowfinger </t>
  </si>
  <si>
    <t>film within a film|filmmaking|guerrilla filmmaking|making of a movie|scientology parody</t>
  </si>
  <si>
    <t>The Waterboy </t>
  </si>
  <si>
    <t>coach|college|college football|domineering mother|football</t>
  </si>
  <si>
    <t>James Gray</t>
  </si>
  <si>
    <t>Two Lovers </t>
  </si>
  <si>
    <t>jewish|love|married man|neighbor|photograph</t>
  </si>
  <si>
    <t>Jodie Foster</t>
  </si>
  <si>
    <t>Money Monster </t>
  </si>
  <si>
    <t>death|hostage|money|shot in the chest|shot in the heart</t>
  </si>
  <si>
    <t>Action|Adventure|Drama|Romance|Thriller</t>
  </si>
  <si>
    <t>The Count of Monte Cristo </t>
  </si>
  <si>
    <t>count|escape|island|revenge|sailor</t>
  </si>
  <si>
    <t>Predator </t>
  </si>
  <si>
    <t>box office hit|commando|death of friend|jungle|severed arm</t>
  </si>
  <si>
    <t>Girl, Interrupted </t>
  </si>
  <si>
    <t>1960s|father daughter incest|mental hospital|suicide|suicide attempt</t>
  </si>
  <si>
    <t>Barbershop </t>
  </si>
  <si>
    <t>barber|barbershop|blaxploitation|loan shark|theft</t>
  </si>
  <si>
    <t>Niels Arden Oplev</t>
  </si>
  <si>
    <t>Dead Man Down </t>
  </si>
  <si>
    <t>crime lord|dead body|dead body in a freezer|new york city|truck explosion</t>
  </si>
  <si>
    <t>Alyson Stoner</t>
  </si>
  <si>
    <t>Step Up 3D </t>
  </si>
  <si>
    <t>dance|dance crew|dancer|mortgage|new york city</t>
  </si>
  <si>
    <t>Kathleen Freeman</t>
  </si>
  <si>
    <t>Shrek </t>
  </si>
  <si>
    <t>donkey|fairy tale|ogre|princess|swamp</t>
  </si>
  <si>
    <t>X-Men 2 </t>
  </si>
  <si>
    <t>mutant|prison|professor|school|x men</t>
  </si>
  <si>
    <t>Rebecca Miller</t>
  </si>
  <si>
    <t>Beau Bridges</t>
  </si>
  <si>
    <t>The Ballad of Jack and Rose </t>
  </si>
  <si>
    <t>commune|defecation|environmentalism|fellatio|island</t>
  </si>
  <si>
    <t>The Transporter </t>
  </si>
  <si>
    <t>bar|gunfight|human trafficking|mixed martial arts|tire iron</t>
  </si>
  <si>
    <t>Hyung-rae Shim</t>
  </si>
  <si>
    <t>Action|Drama|Fantasy|Horror|Thriller</t>
  </si>
  <si>
    <t>Dragon Wars: D-War </t>
  </si>
  <si>
    <t>antique shop|asian dragon|dragon|korean|reporter</t>
  </si>
  <si>
    <t>Darren Grant</t>
  </si>
  <si>
    <t>Diary of a Mad Black Woman </t>
  </si>
  <si>
    <t>comic relief|diary|kiss|madea series|state flag</t>
  </si>
  <si>
    <t>Steve Boyum</t>
  </si>
  <si>
    <t>Meet the Deedles </t>
  </si>
  <si>
    <t>accidental kiss|eating a worm|park|worm|yellowstone national park</t>
  </si>
  <si>
    <t>Flirting with Disaster </t>
  </si>
  <si>
    <t>adoption|armpit fetish|mistaken identity|new mexico|overalls</t>
  </si>
  <si>
    <t>Flatliners </t>
  </si>
  <si>
    <t>childhood trauma|death|medical student|memory|near death experience</t>
  </si>
  <si>
    <t>Comedy|Drama|Family|Fantasy|Romance</t>
  </si>
  <si>
    <t>17 Again </t>
  </si>
  <si>
    <t>adult as child|father son relationship|high school student|janitor|school</t>
  </si>
  <si>
    <t>An Ideal Husband </t>
  </si>
  <si>
    <t>bachelor|blackmail|character says i love you|flirting|social satire</t>
  </si>
  <si>
    <t>Agnieszka Wojtowicz-Vosloo</t>
  </si>
  <si>
    <t>After.Life </t>
  </si>
  <si>
    <t>breath on mirror|buried alive|engagement ring|looking at one's self in a mirror|serial killer</t>
  </si>
  <si>
    <t>Comedy|Crime|Drama|Mystery|Thriller</t>
  </si>
  <si>
    <t>Kim Dickens</t>
  </si>
  <si>
    <t>Zero Effect </t>
  </si>
  <si>
    <t>blackmail|client|private detective|private investigator|tycoon</t>
  </si>
  <si>
    <t>Lance Mungia</t>
  </si>
  <si>
    <t>Action|Adventure|Comedy|Drama|Music|Sci-Fi</t>
  </si>
  <si>
    <t>Jeffrey Falcon</t>
  </si>
  <si>
    <t>Six-String Samurai </t>
  </si>
  <si>
    <t>boy|guitar|orphan|rock 'n' roll|sword</t>
  </si>
  <si>
    <t>Black Christmas </t>
  </si>
  <si>
    <t>attic|christmas|house|incest|sorority</t>
  </si>
  <si>
    <t>The Hobbit: The Battle of the Five Armies </t>
  </si>
  <si>
    <t>army|elf|hobbit|middle earth|orc</t>
  </si>
  <si>
    <t>Philip G. Atwell</t>
  </si>
  <si>
    <t>War </t>
  </si>
  <si>
    <t>assassin|betrayal|fbi|fbi agent|yakuza</t>
  </si>
  <si>
    <t>Jon Hess</t>
  </si>
  <si>
    <t>Burt Young</t>
  </si>
  <si>
    <t>Excessive Force </t>
  </si>
  <si>
    <t>exercise bicycle|face in food|police|police brutality|policeman</t>
  </si>
  <si>
    <t>Rocky Balboa </t>
  </si>
  <si>
    <t>boxing|fight|heavyweight champion|restaurant|retired boxer</t>
  </si>
  <si>
    <t>Jamie Babbit</t>
  </si>
  <si>
    <t>The Quiet </t>
  </si>
  <si>
    <t>deaf|death|dysfunctional family|godparent|secret</t>
  </si>
  <si>
    <t>Sea of Love </t>
  </si>
  <si>
    <t>detective|love|single|suspect|title from song</t>
  </si>
  <si>
    <t>Drama|Musical|Romance|Thriller</t>
  </si>
  <si>
    <t>The Phantom of the Opera </t>
  </si>
  <si>
    <t>based on stage musical based on novel|disfigurement|mask|opera|singer</t>
  </si>
  <si>
    <t>Sissy Spacek</t>
  </si>
  <si>
    <t>An American Haunting </t>
  </si>
  <si>
    <t>flashback|lifting someone into the air|paranormal phenomena|voice over letter|year 1818</t>
  </si>
  <si>
    <t>Cheryl Hines</t>
  </si>
  <si>
    <t>Space Chimps </t>
  </si>
  <si>
    <t>astronaut|attacked by a plant|planet|senator|space travel</t>
  </si>
  <si>
    <t>3 Men and a Baby </t>
  </si>
  <si>
    <t>1980s|baby|heroin|package|questioned by police</t>
  </si>
  <si>
    <t>Animation|Drama|Family|Musical|Romance</t>
  </si>
  <si>
    <t>The Hunchback of Notre Dame </t>
  </si>
  <si>
    <t>15th century|cathedral|gypsy|paris|victor hugo</t>
  </si>
  <si>
    <t>Takers </t>
  </si>
  <si>
    <t>armored car|bank|falling out among thieves|heist|planning</t>
  </si>
  <si>
    <t>Justin Dillon</t>
  </si>
  <si>
    <t>Matisyahu</t>
  </si>
  <si>
    <t>Call + Response </t>
  </si>
  <si>
    <t>fair trade|human trafficking|non profit|rockumentary|slavery</t>
  </si>
  <si>
    <t>Ali </t>
  </si>
  <si>
    <t>african american protagonist|african americans|boxing gym|gym|rumble in the jungle</t>
  </si>
  <si>
    <t>Darcy Donavan</t>
  </si>
  <si>
    <t>Anchorman: The Legend of Ron Burgundy </t>
  </si>
  <si>
    <t>1970s|anchorman|news anchor|newsroom|tv station</t>
  </si>
  <si>
    <t>Anthony Powell</t>
  </si>
  <si>
    <t>Adventure|Biography|Documentary|Drama</t>
  </si>
  <si>
    <t>Josh Swanson</t>
  </si>
  <si>
    <t>Antarctica: A Year on Ice </t>
  </si>
  <si>
    <t>antarctica</t>
  </si>
  <si>
    <t>Kevin Brodie</t>
  </si>
  <si>
    <t>A Dog of Flanders </t>
  </si>
  <si>
    <t>artist|box office flop|dog|drawing|flanders</t>
  </si>
  <si>
    <t>Biography|Drama|History|Musical</t>
  </si>
  <si>
    <t>Andrea Corr</t>
  </si>
  <si>
    <t>Evita </t>
  </si>
  <si>
    <t>actress|argentina|military|politics|singer</t>
  </si>
  <si>
    <t>Star Trek II: The Wrath of Khan </t>
  </si>
  <si>
    <t>jamming communications|planet|space station|taunt|trap</t>
  </si>
  <si>
    <t>Augustus Prew</t>
  </si>
  <si>
    <t>Charlie St. Cloud </t>
  </si>
  <si>
    <t>brother brother relationship|death of brother|ghost|seeing dead people|talking with the dead</t>
  </si>
  <si>
    <t>The Lincoln Lawyer </t>
  </si>
  <si>
    <t>defense attorney|defense lawyer|lawyer|plot twist|prostitute</t>
  </si>
  <si>
    <t>Deconstructing Harry </t>
  </si>
  <si>
    <t>marriage|novelist|panties pulled down|writer's block|writing</t>
  </si>
  <si>
    <t>Kasia Smutniak</t>
  </si>
  <si>
    <t>From Paris with Love </t>
  </si>
  <si>
    <t>ambassador|cia|dinner|spy|terrorist</t>
  </si>
  <si>
    <t>Goran Dukic</t>
  </si>
  <si>
    <t>Wristcutters: A Love Story </t>
  </si>
  <si>
    <t>afterlife|camping|death|hitchhiker|suicide</t>
  </si>
  <si>
    <t>The Social Network </t>
  </si>
  <si>
    <t>competitiveness|creator|entrepreneur|facebook|intellectual property</t>
  </si>
  <si>
    <t>Summer Catch </t>
  </si>
  <si>
    <t>baseball|baseball player|night|rivalry|summer</t>
  </si>
  <si>
    <t>Danny Leiner</t>
  </si>
  <si>
    <t>Harold &amp; Kumar Go to White Castle </t>
  </si>
  <si>
    <t>marijuana|police|road trip|stoner|white castle</t>
  </si>
  <si>
    <t>Annabel Jankel</t>
  </si>
  <si>
    <t>Adventure|Comedy|Family|Fantasy|Sci-Fi</t>
  </si>
  <si>
    <t>Super Mario Bros. </t>
  </si>
  <si>
    <t>based on video game|dinosaur|king|mario|plumber</t>
  </si>
  <si>
    <t>The Lost World: Jurassic Park </t>
  </si>
  <si>
    <t>capture|dinosaur|island|jurassic|jurassic park</t>
  </si>
  <si>
    <t>Chris Rock</t>
  </si>
  <si>
    <t>Head of State </t>
  </si>
  <si>
    <t>alderman|party|president|presidential candidate|washington d.c.</t>
  </si>
  <si>
    <t>Karen Allen</t>
  </si>
  <si>
    <t>The Perfect Storm </t>
  </si>
  <si>
    <t>death|fish|fishing|sea|storm</t>
  </si>
  <si>
    <t>Animation|Comedy|Family|Sci-Fi</t>
  </si>
  <si>
    <t>Cloudy with a Chance of Meatballs </t>
  </si>
  <si>
    <t>food|giant food|mayor|sardine|weather</t>
  </si>
  <si>
    <t>Valentine's Day </t>
  </si>
  <si>
    <t>flower|indian restaurant|tv station|valentine|valentine's day</t>
  </si>
  <si>
    <t>Vincenzo Natali</t>
  </si>
  <si>
    <t>David Hewlett</t>
  </si>
  <si>
    <t>Cube </t>
  </si>
  <si>
    <t>escape|labyrinth|maze|red light|trap</t>
  </si>
  <si>
    <t>Righteous Kill </t>
  </si>
  <si>
    <t>blood splatter|execution|new york city|nypd|serial killer</t>
  </si>
  <si>
    <t>Sean McNamara</t>
  </si>
  <si>
    <t>Biography|Drama|Family|Sport</t>
  </si>
  <si>
    <t>Soul Surfer </t>
  </si>
  <si>
    <t>christian|christian film|shark|surfer|surfing</t>
  </si>
  <si>
    <t>I'm Not There. </t>
  </si>
  <si>
    <t>1960s|actor|horseback riding|reporter|riding the rails</t>
  </si>
  <si>
    <t>Soul Food </t>
  </si>
  <si>
    <t>1990s|family relationships|food in title|sister|unity</t>
  </si>
  <si>
    <t>David Gelb</t>
  </si>
  <si>
    <t>The Lazarus Effect </t>
  </si>
  <si>
    <t>electrocuted|experiment|hell|serum|university</t>
  </si>
  <si>
    <t>Fann Wong</t>
  </si>
  <si>
    <t>Shanghai Knights </t>
  </si>
  <si>
    <t>1880s|arrow|imperial seal|murder|revenge</t>
  </si>
  <si>
    <t>Hop </t>
  </si>
  <si>
    <t>drummer|easter|easter bunny|piaggio vespa gtv 250|slacker</t>
  </si>
  <si>
    <t>The Innkeepers </t>
  </si>
  <si>
    <t>bathtub|dead body in a bathtub|dead body in bathtub|hotel|inn</t>
  </si>
  <si>
    <t>Mennan Yapo</t>
  </si>
  <si>
    <t>Premonition </t>
  </si>
  <si>
    <t>car|car accident|housewife|sheriff|suburb</t>
  </si>
  <si>
    <t>Ash Brannon</t>
  </si>
  <si>
    <t>Animation|Comedy|Family|Sport</t>
  </si>
  <si>
    <t>Surf's Up </t>
  </si>
  <si>
    <t>chicken|competition|island|penguin|surfing</t>
  </si>
  <si>
    <t>You Only Live Twice </t>
  </si>
  <si>
    <t>faked death|japan|japanese|poison|secret headquarters</t>
  </si>
  <si>
    <t>The River Wild </t>
  </si>
  <si>
    <t>criminal|rafting|river|robber|white water rafting</t>
  </si>
  <si>
    <t>Tim Meadows</t>
  </si>
  <si>
    <t>Walk Hard: The Dewey Cox Story </t>
  </si>
  <si>
    <t>drugs|elvis|musician|singer|the beatles</t>
  </si>
  <si>
    <t>Cheaper by the Dozen 2 </t>
  </si>
  <si>
    <t>children|competition|rival|second part|vacation</t>
  </si>
  <si>
    <t>Igor Kovalyov</t>
  </si>
  <si>
    <t>The Rugrats Movie </t>
  </si>
  <si>
    <t>baby|home|hospital|lost|newborn baby</t>
  </si>
  <si>
    <t>Burnt </t>
  </si>
  <si>
    <t>chef|gay kiss|michelin star|restaurant|violent behavior</t>
  </si>
  <si>
    <t>Izabella Scorupco</t>
  </si>
  <si>
    <t>GoldenEye </t>
  </si>
  <si>
    <t>agent|cossack|official james bond series|russia|russian</t>
  </si>
  <si>
    <t>Mark Romanek</t>
  </si>
  <si>
    <t>One Hour Photo </t>
  </si>
  <si>
    <t>insanity|photo lab|photo shop|photography|voyeur</t>
  </si>
  <si>
    <t>Mercury Rising </t>
  </si>
  <si>
    <t>autistic child|boy|child in danger|fbi|nsa</t>
  </si>
  <si>
    <t>Safety Not Guaranteed </t>
  </si>
  <si>
    <t>classified ad|intern|magazine|time machine|time travel</t>
  </si>
  <si>
    <t>Amber Valletta</t>
  </si>
  <si>
    <t>Raising Helen </t>
  </si>
  <si>
    <t>fashion show|female protagonist|love|pastor|queens new york city</t>
  </si>
  <si>
    <t>Alien 3 </t>
  </si>
  <si>
    <t>alien|crash|planet|prison|survivor</t>
  </si>
  <si>
    <t>Mona Lisa Smile </t>
  </si>
  <si>
    <t>art|college|school|student|wellesley college</t>
  </si>
  <si>
    <t>Ian McNeice</t>
  </si>
  <si>
    <t>Oliver Twist </t>
  </si>
  <si>
    <t>boy|character name in title|orphan|pickpocket|workhouse</t>
  </si>
  <si>
    <t>Wolf </t>
  </si>
  <si>
    <t>blood|publisher|publishing house|werewolf|wolf</t>
  </si>
  <si>
    <t>Luis Mandoki</t>
  </si>
  <si>
    <t>Sonia Braga</t>
  </si>
  <si>
    <t>Angel Eyes </t>
  </si>
  <si>
    <t>apartment|fate|gun|love|mysterious man</t>
  </si>
  <si>
    <t>Boris Rodriguez</t>
  </si>
  <si>
    <t>Eddie: The Sleepwalking Cannibal </t>
  </si>
  <si>
    <t>art teacher|cannibal|inspiration|painter|sleepwalking</t>
  </si>
  <si>
    <t>Nick Hamm</t>
  </si>
  <si>
    <t>Godsend </t>
  </si>
  <si>
    <t>birthday|boy|clone|cloning|doctor</t>
  </si>
  <si>
    <t>Paul Bunnell</t>
  </si>
  <si>
    <t>Comedy|Fantasy|Musical|Sci-Fi</t>
  </si>
  <si>
    <t>Kate Maberly</t>
  </si>
  <si>
    <t>The Ghastly Love of Johnny X </t>
  </si>
  <si>
    <t>1950s|independent film|outlaw|trial</t>
  </si>
  <si>
    <t>Lisa Ann Walter</t>
  </si>
  <si>
    <t>Shall We Dance </t>
  </si>
  <si>
    <t>dance|dance competition|dance lesson|love|teacher</t>
  </si>
  <si>
    <t>The Thing </t>
  </si>
  <si>
    <t>alien creature|alien life form|antarctica|isolation|paranoia</t>
  </si>
  <si>
    <t>Adventure|Drama|Horror|Thriller</t>
  </si>
  <si>
    <t>The Ghost and the Darkness </t>
  </si>
  <si>
    <t>bridge|engineer|hunter|lion|railway</t>
  </si>
  <si>
    <t>Adventure|Comedy|Crime|Music</t>
  </si>
  <si>
    <t>O Brother, Where Art Thou? </t>
  </si>
  <si>
    <t>baby|bank|blind prophet|convict|sirens</t>
  </si>
  <si>
    <t>Ronan Chapalain</t>
  </si>
  <si>
    <t>Norbert Ferrer</t>
  </si>
  <si>
    <t>Sea Rex 3D: Journey to a Prehistoric World </t>
  </si>
  <si>
    <t>3d|imax|plesiosaur|sea|water</t>
  </si>
  <si>
    <t>Paul Weiland</t>
  </si>
  <si>
    <t>Made of Honor </t>
  </si>
  <si>
    <t>friend|love|maid|maid of honor|marriage</t>
  </si>
  <si>
    <t>Flipped </t>
  </si>
  <si>
    <t>apology|falling in love|multiple perspectives|narrated by a girl|younger version of character</t>
  </si>
  <si>
    <t>The Italian Job </t>
  </si>
  <si>
    <t>gold|heist|revenge|traffic jam|venice italy</t>
  </si>
  <si>
    <t>Molly Bernstein</t>
  </si>
  <si>
    <t>Deceptive Practice: The Mysteries and Mentors of Ricky Jay </t>
  </si>
  <si>
    <t>stage magician</t>
  </si>
  <si>
    <t>Animation|Comedy|Family|Musical</t>
  </si>
  <si>
    <t>Happy Feet 2 </t>
  </si>
  <si>
    <t>3d|antarctica|krill|penguin|sequel</t>
  </si>
  <si>
    <t>Gone in Sixty Seconds </t>
  </si>
  <si>
    <t>auto theft|brother|car|theft|thief</t>
  </si>
  <si>
    <t>Joel McHale</t>
  </si>
  <si>
    <t>The Big Year </t>
  </si>
  <si>
    <t>alaska|birding|competition|migration|storm</t>
  </si>
  <si>
    <t>John Kapelos</t>
  </si>
  <si>
    <t>The Relic </t>
  </si>
  <si>
    <t>fire|helicopter|museum|police sergeant|relic</t>
  </si>
  <si>
    <t>Twins </t>
  </si>
  <si>
    <t>bare chested male|brother|catholic orphanage|long lost siblings|twins</t>
  </si>
  <si>
    <t>Drillbit Taylor </t>
  </si>
  <si>
    <t>bodyguard|bully|generation y|high school|nerd</t>
  </si>
  <si>
    <t>John 'Bud' Cardos</t>
  </si>
  <si>
    <t>Woody Strode</t>
  </si>
  <si>
    <t>Kingdom of the Spiders </t>
  </si>
  <si>
    <t>death|farm|hotel|spider|tarantula</t>
  </si>
  <si>
    <t>Victor Nunez</t>
  </si>
  <si>
    <t>Ulee's Gold </t>
  </si>
  <si>
    <t>beekeeper|bound and gagged|dysfunctional family|man with glasses|tied to a chair</t>
  </si>
  <si>
    <t>Closer </t>
  </si>
  <si>
    <t>cheating wife|film camera|hasselblad camera|leica camera|medium format camera</t>
  </si>
  <si>
    <t>Steve Box</t>
  </si>
  <si>
    <t>The Curse of the Were-Rabbit </t>
  </si>
  <si>
    <t>competition|giant vegetable|pest control|stop motion animation|vegetable</t>
  </si>
  <si>
    <t>Gone Girl </t>
  </si>
  <si>
    <t>based on novel|disappearance|missing person|missing wife|murder suspect</t>
  </si>
  <si>
    <t>Robert Baker</t>
  </si>
  <si>
    <t>Leatherheads </t>
  </si>
  <si>
    <t>college football|fight|football|hero|surrender</t>
  </si>
  <si>
    <t>Walter Salles</t>
  </si>
  <si>
    <t>Fernanda Montenegro</t>
  </si>
  <si>
    <t>Central Station </t>
  </si>
  <si>
    <t>brazil|letter|rio de janeiro brazil|sertao|teacher</t>
  </si>
  <si>
    <t>Jon Poll</t>
  </si>
  <si>
    <t>Charlie Bartlett </t>
  </si>
  <si>
    <t>drugs|high school|prescription drugs|private school|student</t>
  </si>
  <si>
    <t>Eva Amurri Martino</t>
  </si>
  <si>
    <t>The Life Before Her Eyes </t>
  </si>
  <si>
    <t>best friend|nonlinear timeline|school shooting|self sacrifice|shooting</t>
  </si>
  <si>
    <t>Blair Underwood</t>
  </si>
  <si>
    <t>Gattaca </t>
  </si>
  <si>
    <t>accident|future|genetics|mission|police</t>
  </si>
  <si>
    <t>Jupiter Ascending </t>
  </si>
  <si>
    <t>box office flop|critically bashed|planet earth|space opera|woman in bra and panties</t>
  </si>
  <si>
    <t>Leap Year </t>
  </si>
  <si>
    <t>ireland|irish|journey|tradition|travel</t>
  </si>
  <si>
    <t>Ocean's Twelve </t>
  </si>
  <si>
    <t>father daughter relationship|heist|pretending to be pregnant|sequel|thief</t>
  </si>
  <si>
    <t>Treasure Planet </t>
  </si>
  <si>
    <t>alien|cyborg|pirate|planet|treasure</t>
  </si>
  <si>
    <t>Action|Drama|Fantasy|Romance</t>
  </si>
  <si>
    <t>Immortals </t>
  </si>
  <si>
    <t>burned alive|castration|olympus|torture|torture device</t>
  </si>
  <si>
    <t>16 Blocks </t>
  </si>
  <si>
    <t>alcoholic|courthouse|detective|jail|witness</t>
  </si>
  <si>
    <t>Drama|Thriller|War</t>
  </si>
  <si>
    <t>Lions for Lambs </t>
  </si>
  <si>
    <t>afghanistan|professor|reporter|student|university</t>
  </si>
  <si>
    <t>Sylvio Tabet</t>
  </si>
  <si>
    <t>Beastmaster 2: Through the Portal of Time </t>
  </si>
  <si>
    <t>beast|beastmaster|psychotronic|sword and sorcery|warrior</t>
  </si>
  <si>
    <t>Regina Hall</t>
  </si>
  <si>
    <t>Scary Movie 3 </t>
  </si>
  <si>
    <t>crop circle|farm|orchestral music score|reference to michael jackson|videotape</t>
  </si>
  <si>
    <t>Aloha </t>
  </si>
  <si>
    <t>box office flop|critically bashed|hawaii|one word title|written by director</t>
  </si>
  <si>
    <t>Michael McKean</t>
  </si>
  <si>
    <t>The Guru </t>
  </si>
  <si>
    <t>bollywood|illegal immigrant|live television|restaurant|waiter</t>
  </si>
  <si>
    <t>Bebe Neuwirth</t>
  </si>
  <si>
    <t>Tadpole </t>
  </si>
  <si>
    <t>best friend|boy|french|friend|love</t>
  </si>
  <si>
    <t>Newt Arnold</t>
  </si>
  <si>
    <t>Action|Biography|Drama|Sport</t>
  </si>
  <si>
    <t>Bloodsport </t>
  </si>
  <si>
    <t>hand to hand combat|hong kong|kumite|martial arts|tournament</t>
  </si>
  <si>
    <t>Roger Christian</t>
  </si>
  <si>
    <t>Battlefield Earth </t>
  </si>
  <si>
    <t>alien|bad acting|pulp fiction|resistance fighter|voyager golden record</t>
  </si>
  <si>
    <t>X-Men: First Class </t>
  </si>
  <si>
    <t>cia|cia agent|mutant|nuclear war|professor</t>
  </si>
  <si>
    <t>The Terminal </t>
  </si>
  <si>
    <t>airport|construction site|fish out of water|flight attendant|man without a country</t>
  </si>
  <si>
    <t>Deborah Kara Unger</t>
  </si>
  <si>
    <t>The Game </t>
  </si>
  <si>
    <t>birthday|falling through a glass roof|game|hitchcockian|suicide</t>
  </si>
  <si>
    <t>Orson Welles</t>
  </si>
  <si>
    <t>Crime|Drama|Film-Noir|Mystery|Thriller</t>
  </si>
  <si>
    <t>Rita Hayworth</t>
  </si>
  <si>
    <t>The Lady from Shanghai </t>
  </si>
  <si>
    <t>law partner|murder|partner|seaman|yacht</t>
  </si>
  <si>
    <t>Inglourious Basterds </t>
  </si>
  <si>
    <t>france|german|nazis|revenge|scalping</t>
  </si>
  <si>
    <t>Star Trek IV: The Voyage Home </t>
  </si>
  <si>
    <t>alien probe|humpback whales|probe|time travel|whale</t>
  </si>
  <si>
    <t>Cats Don't Dance </t>
  </si>
  <si>
    <t>animal|cat|child star|hollywood|star</t>
  </si>
  <si>
    <t>Underworld: Evolution </t>
  </si>
  <si>
    <t>death|feud|forbidden love|vampire|werewolf</t>
  </si>
  <si>
    <t>Joan Chen</t>
  </si>
  <si>
    <t>Autumn in New York </t>
  </si>
  <si>
    <t>may december romance|new york|new york city|rockefeller center|title directed by female</t>
  </si>
  <si>
    <t>Amistad </t>
  </si>
  <si>
    <t>courtroom|mutiny|ship|slave ship|slave trade</t>
  </si>
  <si>
    <t>This Means War </t>
  </si>
  <si>
    <t>best friend|cia|cia agent|dating|undercover</t>
  </si>
  <si>
    <t>Michael Clancy</t>
  </si>
  <si>
    <t>Eulogy </t>
  </si>
  <si>
    <t>dysfunctional family|family relationships|family reunion|funeral|twin</t>
  </si>
  <si>
    <t>X-Men: Days of Future Past </t>
  </si>
  <si>
    <t>dystopia|super strength|supernatural power|time paradox|time travel</t>
  </si>
  <si>
    <t>IstvÃ¡n SzabÃ³</t>
  </si>
  <si>
    <t>Being Julia </t>
  </si>
  <si>
    <t>diva|marriage|open marriage|revenge|social climber</t>
  </si>
  <si>
    <t>Gabor Csupo</t>
  </si>
  <si>
    <t>Bridge to Terabithia </t>
  </si>
  <si>
    <t>bully|friend|imagination|reality|troll</t>
  </si>
  <si>
    <t>Bradley Whitford</t>
  </si>
  <si>
    <t>The Client </t>
  </si>
  <si>
    <t>boy|brother|lawyer|mafia|senator</t>
  </si>
  <si>
    <t>The Illusionist </t>
  </si>
  <si>
    <t>duchess|illusionist|magician|prince|supernatural power</t>
  </si>
  <si>
    <t>My Life in Ruins </t>
  </si>
  <si>
    <t>greece|greek|tour bus|tour guide|tourist</t>
  </si>
  <si>
    <t>Jon Shear</t>
  </si>
  <si>
    <t>Dan Futterman</t>
  </si>
  <si>
    <t>Urbania </t>
  </si>
  <si>
    <t>hot dog bun|needle|new york|rat|tourist</t>
  </si>
  <si>
    <t>Action|Animation|Comedy|Sci-Fi</t>
  </si>
  <si>
    <t>Pixels </t>
  </si>
  <si>
    <t>alien|arcade game|chase|driving in reverse|video gamer</t>
  </si>
  <si>
    <t>The Vatican Tapes </t>
  </si>
  <si>
    <t>evil|injury|possession|priest|vatican</t>
  </si>
  <si>
    <t>You Again </t>
  </si>
  <si>
    <t>dancing|dog|flight|hostility|travel</t>
  </si>
  <si>
    <t>The Bounty </t>
  </si>
  <si>
    <t>lieutenant|lifeboat|mutiny|sailing ship|ship</t>
  </si>
  <si>
    <t>Cassie Ventura</t>
  </si>
  <si>
    <t>Step Up 2: The Streets </t>
  </si>
  <si>
    <t>audition|dance|kissing in the rain|student|subway</t>
  </si>
  <si>
    <t>Animation|Drama|Mystery|Sci-Fi|Thriller</t>
  </si>
  <si>
    <t>A Scanner Darkly </t>
  </si>
  <si>
    <t>detective|drugs|substance d|undercover|undercover cop</t>
  </si>
  <si>
    <t>The Indian in the Cupboard </t>
  </si>
  <si>
    <t>best friend|birthday|boy|friend|magic</t>
  </si>
  <si>
    <t>Patrick Gilmore</t>
  </si>
  <si>
    <t>Adventure|Animation|Comedy|Drama|Family|Fantasy|Romance</t>
  </si>
  <si>
    <t>Sinbad: Legend of the Seven Seas </t>
  </si>
  <si>
    <t>book|framed|goddess|prince|sinbad</t>
  </si>
  <si>
    <t>Kurt Voss</t>
  </si>
  <si>
    <t>Lemmy</t>
  </si>
  <si>
    <t>Down and Out with the Dolls </t>
  </si>
  <si>
    <t>female bassist|female drummer|female guitarist|female singer|portland oregon</t>
  </si>
  <si>
    <t>License to Wed </t>
  </si>
  <si>
    <t>box office flop|church|kissing|usa|wedding</t>
  </si>
  <si>
    <t>Black Book </t>
  </si>
  <si>
    <t>boat|escape|hiding|nazi|resistance</t>
  </si>
  <si>
    <t>Deep Blue Sea </t>
  </si>
  <si>
    <t>alzheimer's disease|experiment|human versus shark|research|underwater headquarters</t>
  </si>
  <si>
    <t>Victor Frankenstein </t>
  </si>
  <si>
    <t>assistant|experiment|frankenstein|medical student|scientist</t>
  </si>
  <si>
    <t>The Theory of Everything </t>
  </si>
  <si>
    <t>based on memoir|cambridge university|husband wife relationship|lou gehrig's disease|physicist</t>
  </si>
  <si>
    <t>Dean Wright</t>
  </si>
  <si>
    <t>Santiago Cabrera</t>
  </si>
  <si>
    <t>For Greater Glory: The True Story of Cristiada </t>
  </si>
  <si>
    <t>catholic|hanging|mexico|rebellion|soldier</t>
  </si>
  <si>
    <t>The Hunger Games: Mockingjay - Part 1 </t>
  </si>
  <si>
    <t>based on young adult novel|manipulation|rebellion|symbol|uprising</t>
  </si>
  <si>
    <t>John Putch</t>
  </si>
  <si>
    <t>Robert Picardo</t>
  </si>
  <si>
    <t>Atlas Shrugged II: The Strike </t>
  </si>
  <si>
    <t>box office flop|critically bashed|government|industrialist|railroad</t>
  </si>
  <si>
    <t>Predator 2 </t>
  </si>
  <si>
    <t>alien|drug lord|gang|hunter|predator</t>
  </si>
  <si>
    <t>Babak Najafi</t>
  </si>
  <si>
    <t>London Has Fallen </t>
  </si>
  <si>
    <t>british|funeral|good versus evil|mole|sequel</t>
  </si>
  <si>
    <t>The Painted Veil </t>
  </si>
  <si>
    <t>china|cholera|epidemic|love|marriage</t>
  </si>
  <si>
    <t>Mark Andrews</t>
  </si>
  <si>
    <t>Brave </t>
  </si>
  <si>
    <t>archery|coming of age|female warrior|princess|rebellious daughter</t>
  </si>
  <si>
    <t>Suspect Zero </t>
  </si>
  <si>
    <t>fbi|fbi agent|murder|salesman|serial killer</t>
  </si>
  <si>
    <t>Edward Norton</t>
  </si>
  <si>
    <t>Lisa Edelstein</t>
  </si>
  <si>
    <t>Keeping the Faith </t>
  </si>
  <si>
    <t>celibacy|jewish|priest|rabbi|synagogue</t>
  </si>
  <si>
    <t>Seven Years in Tibet </t>
  </si>
  <si>
    <t>austria|dalai lama|himalaya|mountain|tibet</t>
  </si>
  <si>
    <t>Mike Gabriel</t>
  </si>
  <si>
    <t>Adventure|Animation|Drama|Family|History|Musical|Romance</t>
  </si>
  <si>
    <t>Pocahontas </t>
  </si>
  <si>
    <t>actor playing multiple roles|love|one word title|unsubtitled foreign language|virginia</t>
  </si>
  <si>
    <t>On the Road </t>
  </si>
  <si>
    <t>benzedrine|cactus|drugs|poem|year 1949</t>
  </si>
  <si>
    <t>Bedazzled </t>
  </si>
  <si>
    <t>contract|devil|dream|soul|wish</t>
  </si>
  <si>
    <t>Lorene Scafaria</t>
  </si>
  <si>
    <t>Adventure|Comedy|Drama|Romance|Sci-Fi</t>
  </si>
  <si>
    <t>Seeking a Friend for the End of the World </t>
  </si>
  <si>
    <t>candle|end of the world|letter|record|road trip</t>
  </si>
  <si>
    <t>Irvin Kershner</t>
  </si>
  <si>
    <t>Star Wars: Episode V - The Empire Strikes Back </t>
  </si>
  <si>
    <t>duel|famous twist|rebel|rescue|snowy landscape</t>
  </si>
  <si>
    <t>Kelly Rutherford</t>
  </si>
  <si>
    <t>Scream 3 </t>
  </si>
  <si>
    <t>death|ghostface|murder|scream|survivor</t>
  </si>
  <si>
    <t>How the Grinch Stole Christmas </t>
  </si>
  <si>
    <t>box office hit|christmas|materialism|public humiliation|snowflake</t>
  </si>
  <si>
    <t>Sally Potter</t>
  </si>
  <si>
    <t>Yes </t>
  </si>
  <si>
    <t>beach|lebanese|loss|muslim|restaurant</t>
  </si>
  <si>
    <t>Tuck Tucker</t>
  </si>
  <si>
    <t>Hey Arnold! The Movie </t>
  </si>
  <si>
    <t>castle thunder|document|neighborhood|punctuation in title|villain arrested</t>
  </si>
  <si>
    <t>The Original Kings of Comedy </t>
  </si>
  <si>
    <t>backstage|comedian|concert film|emcee|stand up comedian</t>
  </si>
  <si>
    <t>Dominic Flores</t>
  </si>
  <si>
    <t>Our Brand Is Crisis </t>
  </si>
  <si>
    <t>bolivia|box office flop|inspired by documentary|presidential campaign|year 2002</t>
  </si>
  <si>
    <t>Narc </t>
  </si>
  <si>
    <t>blood splatter|cover up|murder|police shootout|undercover</t>
  </si>
  <si>
    <t>Don Hall</t>
  </si>
  <si>
    <t>Big Hero 6 </t>
  </si>
  <si>
    <t>high tech|martial arts|masked man|robot|superhero</t>
  </si>
  <si>
    <t>Wayne Kramer</t>
  </si>
  <si>
    <t>Running Scared </t>
  </si>
  <si>
    <t>adult child friendship|corrupt cop|fistfight|gangster|thug</t>
  </si>
  <si>
    <t>Mars Callahan</t>
  </si>
  <si>
    <t>Poolhall Junkies </t>
  </si>
  <si>
    <t>beating|hustler|jail|money|revenge</t>
  </si>
  <si>
    <t>The Wackness </t>
  </si>
  <si>
    <t>ice cream|marijuana|new york city|summer|therapy</t>
  </si>
  <si>
    <t>New Nightmare </t>
  </si>
  <si>
    <t>earthquake|elm street|freddy krueger|nightmare|sleep</t>
  </si>
  <si>
    <t>Hearts in Atlantis </t>
  </si>
  <si>
    <t>based on multiple works|bully|kiss|memory|mysterious stranger</t>
  </si>
  <si>
    <t>Mike van Diem</t>
  </si>
  <si>
    <t>Jan Decleir</t>
  </si>
  <si>
    <t>Character </t>
  </si>
  <si>
    <t>bailiff|lawyer|office|police|school</t>
  </si>
  <si>
    <t>Allegiant </t>
  </si>
  <si>
    <t>based on young adult novel|dystopia|genetic experimentation|strong female character|strong female lead</t>
  </si>
  <si>
    <t>Edge of Darkness </t>
  </si>
  <si>
    <t>activist|detective|father daughter relationship|investigation|vigilantism</t>
  </si>
  <si>
    <t>The Iron Lady </t>
  </si>
  <si>
    <t>british prime minister|female prime minister|politics|prime minister|told in flashback</t>
  </si>
  <si>
    <t>Grace Phipps</t>
  </si>
  <si>
    <t>Fright Night </t>
  </si>
  <si>
    <t>neighbor|remake|suburb|teenager|vampire</t>
  </si>
  <si>
    <t>Zookeeper </t>
  </si>
  <si>
    <t>champagne bottle|coca cola|jewelry box|red bull|zoo</t>
  </si>
  <si>
    <t>Spy Kids: All the Time in the World in 4D </t>
  </si>
  <si>
    <t>2010s|3 dimensional|breath holding contest|child spy|spy</t>
  </si>
  <si>
    <t>Greg Berlanti</t>
  </si>
  <si>
    <t>The Broken Hearts Club: A Romantic Comedy </t>
  </si>
  <si>
    <t>friend|gay|lesbian|photographer|restaurant</t>
  </si>
  <si>
    <t>Yuki Matsuzaki</t>
  </si>
  <si>
    <t>Letters from Iwo Jima </t>
  </si>
  <si>
    <t>blood splatter|general|island|japan|world war two</t>
  </si>
  <si>
    <t>Hardball </t>
  </si>
  <si>
    <t>coach|gambling|housing project|little league|little league baseball</t>
  </si>
  <si>
    <t>Action|Comedy|War</t>
  </si>
  <si>
    <t>Stripes </t>
  </si>
  <si>
    <t>army|boot camp|breasts|graduation|rescue</t>
  </si>
  <si>
    <t>Edge of Tomorrow </t>
  </si>
  <si>
    <t>alien|combat|dying repeatedly|end of the world|time loop</t>
  </si>
  <si>
    <t>My Name Is Khan </t>
  </si>
  <si>
    <t>airport|asperger's syndrome|autism|muslim|racial profiling</t>
  </si>
  <si>
    <t>Terence Davies</t>
  </si>
  <si>
    <t>The House of Mirth </t>
  </si>
  <si>
    <t>high society|love|money|reputation|wealth</t>
  </si>
  <si>
    <t>Karyn Kusama</t>
  </si>
  <si>
    <t>Ã†on Flux </t>
  </si>
  <si>
    <t>based on cult favorite|disease|female hero|female protagonist|future</t>
  </si>
  <si>
    <t>The Shaggy Dog </t>
  </si>
  <si>
    <t>animal as human|dog movie|elevator|human becoming an animal|sheepdog</t>
  </si>
  <si>
    <t>Adventure|Comedy|Sport</t>
  </si>
  <si>
    <t>Alanna Ubach</t>
  </si>
  <si>
    <t>Airborne </t>
  </si>
  <si>
    <t>cincinnati ohio|high school|hockey|jock strap|zoologist</t>
  </si>
  <si>
    <t>Identity Thief </t>
  </si>
  <si>
    <t>bounty hunter|credit card|cross country|identity|police</t>
  </si>
  <si>
    <t>The Man with the Golden Gun </t>
  </si>
  <si>
    <t>assassin|bikini|girl in a bikini|mission|secret agent</t>
  </si>
  <si>
    <t>Alan Poul</t>
  </si>
  <si>
    <t>The Back-up Plan </t>
  </si>
  <si>
    <t>artificial insemination|baby|cheese|chick flick|pet shop</t>
  </si>
  <si>
    <t>Peter Stebbings</t>
  </si>
  <si>
    <t>Defendor </t>
  </si>
  <si>
    <t>gun running|organized crime|pimp|superhero|vigilante</t>
  </si>
  <si>
    <t>Comedy|Crime|Family|Sci-Fi</t>
  </si>
  <si>
    <t>Baby Geniuses </t>
  </si>
  <si>
    <t>baby|boy|science|scientist|toddler</t>
  </si>
  <si>
    <t>Michael O. Sajbel</t>
  </si>
  <si>
    <t>James Callis</t>
  </si>
  <si>
    <t>One Night with the King </t>
  </si>
  <si>
    <t>biblical|book of esther|esther|persia|treachery</t>
  </si>
  <si>
    <t>Steven E. de Souza</t>
  </si>
  <si>
    <t>Street Fighter </t>
  </si>
  <si>
    <t>guile|hostage|ransom|soldier|united nations</t>
  </si>
  <si>
    <t>Peter Care</t>
  </si>
  <si>
    <t>The Dangerous Lives of Altar Boys </t>
  </si>
  <si>
    <t>book|boy|catholic|comic book|friend</t>
  </si>
  <si>
    <t>From Hell </t>
  </si>
  <si>
    <t>freemason|jack the ripper|opium|prostitute|victorian era</t>
  </si>
  <si>
    <t>Adventure|Comedy|Crime|Family|Musical</t>
  </si>
  <si>
    <t>Muppets Most Wanted </t>
  </si>
  <si>
    <t>europe|frog|gulag|prison break|puppet</t>
  </si>
  <si>
    <t>Asger Leth</t>
  </si>
  <si>
    <t>Robert Clohessy</t>
  </si>
  <si>
    <t>Man on a Ledge </t>
  </si>
  <si>
    <t>detective|diamond|hotel|police|rooftop</t>
  </si>
  <si>
    <t>Armin Mueller-Stahl</t>
  </si>
  <si>
    <t>The Peacemaker </t>
  </si>
  <si>
    <t>nuclear explosion|nuclear weapon|russia|train|train crash</t>
  </si>
  <si>
    <t>Waiting for Guffman </t>
  </si>
  <si>
    <t>amateur theater|dentist|missouri|small town|travel agent</t>
  </si>
  <si>
    <t>The Campaign </t>
  </si>
  <si>
    <t>campaigning|congressman|north carolina|title at the end|u.s. congressman</t>
  </si>
  <si>
    <t>Peter Hastings</t>
  </si>
  <si>
    <t>Comedy|Family|Music|Musical</t>
  </si>
  <si>
    <t>The Country Bears </t>
  </si>
  <si>
    <t>animal in title|bear|box office flop|disney|satire</t>
  </si>
  <si>
    <t>Pride and Glory </t>
  </si>
  <si>
    <t>brother in law|corruption|drug dealer|drugs|police</t>
  </si>
  <si>
    <t>Spider-Man 2 </t>
  </si>
  <si>
    <t>death|doctor|scientist|super villain|tentacle</t>
  </si>
  <si>
    <t>Ratatouille </t>
  </si>
  <si>
    <t>chef|food|french|rat|restaurant</t>
  </si>
  <si>
    <t>Abraham Lincoln: Vampire Hunter </t>
  </si>
  <si>
    <t>chopping down a tree|hanging upside down|shopkeeper|vampire|vampire hunter</t>
  </si>
  <si>
    <t>Fred Durst</t>
  </si>
  <si>
    <t>Biography|Comedy|Drama|Family|Sport</t>
  </si>
  <si>
    <t>Tasha Smith</t>
  </si>
  <si>
    <t>The Longshots </t>
  </si>
  <si>
    <t>absent father|american football|based on true story|middle school</t>
  </si>
  <si>
    <t>The Mummy Returns </t>
  </si>
  <si>
    <t>ancient egypt|bracelet|king|scorpion|son</t>
  </si>
  <si>
    <t>Derek Luke</t>
  </si>
  <si>
    <t>Catch a Fire </t>
  </si>
  <si>
    <t>attack|coach|colonel|jail|oil refinery</t>
  </si>
  <si>
    <t>Talladega Nights: The Ballad of Ricky Bobby </t>
  </si>
  <si>
    <t>car racing|french|friend|nascar|racing</t>
  </si>
  <si>
    <t>BelÃ©n Rueda</t>
  </si>
  <si>
    <t>The Sea Inside </t>
  </si>
  <si>
    <t>dignity|euthanasia|freedom|lawyer|sailor</t>
  </si>
  <si>
    <t>Burn After Reading </t>
  </si>
  <si>
    <t>cia|divorce|embassy|gym|memoir</t>
  </si>
  <si>
    <t>Raven-SymonÃ©</t>
  </si>
  <si>
    <t>Dr. Dolittle 2 </t>
  </si>
  <si>
    <t>bear|doctor|false accusation|man with glasses|second part</t>
  </si>
  <si>
    <t>Fantastic 4: Rise of the Silver Surfer </t>
  </si>
  <si>
    <t>fantastic four|space|strong female character|strong female lead|superheroine</t>
  </si>
  <si>
    <t>Back to the Future Part II </t>
  </si>
  <si>
    <t>alternate timeline|same actor playing two characters simultaneously on screen|second part|year 2015|younger version of character</t>
  </si>
  <si>
    <t>Drag Me to Hell </t>
  </si>
  <si>
    <t>evil|fight|hell|psychic|psychologist</t>
  </si>
  <si>
    <t>Jay Levey</t>
  </si>
  <si>
    <t>Fran Drescher</t>
  </si>
  <si>
    <t>UHF </t>
  </si>
  <si>
    <t>gambling|imagination|television|television station|tv show</t>
  </si>
  <si>
    <t>Thirteen </t>
  </si>
  <si>
    <t>13 year olds|adolescence|friend|peer pressure|teacher</t>
  </si>
  <si>
    <t>Pitch Perfect 2 </t>
  </si>
  <si>
    <t>2010s|a cappella|box office hit|second part|sequel</t>
  </si>
  <si>
    <t>Britney Spears</t>
  </si>
  <si>
    <t>Crossroads </t>
  </si>
  <si>
    <t>audition|friendship|graduation|high school graduation|love</t>
  </si>
  <si>
    <t>The Straight Story </t>
  </si>
  <si>
    <t>cane|iowa|lawn mower|tractor|wisconsin</t>
  </si>
  <si>
    <t>Adrian Lyne</t>
  </si>
  <si>
    <t>Michael Nouri</t>
  </si>
  <si>
    <t>Flashdance </t>
  </si>
  <si>
    <t>ballet school|dance|dancer|overalls|steel worker</t>
  </si>
  <si>
    <t>Lois Smith</t>
  </si>
  <si>
    <t>Dead Man Walking </t>
  </si>
  <si>
    <t>death|execution|nun|solitary confinement|visit</t>
  </si>
  <si>
    <t>Rob Paulsen</t>
  </si>
  <si>
    <t>Barnyard </t>
  </si>
  <si>
    <t>cow|farmer|howl|howling at the moon|vegetarian</t>
  </si>
  <si>
    <t>Infamous </t>
  </si>
  <si>
    <t>blood|book|cold calculation|murder|writer</t>
  </si>
  <si>
    <t>Hsiao-Hsien Hou</t>
  </si>
  <si>
    <t>Qi Shu</t>
  </si>
  <si>
    <t>The Assassin </t>
  </si>
  <si>
    <t>black magic|china|love|refusal to kill|wuxia</t>
  </si>
  <si>
    <t>Barry Cook</t>
  </si>
  <si>
    <t>Charlie Rowe</t>
  </si>
  <si>
    <t>Walking with Dinosaurs 3D </t>
  </si>
  <si>
    <t>brother|dinosaur|head butt|hero|orphan</t>
  </si>
  <si>
    <t>Can't Hardly Wait </t>
  </si>
  <si>
    <t>graduation|high school|letter|nerd|party</t>
  </si>
  <si>
    <t>Brick Mansions </t>
  </si>
  <si>
    <t>bare chested male bondage|crime lord|die hard scenario|two word title|undercover</t>
  </si>
  <si>
    <t>Adventure|Comedy|Mystery</t>
  </si>
  <si>
    <t>Antony Starr</t>
  </si>
  <si>
    <t>Without a Paddle </t>
  </si>
  <si>
    <t>death|friend|hijacker|river|tree house</t>
  </si>
  <si>
    <t>The Texas Chain Saw Massacre </t>
  </si>
  <si>
    <t>cannibal|chainsaw|hitchhiker|independent film|leatherface</t>
  </si>
  <si>
    <t>Jarhead </t>
  </si>
  <si>
    <t>american abroad|gulf war|u.s. military|u.s. soldier|usmc</t>
  </si>
  <si>
    <t>Jason Mewes</t>
  </si>
  <si>
    <t>Clerks </t>
  </si>
  <si>
    <t>clerk|friend|hockey|video|video store</t>
  </si>
  <si>
    <t>John Crowley</t>
  </si>
  <si>
    <t>Brooklyn </t>
  </si>
  <si>
    <t>1950s|immigrant|irish|irish accent|torn between two worlds</t>
  </si>
  <si>
    <t>Fantasy|Horror|Sci-Fi</t>
  </si>
  <si>
    <t>Twilight Zone: The Movie </t>
  </si>
  <si>
    <t>1940s|1960s|bar|kick the can|remake</t>
  </si>
  <si>
    <t>Clueless </t>
  </si>
  <si>
    <t>female protagonist|high school|makeover|matchmaker|popularity</t>
  </si>
  <si>
    <t>Adventure|Crime|Drama|Mystery|Western</t>
  </si>
  <si>
    <t>Levon Helm</t>
  </si>
  <si>
    <t>Three Burials </t>
  </si>
  <si>
    <t>cemetery|friend|journey|mexico|promise</t>
  </si>
  <si>
    <t>Michael Sucsy</t>
  </si>
  <si>
    <t>The Vow </t>
  </si>
  <si>
    <t>car accident|life support|memory loss|trauma|voice recording</t>
  </si>
  <si>
    <t>The Greatest </t>
  </si>
  <si>
    <t>car crash|loss|self help group|teenage mother|title directed by female</t>
  </si>
  <si>
    <t>Spy Kids 2: Island of Lost Dreams </t>
  </si>
  <si>
    <t>island|mad scientist|scientist|sequel|spy</t>
  </si>
  <si>
    <t>Sterling Van Wagenen</t>
  </si>
  <si>
    <t>Emily Podleski</t>
  </si>
  <si>
    <t>The Work and the Glory II: American Zion </t>
  </si>
  <si>
    <t>estrangement|missouri|mormon|mormon church|mormon temple</t>
  </si>
  <si>
    <t>Swingers </t>
  </si>
  <si>
    <t>actor|black panties|cult film|friend|upskirt</t>
  </si>
  <si>
    <t>Brian Klugman</t>
  </si>
  <si>
    <t>The Words </t>
  </si>
  <si>
    <t>american in paris|book|love|novel|writer</t>
  </si>
  <si>
    <t>Caroline Link</t>
  </si>
  <si>
    <t>Merab Ninidze</t>
  </si>
  <si>
    <t>Nowhere in Africa </t>
  </si>
  <si>
    <t>breasts|farm|jew|kenya|tween girl</t>
  </si>
  <si>
    <t>Fatal Attraction </t>
  </si>
  <si>
    <t>borderline personality disorder|killing a pet|madame butterfly|new york|new york city</t>
  </si>
  <si>
    <t>Rob Schmidt</t>
  </si>
  <si>
    <t>Wrong Turn </t>
  </si>
  <si>
    <t>forest|mountain|road|stupid victim|west virginia</t>
  </si>
  <si>
    <t>The Last Godfather </t>
  </si>
  <si>
    <t>mafia|mafia boss|mafiosi|mafioso|three word title</t>
  </si>
  <si>
    <t>Max Payne </t>
  </si>
  <si>
    <t>corporation|death|ex partner|hallucination|police detective</t>
  </si>
  <si>
    <t>It's Complicated </t>
  </si>
  <si>
    <t>affair|divorce|graduation|vomiting|watching television</t>
  </si>
  <si>
    <t>Waking Ned Devine </t>
  </si>
  <si>
    <t>dead body|death|lottery|small town|village</t>
  </si>
  <si>
    <t>The Legend of Zorro </t>
  </si>
  <si>
    <t>california|fight|hero|mask|zorro</t>
  </si>
  <si>
    <t>Christian E. Christiansen</t>
  </si>
  <si>
    <t>The Roommate </t>
  </si>
  <si>
    <t>animal abuse(non graphic)|cat killer|college|dead cat|death of cat</t>
  </si>
  <si>
    <t>The Family Man </t>
  </si>
  <si>
    <t>bowling|christmas|parallel universe|salesman|unfaithfulness</t>
  </si>
  <si>
    <t>Hans Petter Moland</t>
  </si>
  <si>
    <t>Aberdeen </t>
  </si>
  <si>
    <t>death|ferry|lawyer|norway|vomiting</t>
  </si>
  <si>
    <t>Annie Hall </t>
  </si>
  <si>
    <t>breaking the fourth wall|comedian|jewish|neurosis|singer</t>
  </si>
  <si>
    <t>Deep Rising </t>
  </si>
  <si>
    <t>creature feature|hijacker|ocean|ship|shot in the leg</t>
  </si>
  <si>
    <t>Animation|Drama|Family|Fantasy|Musical|Romance</t>
  </si>
  <si>
    <t>Corpse Bride </t>
  </si>
  <si>
    <t>arranged marriage|bride|corpse|groom|woods</t>
  </si>
  <si>
    <t>Kingpin </t>
  </si>
  <si>
    <t>amish|bowling|on the road|rubber hand|tournament</t>
  </si>
  <si>
    <t>John Cameron Mitchell</t>
  </si>
  <si>
    <t>Rabbit Hole </t>
  </si>
  <si>
    <t>car|comic book|comic book artist|iphone|memory</t>
  </si>
  <si>
    <t>Action|Comedy|Crime|Family</t>
  </si>
  <si>
    <t>See Spot Run </t>
  </si>
  <si>
    <t>boy|fbi|mailman|van|witness protection</t>
  </si>
  <si>
    <t>Lili Taylor</t>
  </si>
  <si>
    <t>Ransom </t>
  </si>
  <si>
    <t>bounty|fbi|millionaire|money|ransom</t>
  </si>
  <si>
    <t>O </t>
  </si>
  <si>
    <t>basketball|basketball player|boarding school|love|shakespeare's othello</t>
  </si>
  <si>
    <t>Robert Towne</t>
  </si>
  <si>
    <t>Without Limits </t>
  </si>
  <si>
    <t>car crash|coach|death|oregon|university of oregon</t>
  </si>
  <si>
    <t>Superman Returns </t>
  </si>
  <si>
    <t>crystal|epic|lex luthor|lois lane|return to earth</t>
  </si>
  <si>
    <t>Bernardo Bertolucci</t>
  </si>
  <si>
    <t>The Last Emperor </t>
  </si>
  <si>
    <t>abdication|china|emperor|forbidden city|republic</t>
  </si>
  <si>
    <t>Gilles Paquet-Brenner</t>
  </si>
  <si>
    <t>Sarah's Key </t>
  </si>
  <si>
    <t>apartment|escape|jewish family|journalist|key</t>
  </si>
  <si>
    <t>Walt Becker</t>
  </si>
  <si>
    <t>Alvin and the Chipmunks: The Road Chip </t>
  </si>
  <si>
    <t>chipmunk|highway travel|on the road|plane|road movie</t>
  </si>
  <si>
    <t>John Cothran</t>
  </si>
  <si>
    <t>Boyz n the Hood </t>
  </si>
  <si>
    <t>drugs|escape|football|friend|violence</t>
  </si>
  <si>
    <t>Bruce Almighty </t>
  </si>
  <si>
    <t>answer to prayer|breast expansion|pleading with god|supernatural power|walking on water</t>
  </si>
  <si>
    <t>Milk </t>
  </si>
  <si>
    <t>california|gay|gay activist|gay pickup|gay rights</t>
  </si>
  <si>
    <t>Adventure|Drama|Thriller|War</t>
  </si>
  <si>
    <t>JÃ¼rgen Prochnow</t>
  </si>
  <si>
    <t>Das Boot </t>
  </si>
  <si>
    <t>duty|submarine|submarine movie|tension|u boat</t>
  </si>
  <si>
    <t>West Germany</t>
  </si>
  <si>
    <t>Ryan O'Neal</t>
  </si>
  <si>
    <t>A Bridge Too Far </t>
  </si>
  <si>
    <t>airborne troops|allies|operation market garden|panzer|paratrooper</t>
  </si>
  <si>
    <t>Paul Hunter</t>
  </si>
  <si>
    <t>Bulletproof Monk </t>
  </si>
  <si>
    <t>monastery|monk|scroll|tibetan|tibetan monk</t>
  </si>
  <si>
    <t>The Express </t>
  </si>
  <si>
    <t>african american|coach|football movie|nonlinear timeline|syracuse university</t>
  </si>
  <si>
    <t>Kevin Alejandro</t>
  </si>
  <si>
    <t>Strange Wilderness </t>
  </si>
  <si>
    <t>bigfoot|critically bashed|ecuador|friend|tv show</t>
  </si>
  <si>
    <t>Think Like a Man Too </t>
  </si>
  <si>
    <t>african american|imperative in title|las vegas nevada|nevada|wedding</t>
  </si>
  <si>
    <t>Nacho Vigalondo</t>
  </si>
  <si>
    <t>Karra Elejalde</t>
  </si>
  <si>
    <t>Timecrimes </t>
  </si>
  <si>
    <t>binoculars|hitchcockian|scissors|time machine|woods</t>
  </si>
  <si>
    <t>Robots </t>
  </si>
  <si>
    <t>actor voicing multiple characters|box office hit|coffee|plate|robot</t>
  </si>
  <si>
    <t>Dwight H. Little</t>
  </si>
  <si>
    <t>Halloween 4: The Return of Michael Myers </t>
  </si>
  <si>
    <t>halloween|michael myers|murder|niece|october</t>
  </si>
  <si>
    <t>Meiert Avis</t>
  </si>
  <si>
    <t>Undiscovered </t>
  </si>
  <si>
    <t>bare chested male|box office flop|diner|german shepherd|one word title</t>
  </si>
  <si>
    <t>Around the World in 80 Days </t>
  </si>
  <si>
    <t>19th century|around the world|inventor|martial arts|train</t>
  </si>
  <si>
    <t>Jody Hill</t>
  </si>
  <si>
    <t>Collette Wolfe</t>
  </si>
  <si>
    <t>Observe and Report </t>
  </si>
  <si>
    <t>male pubic hair|mall|police detective|pubic hair|security guard</t>
  </si>
  <si>
    <t>Charles T. Kanganis</t>
  </si>
  <si>
    <t>3 Ninjas Kick Back </t>
  </si>
  <si>
    <t>1990s|dagger|japan|mousetrap|stick fight</t>
  </si>
  <si>
    <t>Biography|Crime|Drama|Romance|Thriller</t>
  </si>
  <si>
    <t>Heavenly Creatures </t>
  </si>
  <si>
    <t>fantasy life|friend|friendship|love|teenage crush</t>
  </si>
  <si>
    <t>Scott Cohen</t>
  </si>
  <si>
    <t>Kissing Jessica Stein </t>
  </si>
  <si>
    <t>friend|friendship|journalist|new york city|personal ad</t>
  </si>
  <si>
    <t>Chain Reaction </t>
  </si>
  <si>
    <t>cold fusion|die hard scenario|man with glasses|on the run|outrunning explosion</t>
  </si>
  <si>
    <t>Mission: Impossible </t>
  </si>
  <si>
    <t>disguise|mission|spy|stealing|traitor</t>
  </si>
  <si>
    <t>Christopher Masterson</t>
  </si>
  <si>
    <t>Cutthroat Island </t>
  </si>
  <si>
    <t>latin|pirate|pirate ship|treasure|treasure map</t>
  </si>
  <si>
    <t>Action|Adventure|Horror|Thriller</t>
  </si>
  <si>
    <t>Anaconda </t>
  </si>
  <si>
    <t>amazon|anaconda|boat|jungle|snake</t>
  </si>
  <si>
    <t>Eric Valette</t>
  </si>
  <si>
    <t>Johnny Lewis</t>
  </si>
  <si>
    <t>One Missed Call </t>
  </si>
  <si>
    <t>death|lifting someone into the air|telephone|telephone call|voice mail</t>
  </si>
  <si>
    <t>Zak Penn</t>
  </si>
  <si>
    <t>Adventure|Comedy|Horror</t>
  </si>
  <si>
    <t>Incident at Loch Ness </t>
  </si>
  <si>
    <t>boat|director|loch ness|loch ness monster|monster</t>
  </si>
  <si>
    <t>Dick </t>
  </si>
  <si>
    <t>political cover up|political satire|teenage girl|white house|witness</t>
  </si>
  <si>
    <t>Drama|History|Horror</t>
  </si>
  <si>
    <t>Beloved </t>
  </si>
  <si>
    <t>farm|freedom|ohio|slavery|spirit</t>
  </si>
  <si>
    <t>Miguel Sapochnik</t>
  </si>
  <si>
    <t>Repo Men </t>
  </si>
  <si>
    <t>artificial organ|best friend|enforcer|future|near future</t>
  </si>
  <si>
    <t>Peter Webber</t>
  </si>
  <si>
    <t>Hannibal Rising </t>
  </si>
  <si>
    <t>aunt|cannibalism|faked death|medical student|revenge</t>
  </si>
  <si>
    <t>Tin Cup </t>
  </si>
  <si>
    <t>driving range|golf|golfer|tournament|winnebago</t>
  </si>
  <si>
    <t>Action|Adventure|Mystery|Sci-Fi</t>
  </si>
  <si>
    <t>Dylan Walsh</t>
  </si>
  <si>
    <t>Congo </t>
  </si>
  <si>
    <t>captain|congo|expedition|laser|lost city</t>
  </si>
  <si>
    <t>Animation|Comedy|Family|Fantasy|Musical|Romance</t>
  </si>
  <si>
    <t>Jeff Bennett</t>
  </si>
  <si>
    <t>Enchanted </t>
  </si>
  <si>
    <t>fairy tale|lawyer|love|new york|prince</t>
  </si>
  <si>
    <t>A Most Violent Year </t>
  </si>
  <si>
    <t>american dream|immigrant|new york city|oil|violence</t>
  </si>
  <si>
    <t>Fever Pitch </t>
  </si>
  <si>
    <t>baltimore orioles|boston red sox|promotion|ups|world series</t>
  </si>
  <si>
    <t>Siddharth Anand</t>
  </si>
  <si>
    <t>Saif Ali Khan</t>
  </si>
  <si>
    <t>Ta Ra Rum Pum </t>
  </si>
  <si>
    <t>comeback|family relationships|marriage|new york|racer</t>
  </si>
  <si>
    <t>Tony Nappo</t>
  </si>
  <si>
    <t>Land of the Dead </t>
  </si>
  <si>
    <t>apocalypse|mercenary|skyscraper|urban setting|zombie apocalypse</t>
  </si>
  <si>
    <t>Gabriel Millman</t>
  </si>
  <si>
    <t>The Emperor's Club </t>
  </si>
  <si>
    <t>classroom|fund raising|headmaster|reunion|roman</t>
  </si>
  <si>
    <t>X-Men: The Last Stand </t>
  </si>
  <si>
    <t>battle|mutant|outrage|walking through a wall|x men</t>
  </si>
  <si>
    <t>The Devil's Own </t>
  </si>
  <si>
    <t>friendship|murder|northern ireland|police officer|terrorist</t>
  </si>
  <si>
    <t>Just Like Heaven </t>
  </si>
  <si>
    <t>apartment|architect|coma|doctor|spirit</t>
  </si>
  <si>
    <t>Just Go with It </t>
  </si>
  <si>
    <t>chick flick|hawaii|love|plastic surgeon|woman wearing a string bikini</t>
  </si>
  <si>
    <t>Office Space </t>
  </si>
  <si>
    <t>boss|computer|downsizing|neighbor|office</t>
  </si>
  <si>
    <t>Craig Brewer</t>
  </si>
  <si>
    <t>Crime|Drama|Music</t>
  </si>
  <si>
    <t>Isaac Hayes</t>
  </si>
  <si>
    <t>Hustle &amp; Flow </t>
  </si>
  <si>
    <t>baby|friend|hip hop|pimp|stripper</t>
  </si>
  <si>
    <t>Steve Gomer</t>
  </si>
  <si>
    <t>Trevor Morgan</t>
  </si>
  <si>
    <t>Barney's Great Adventure </t>
  </si>
  <si>
    <t>apostrophe in title|critically bashed|hit on the head with a ball|punctuation in title|tyrannosaurus rex</t>
  </si>
  <si>
    <t>Mikael Salomon</t>
  </si>
  <si>
    <t>Hard Rain </t>
  </si>
  <si>
    <t>dam|flood|money|police|sheriff</t>
  </si>
  <si>
    <t>Pain &amp; Gain </t>
  </si>
  <si>
    <t>american dream|bodybuilder|money|punch into the camera|reference to julia roberts</t>
  </si>
  <si>
    <t>What a Girl Wants </t>
  </si>
  <si>
    <t>american|daughter|england|father|politician</t>
  </si>
  <si>
    <t>Todd Field</t>
  </si>
  <si>
    <t>In the Bedroom </t>
  </si>
  <si>
    <t>doctor|maine|only son|school choir|summer</t>
  </si>
  <si>
    <t>Thir13en Ghosts </t>
  </si>
  <si>
    <t>collector|ghost|ghost hunter|glass house|machine</t>
  </si>
  <si>
    <t>Rudy Youngblood</t>
  </si>
  <si>
    <t>Apocalypto </t>
  </si>
  <si>
    <t>jaguar|mayan|solar eclipse|tribe|village</t>
  </si>
  <si>
    <t>Maya</t>
  </si>
  <si>
    <t>Dylan Baker</t>
  </si>
  <si>
    <t>How to Deal </t>
  </si>
  <si>
    <t>best friend|high school|mother|sister|wedding</t>
  </si>
  <si>
    <t>Li Zhang</t>
  </si>
  <si>
    <t>1911 </t>
  </si>
  <si>
    <t>china|disarming someone|qing dynasty|stabbed with a bayonet|war violence</t>
  </si>
  <si>
    <t>Peter M. Cohen</t>
  </si>
  <si>
    <t>Callie Thorne</t>
  </si>
  <si>
    <t>Whipped </t>
  </si>
  <si>
    <t>dating|diner|masturbation|urination|washington square manhattan new york city</t>
  </si>
  <si>
    <t>Kirk Wong</t>
  </si>
  <si>
    <t>The Big Hit </t>
  </si>
  <si>
    <t>hitman|kidnapping|kosher|vhs|video store</t>
  </si>
  <si>
    <t>Ricky Gervais</t>
  </si>
  <si>
    <t>The Invention of Lying </t>
  </si>
  <si>
    <t>genetics|heaven|lie|screenwriter|truth</t>
  </si>
  <si>
    <t>Ari Graynor</t>
  </si>
  <si>
    <t>Nick and Norah's Infinite Playlist </t>
  </si>
  <si>
    <t>band|gay|gay friend|love|night</t>
  </si>
  <si>
    <t>Swimfan </t>
  </si>
  <si>
    <t>high school|hospital|new jersey|stanford university|swimming</t>
  </si>
  <si>
    <t>Fantasy|Horror|Mystery|Romance</t>
  </si>
  <si>
    <t>The Mortal Instruments: City of Bones </t>
  </si>
  <si>
    <t>battle|demon|magic|secret|warrior</t>
  </si>
  <si>
    <t>Chris Moss</t>
  </si>
  <si>
    <t>Beerfest </t>
  </si>
  <si>
    <t>beer|competition|germany|oktoberfest|prostitute</t>
  </si>
  <si>
    <t>Ruby Dee</t>
  </si>
  <si>
    <t>Do the Right Thing </t>
  </si>
  <si>
    <t>black militant|frustration|pizza|pizza parlor|pizzeria</t>
  </si>
  <si>
    <t>Yaphet Kotto</t>
  </si>
  <si>
    <t>Live and Let Die </t>
  </si>
  <si>
    <t>british|cards|heroin|murder|tarot card</t>
  </si>
  <si>
    <t>Leopold Stokowski</t>
  </si>
  <si>
    <t>Fantasia </t>
  </si>
  <si>
    <t>apprentice|classical music|disney|mouse|orchestra</t>
  </si>
  <si>
    <t>Fernando LeÃ³n de Aranoa</t>
  </si>
  <si>
    <t>Luis Tosar</t>
  </si>
  <si>
    <t>Mondays in the Sun </t>
  </si>
  <si>
    <t>australia|bar|shipyard|siamese twins|tuna</t>
  </si>
  <si>
    <t>Chris Eyre</t>
  </si>
  <si>
    <t>Michael Greyeyes</t>
  </si>
  <si>
    <t>Smoke Signals </t>
  </si>
  <si>
    <t>family abandonment|fire|loss of father|native american protagonist|native american reservation</t>
  </si>
  <si>
    <t>An Education </t>
  </si>
  <si>
    <t>1960s|age difference|france|loss of virginity|oxford</t>
  </si>
  <si>
    <t>Oldboy </t>
  </si>
  <si>
    <t>brother sister relationship|hypnosis|imprisonment|love|revenge</t>
  </si>
  <si>
    <t>Extract </t>
  </si>
  <si>
    <t>freak accident|gigolo|hit in the crotch|nosy neighbor|on the job injury</t>
  </si>
  <si>
    <t>Pi </t>
  </si>
  <si>
    <t>mathematician|nature|numbers|pattern|using a metal detector on a beach</t>
  </si>
  <si>
    <t>Mustafa Haidari</t>
  </si>
  <si>
    <t>The Kite Runner </t>
  </si>
  <si>
    <t>afghanistan|based on novel|boy|friend|kite</t>
  </si>
  <si>
    <t>Star Trek III: The Search for Spock </t>
  </si>
  <si>
    <t>dying planet|planet|regaining one's memory|sacrifice|stabbed to death</t>
  </si>
  <si>
    <t>Your Highness </t>
  </si>
  <si>
    <t>knight|prince|quest|rescue|thong bikini</t>
  </si>
  <si>
    <t>Jonathan Newman</t>
  </si>
  <si>
    <t>The Adventurer: The Curse of the Midas Box </t>
  </si>
  <si>
    <t>based on novel|drowning|hanging from a flagpole|hanging from a rope|magic</t>
  </si>
  <si>
    <t>Wag the Dog </t>
  </si>
  <si>
    <t>death|election|hollywood|president|scandal</t>
  </si>
  <si>
    <t>Seabiscuit </t>
  </si>
  <si>
    <t>horse|horse racing|jockey|limp|seabiscuit</t>
  </si>
  <si>
    <t>Star Trek: The Motion Picture </t>
  </si>
  <si>
    <t>alien|space|space station|spacecraft|warp speed</t>
  </si>
  <si>
    <t>Jason Moore</t>
  </si>
  <si>
    <t>Pitch Perfect </t>
  </si>
  <si>
    <t>a cappella|competition|dj|female protagonist|lesbian</t>
  </si>
  <si>
    <t>Rob Hedden</t>
  </si>
  <si>
    <t>Friday the 13th Part VIII: Jason Takes Manhattan </t>
  </si>
  <si>
    <t>cult film|friday the thirteenth|hockey mask|jason voorhees|murder spree</t>
  </si>
  <si>
    <t>James Fargo</t>
  </si>
  <si>
    <t>Caravans </t>
  </si>
  <si>
    <t>afghanistan|caravan|rebel|russian|tribe</t>
  </si>
  <si>
    <t>Blue Valentine </t>
  </si>
  <si>
    <t>dog hit by a car|dysfunctional family|falling in love|female in shower|unhappily married woman</t>
  </si>
  <si>
    <t>Action|Comedy|Crime|Music</t>
  </si>
  <si>
    <t>The Blues Brothers </t>
  </si>
  <si>
    <t>band|catholic|money|parolee|prison</t>
  </si>
  <si>
    <t>Self/less </t>
  </si>
  <si>
    <t>cancer|elderly man|funeral|medical|transhumanism</t>
  </si>
  <si>
    <t>Jeb Stuart</t>
  </si>
  <si>
    <t>Gregory Scott Cummins</t>
  </si>
  <si>
    <t>Switchback </t>
  </si>
  <si>
    <t>deputy|fbi agent|knife held to throat|serial killer|sheriff</t>
  </si>
  <si>
    <t>Stuart Little 2 </t>
  </si>
  <si>
    <t>anthropomorphic mouse|falcon|marshmallow|second part|soccer</t>
  </si>
  <si>
    <t>Drive </t>
  </si>
  <si>
    <t>kissing in an elevator|mythical hero|neo noir|protective male|silent protagonist</t>
  </si>
  <si>
    <t>JirÃ­ Menzel</t>
  </si>
  <si>
    <t>Comedy|Drama|Romance|War</t>
  </si>
  <si>
    <t>Julia Jentsch</t>
  </si>
  <si>
    <t>I Served the King of England </t>
  </si>
  <si>
    <t>hotel|legs|lingerie|waiter|wealth</t>
  </si>
  <si>
    <t>Czech</t>
  </si>
  <si>
    <t>Brenda Fricker</t>
  </si>
  <si>
    <t>Veronica Guerin </t>
  </si>
  <si>
    <t>criminal|drug lord|gunshot|irish|journalist</t>
  </si>
  <si>
    <t>Aladdin </t>
  </si>
  <si>
    <t>arab|genie|magic|princess|reference to a thousand and one nights</t>
  </si>
  <si>
    <t>Armored </t>
  </si>
  <si>
    <t>armored truck|blood splatter|die hard scenario|guard|heist</t>
  </si>
  <si>
    <t>GÃ©rard Krawczyk</t>
  </si>
  <si>
    <t>Carole Bouquet</t>
  </si>
  <si>
    <t>Wasabi </t>
  </si>
  <si>
    <t>french|inheritance|japan|letter|police detective hero</t>
  </si>
  <si>
    <t>Fantasy|Romance</t>
  </si>
  <si>
    <t>Edward Scissorhands </t>
  </si>
  <si>
    <t>creation|inventor|magical realism|scissors|suburb</t>
  </si>
  <si>
    <t>The Postman </t>
  </si>
  <si>
    <t>drifter|escape|hope|postman|usa</t>
  </si>
  <si>
    <t>Blair Hayes</t>
  </si>
  <si>
    <t>Adventure|Comedy|Romance|Sci-Fi</t>
  </si>
  <si>
    <t>Bubble Boy </t>
  </si>
  <si>
    <t>cigarette smoking|hand on butt|niagara falls|plastic bubble|wedding</t>
  </si>
  <si>
    <t>Mr. &amp; Mrs. Smith </t>
  </si>
  <si>
    <t>assassin|marriage|secret agent|suburb|target</t>
  </si>
  <si>
    <t>Michael Spierig</t>
  </si>
  <si>
    <t>Jay Laga'aia</t>
  </si>
  <si>
    <t>Daybreakers </t>
  </si>
  <si>
    <t>blood|rationing|vampire|vampire society|year 2019</t>
  </si>
  <si>
    <t>Fritz Lang</t>
  </si>
  <si>
    <t>Brigitte Helm</t>
  </si>
  <si>
    <t>Metropolis </t>
  </si>
  <si>
    <t>art deco|bible quote|dance|silent film|worker</t>
  </si>
  <si>
    <t>J.A. Bayona</t>
  </si>
  <si>
    <t>Geraldine Chaplin</t>
  </si>
  <si>
    <t>The Orphanage </t>
  </si>
  <si>
    <t>dead children|ghost|missing child|orphan|orphanage</t>
  </si>
  <si>
    <t>The Day After Tomorrow </t>
  </si>
  <si>
    <t>climate|end of the world|global warming|natural disaster|weather</t>
  </si>
  <si>
    <t>R.J. Cutler</t>
  </si>
  <si>
    <t>Drama|Fantasy|Music|Romance</t>
  </si>
  <si>
    <t>If I Stay </t>
  </si>
  <si>
    <t>car accident|coma|out of body experience|reference to the exploited|teenage girl</t>
  </si>
  <si>
    <t>Stephen Chow</t>
  </si>
  <si>
    <t>Wei Zhao</t>
  </si>
  <si>
    <t>Shaolin Soccer </t>
  </si>
  <si>
    <t>cult film|kung fu|martial arts|shaolin|soccer</t>
  </si>
  <si>
    <t>G.I. Joe: The Rise of Cobra </t>
  </si>
  <si>
    <t>cobra|gi joe|snake|train|warhead</t>
  </si>
  <si>
    <t>Danny Strong</t>
  </si>
  <si>
    <t>Sydney White </t>
  </si>
  <si>
    <t>college|college girl|female protagonist|sorority|sorority house</t>
  </si>
  <si>
    <t>The Last Time I Committed Suicide </t>
  </si>
  <si>
    <t>1940s|female bare foot|picket fence|tire|vomiting</t>
  </si>
  <si>
    <t>Asghar Farhadi</t>
  </si>
  <si>
    <t>Shahab Hosseini</t>
  </si>
  <si>
    <t>A Separation </t>
  </si>
  <si>
    <t>alzheimer's disease|caregiver|divorce|iran|iranian</t>
  </si>
  <si>
    <t>Vampires Suck </t>
  </si>
  <si>
    <t>cat|friend|love|sheriff|teenager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</si>
  <si>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</si>
  <si>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</si>
  <si>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</si>
  <si>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</si>
  <si>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Monsters vs. Aliens </t>
  </si>
  <si>
    <t>alien|alien invasion|alien space craft|giant|giantess</t>
  </si>
  <si>
    <t>Debbie Reynolds</t>
  </si>
  <si>
    <t>Connie and Carla </t>
  </si>
  <si>
    <t>box office flop|drag queen|gender disguise|mafia|witness</t>
  </si>
  <si>
    <t>Sullivan Stapleton</t>
  </si>
  <si>
    <t>Darkness Falls </t>
  </si>
  <si>
    <t>boy|darkness|light|tooth|tooth fairy</t>
  </si>
  <si>
    <t>Paul Gross</t>
  </si>
  <si>
    <t>Molly Parker</t>
  </si>
  <si>
    <t>Men with Brooms </t>
  </si>
  <si>
    <t>championship|coach|curling|marriage|rural setting</t>
  </si>
  <si>
    <t>Never Let Me Go </t>
  </si>
  <si>
    <t>boarding school|childhood|love|love triangle|organ donation</t>
  </si>
  <si>
    <t>AVP: Alien vs. Predator </t>
  </si>
  <si>
    <t>alien|antarctica|predator|pyramid|satellite</t>
  </si>
  <si>
    <t>Jane Campion</t>
  </si>
  <si>
    <t>Bright Star </t>
  </si>
  <si>
    <t>19th century|friend|john keats|passion|poet</t>
  </si>
  <si>
    <t>28 Days </t>
  </si>
  <si>
    <t>12 step program|box office hit|car accident|vomiting|wedding</t>
  </si>
  <si>
    <t>Jennifer's Body </t>
  </si>
  <si>
    <t>cannibalism|cheerleader|condom|hook for hand|satanic ritual</t>
  </si>
  <si>
    <t>Scooby-Doo </t>
  </si>
  <si>
    <t>amusement park|island|motorcycle|scooby doo|tough girl</t>
  </si>
  <si>
    <t>Peter Lepeniotis</t>
  </si>
  <si>
    <t>The Nut Job </t>
  </si>
  <si>
    <t>bank robbery|heist|raccoon|rat|squirrel</t>
  </si>
  <si>
    <t>The Wolfman </t>
  </si>
  <si>
    <t>asylum|death|full moon|transformation|werewolf</t>
  </si>
  <si>
    <t>Cars </t>
  </si>
  <si>
    <t>car|desert|route 66|tow truck|truck</t>
  </si>
  <si>
    <t>Blade II </t>
  </si>
  <si>
    <t>blade the character|cult film|mutation|vampire|warrior</t>
  </si>
  <si>
    <t>Don Siegel</t>
  </si>
  <si>
    <t>Escape from Alcatraz </t>
  </si>
  <si>
    <t>alcatraz|escape|inmate|island|prison</t>
  </si>
  <si>
    <t>Tom McGrath</t>
  </si>
  <si>
    <t>Megamind </t>
  </si>
  <si>
    <t>battle|city|planet|prison|superhero</t>
  </si>
  <si>
    <t>Travis Cluff</t>
  </si>
  <si>
    <t>Pfeifer Brown</t>
  </si>
  <si>
    <t>The Gallows </t>
  </si>
  <si>
    <t>breaking and entering|gallows|hanging|high school|stage</t>
  </si>
  <si>
    <t>Jennifer Flackett</t>
  </si>
  <si>
    <t>Nim's Island </t>
  </si>
  <si>
    <t>author|girl|island|reading|scientist</t>
  </si>
  <si>
    <t>Hanno PÃ¶schl</t>
  </si>
  <si>
    <t>Before Sunrise </t>
  </si>
  <si>
    <t>american|conversations|kiss|love|train</t>
  </si>
  <si>
    <t>Biography|Comedy|Drama|Romance</t>
  </si>
  <si>
    <t>Patch Adams </t>
  </si>
  <si>
    <t>doctor|hospital|mental institution|nurse|student</t>
  </si>
  <si>
    <t>Matt Piedmont</t>
  </si>
  <si>
    <t>Casa de mi Padre </t>
  </si>
  <si>
    <t>absurd humor|drug lord|mexico|ranch|spaghetti western</t>
  </si>
  <si>
    <t>Exotica </t>
  </si>
  <si>
    <t>bird|cult film|egg|nightclub|toronto</t>
  </si>
  <si>
    <t>Geoffrey Arend</t>
  </si>
  <si>
    <t>Super Troopers </t>
  </si>
  <si>
    <t>drugs|highway|police|state trooper|vermont</t>
  </si>
  <si>
    <t>You Kill Me </t>
  </si>
  <si>
    <t>alcoholic|buffalo new york|claim in title|embalming|mortuary</t>
  </si>
  <si>
    <t>Nicholas Gonzalez</t>
  </si>
  <si>
    <t>Anacondas: The Hunt for the Blood Orchid </t>
  </si>
  <si>
    <t>anaconda|blood|borneo|flower|orchid</t>
  </si>
  <si>
    <t>Titan A.E. </t>
  </si>
  <si>
    <t>alien|captain|escape|pilot|scientist</t>
  </si>
  <si>
    <t>The Best Man Holiday </t>
  </si>
  <si>
    <t>childbirth|christmas|gay slur|infidelity|punched in the nose</t>
  </si>
  <si>
    <t>King Vidor</t>
  </si>
  <si>
    <t>Duel in the Sun </t>
  </si>
  <si>
    <t>box office hit|half breed|infidelity|shooting|texas</t>
  </si>
  <si>
    <t>Sharon Maguire</t>
  </si>
  <si>
    <t>Bridget Jones's Diary </t>
  </si>
  <si>
    <t>american actress playing british character|book publishing|calorie counting|employer employee relationship|rabbit costume</t>
  </si>
  <si>
    <t>Back to the Future </t>
  </si>
  <si>
    <t>clock tower|delorean|future|time travel|time travel comedy</t>
  </si>
  <si>
    <t>Nicholas Fackler</t>
  </si>
  <si>
    <t>Lovely, Still </t>
  </si>
  <si>
    <t>christmas|fable|old man</t>
  </si>
  <si>
    <t>Paul Tibbitt</t>
  </si>
  <si>
    <t>Tim Conway</t>
  </si>
  <si>
    <t>The SpongeBob Movie: Sponge Out of Water </t>
  </si>
  <si>
    <t>book|magic|pirate|plankton|time machine</t>
  </si>
  <si>
    <t>Don Mancini</t>
  </si>
  <si>
    <t>Seed of Chucky </t>
  </si>
  <si>
    <t>actress|killer doll|murder|vixen|vomiting</t>
  </si>
  <si>
    <t>Romania</t>
  </si>
  <si>
    <t>Showdown in Little Tokyo </t>
  </si>
  <si>
    <t>bare chested male|detective|electric torture|japanese american|yakuza</t>
  </si>
  <si>
    <t>Star Trek: Insurrection </t>
  </si>
  <si>
    <t>alien|captain|commander|conspiracy|planet</t>
  </si>
  <si>
    <t>Denis O'Hare</t>
  </si>
  <si>
    <t>Derailed </t>
  </si>
  <si>
    <t>drink|hotel|police|staged rape|thief</t>
  </si>
  <si>
    <t>John Lafia</t>
  </si>
  <si>
    <t>Jenny Agutter</t>
  </si>
  <si>
    <t>Child's Play 2 </t>
  </si>
  <si>
    <t>boy|doll|foster home|killer doll|serial killer</t>
  </si>
  <si>
    <t>The Prestige </t>
  </si>
  <si>
    <t>illusion|magician|obsession|rivalry|secret</t>
  </si>
  <si>
    <t>The Rundown </t>
  </si>
  <si>
    <t>amazon|bounty hunter|fight|hunter|jungle</t>
  </si>
  <si>
    <t>Susan Seidelman</t>
  </si>
  <si>
    <t>Dyan Cannon</t>
  </si>
  <si>
    <t>Boynton Beach Club </t>
  </si>
  <si>
    <t>title spoken by character</t>
  </si>
  <si>
    <t>Machine Gun Preacher </t>
  </si>
  <si>
    <t>africa|biker|church|orphanage|preacher</t>
  </si>
  <si>
    <t>Comedy|Family|Sport</t>
  </si>
  <si>
    <t>The Game Plan </t>
  </si>
  <si>
    <t>family relationships|football movie|publicist|sports team|tween girl</t>
  </si>
  <si>
    <t>xXx </t>
  </si>
  <si>
    <t>agent|nsa|nsa agent|prague|russian</t>
  </si>
  <si>
    <t>Juan Carlos Fresnadillo</t>
  </si>
  <si>
    <t>28 Weeks Later </t>
  </si>
  <si>
    <t>paris france|rage|sniper|u.s. army|zombie apocalypse</t>
  </si>
  <si>
    <t>Scott Mechlowicz</t>
  </si>
  <si>
    <t>Peaceful Warrior </t>
  </si>
  <si>
    <t>college|college athlete|comeback|gymnast|olympics</t>
  </si>
  <si>
    <t>David Schwimmer</t>
  </si>
  <si>
    <t>Noah Emmerich</t>
  </si>
  <si>
    <t>Trust </t>
  </si>
  <si>
    <t>counselor|fbi|revenge motive|school|teenage girl</t>
  </si>
  <si>
    <t>Cop Land </t>
  </si>
  <si>
    <t>corruption|faked death|falling off a roof|internal affairs|nypd</t>
  </si>
  <si>
    <t>Tropic Thunder </t>
  </si>
  <si>
    <t>film director|parody|spoof|vietnam|written and directed by cast member</t>
  </si>
  <si>
    <t>Home Alone 2: Lost in New York </t>
  </si>
  <si>
    <t>airport|christmas|florida|new york city|toy store</t>
  </si>
  <si>
    <t>Blazing Saddles </t>
  </si>
  <si>
    <t>railroad|reference to douglas fairbanks|reference to jesse owens|reference to randolph scott|year 1874</t>
  </si>
  <si>
    <t>Action|Adventure|Comedy|Family|Fantasy|Mystery|Sci-Fi</t>
  </si>
  <si>
    <t>Men in Black II </t>
  </si>
  <si>
    <t>alien|lingerie|lingerie model|m.i.b.|pug</t>
  </si>
  <si>
    <t>Message in a Bottle </t>
  </si>
  <si>
    <t>beach|bottle|jogging|letter|love</t>
  </si>
  <si>
    <t>David Palmer</t>
  </si>
  <si>
    <t>Hit and Run </t>
  </si>
  <si>
    <t>gay cop|getaway driver|masturbation|penis|witness protection</t>
  </si>
  <si>
    <t>Sunshine </t>
  </si>
  <si>
    <t>astronaut|earth|future|icarus|sun</t>
  </si>
  <si>
    <t>Saw VI </t>
  </si>
  <si>
    <t>deception|flash photography|game of death|jigsaw|pig mask</t>
  </si>
  <si>
    <t>Antony Hoffman</t>
  </si>
  <si>
    <t>Bob Neill</t>
  </si>
  <si>
    <t>Red Planet </t>
  </si>
  <si>
    <t>astronaut|mars|robot|robot as menace|survival</t>
  </si>
  <si>
    <t>Tzi Ma</t>
  </si>
  <si>
    <t>Rush Hour 3 </t>
  </si>
  <si>
    <t>ambassador|assassination|chinese|french|triad</t>
  </si>
  <si>
    <t>Ride Along 2 </t>
  </si>
  <si>
    <t>computer hacker|crime boss|detective|drugs|wedding</t>
  </si>
  <si>
    <t>Action|Adventure|Animation|Family</t>
  </si>
  <si>
    <t>The Incredibles </t>
  </si>
  <si>
    <t>hero|island|lawsuit|secret|superhero</t>
  </si>
  <si>
    <t>Maribel VerdÃº</t>
  </si>
  <si>
    <t>Y Tu MamÃ¡ TambiÃ©n </t>
  </si>
  <si>
    <t>beach|cleaning a swimming pool|male male kiss|mexico|on the road</t>
  </si>
  <si>
    <t>After Earth </t>
  </si>
  <si>
    <t>box office flop|father son team|fear|race against time|real life father and son playing father and son</t>
  </si>
  <si>
    <t>Harvey Fierstein</t>
  </si>
  <si>
    <t>Safe Men </t>
  </si>
  <si>
    <t>gangster|organized crime|robbery|rosh hashanah|safecracking</t>
  </si>
  <si>
    <t>Adventure|Sci-Fi</t>
  </si>
  <si>
    <t>The Hunger Games: Mockingjay - Part 2 </t>
  </si>
  <si>
    <t>death of sister|dystopia|execution|rebellion|revolution</t>
  </si>
  <si>
    <t>Divine Secrets of the Ya-Ya Sisterhood </t>
  </si>
  <si>
    <t>flashback|interview|louisiana|playwright|secret society</t>
  </si>
  <si>
    <t>Michael Stuhlbarg</t>
  </si>
  <si>
    <t>A Serious Man </t>
  </si>
  <si>
    <t>bar mitzvah|jewish|marital breakup|nose job|rabbi</t>
  </si>
  <si>
    <t>Family|Music|Romance</t>
  </si>
  <si>
    <t>Oliver James</t>
  </si>
  <si>
    <t>Raise Your Voice </t>
  </si>
  <si>
    <t>music school|scholarship|small town|stage fright|three word title</t>
  </si>
  <si>
    <t>Menno Meyjes</t>
  </si>
  <si>
    <t>Martian Child </t>
  </si>
  <si>
    <t>adopted son|adoption|boy|mars the planet|widower</t>
  </si>
  <si>
    <t>Annabelle </t>
  </si>
  <si>
    <t>horror movie prequel|murder|paranormal activity|self sacrifice|suicide</t>
  </si>
  <si>
    <t>Julie Christie</t>
  </si>
  <si>
    <t>Hamlet </t>
  </si>
  <si>
    <t>classic literature|denmark|funeral|madness|prince</t>
  </si>
  <si>
    <t>Yaya DaCosta</t>
  </si>
  <si>
    <t>And So It Goes </t>
  </si>
  <si>
    <t>four word title|grandparent grandchild relationship|reference to facebook|reference to the internet|singer</t>
  </si>
  <si>
    <t>Changing Lanes </t>
  </si>
  <si>
    <t>car accident|feud|lawyer|revenge|road rage</t>
  </si>
  <si>
    <t>Anthony Bell</t>
  </si>
  <si>
    <t>Kevin Sussman</t>
  </si>
  <si>
    <t>Alpha and Omega </t>
  </si>
  <si>
    <t>arranged marriage|geese|idaho|national park|park</t>
  </si>
  <si>
    <t>Christopher Leitch</t>
  </si>
  <si>
    <t>John Astin</t>
  </si>
  <si>
    <t>Teen Wolf Too </t>
  </si>
  <si>
    <t>falling in love|glowing eyes|insult|teenager|three word title</t>
  </si>
  <si>
    <t>Ira Sachs</t>
  </si>
  <si>
    <t>David Richmond-Peck</t>
  </si>
  <si>
    <t>Married Life </t>
  </si>
  <si>
    <t>bachelor|best friend|divorce|poison|widow</t>
  </si>
  <si>
    <t>Lenny Abrahamson</t>
  </si>
  <si>
    <t>Room </t>
  </si>
  <si>
    <t>based on novel|escape|imprisonment|kidnapping|mother son relationship</t>
  </si>
  <si>
    <t>Quills </t>
  </si>
  <si>
    <t>asylum|lust|male pubic hair|penis|pubic hair</t>
  </si>
  <si>
    <t>Drake Doremus</t>
  </si>
  <si>
    <t>Like Crazy </t>
  </si>
  <si>
    <t>girlfriend|immigration|long distance relationship|parents|student visa</t>
  </si>
  <si>
    <t>Jorge Blanco</t>
  </si>
  <si>
    <t>Planet 51 </t>
  </si>
  <si>
    <t>alien|alien planet|astronaut|planet|teenager</t>
  </si>
  <si>
    <t>The Last Temptation of Christ </t>
  </si>
  <si>
    <t>carpenter|exorcism|faith|reference to jesus christ|temptation</t>
  </si>
  <si>
    <t>The Iceman </t>
  </si>
  <si>
    <t>based on true story|contract killer|crime family|murder of a girl|serial murderer</t>
  </si>
  <si>
    <t>Escape from L.A. </t>
  </si>
  <si>
    <t>escape|island|los angeles california|machismo|president's daughter</t>
  </si>
  <si>
    <t>Samaire Armstrong</t>
  </si>
  <si>
    <t>Just My Luck </t>
  </si>
  <si>
    <t>bad luck|band|kiss|luck|masquerade</t>
  </si>
  <si>
    <t>Brian Lee Franklin</t>
  </si>
  <si>
    <t>Amigo </t>
  </si>
  <si>
    <t>american|filipino|friendship|guerrilla army|village</t>
  </si>
  <si>
    <t>Isn't She Great </t>
  </si>
  <si>
    <t>autistic son|cancer|female protagonist|new york city|son</t>
  </si>
  <si>
    <t>Penelope Spheeris</t>
  </si>
  <si>
    <t>Wayne's World </t>
  </si>
  <si>
    <t>basement|lead actor's first film|long hair|public access|title directed by female</t>
  </si>
  <si>
    <t>Drama|Fantasy|Horror|Mystery</t>
  </si>
  <si>
    <t>Let Me In </t>
  </si>
  <si>
    <t>blood|boy|night|school|vampire</t>
  </si>
  <si>
    <t>The R.M. </t>
  </si>
  <si>
    <t>latter day saints|missionary|pickup truck|police|video camera</t>
  </si>
  <si>
    <t>Todd Strauss-Schulson</t>
  </si>
  <si>
    <t>A Very Harold &amp; Kumar 3D Christmas </t>
  </si>
  <si>
    <t>christmas|christmas tree|fire|new york city|stoner</t>
  </si>
  <si>
    <t>Sarah Carter</t>
  </si>
  <si>
    <t>Final Destination 2 </t>
  </si>
  <si>
    <t>car accident|death|freak accident|hospital|premonition</t>
  </si>
  <si>
    <t>Cecil B. DeMille</t>
  </si>
  <si>
    <t>Gloria Grahame</t>
  </si>
  <si>
    <t>The Greatest Show on Earth </t>
  </si>
  <si>
    <t>circus|clown|elephant trainer|trapeze|trapeze artist</t>
  </si>
  <si>
    <t>American Graffiti </t>
  </si>
  <si>
    <t>california|car|drag racing|high school|rock 'n' roll</t>
  </si>
  <si>
    <t>Source Code </t>
  </si>
  <si>
    <t>bomber|time|time loop|train|trapped in a time loop</t>
  </si>
  <si>
    <t>Bullets Over Broadway </t>
  </si>
  <si>
    <t>actress|bodyguard|new york city|play|playwright</t>
  </si>
  <si>
    <t>Paul King</t>
  </si>
  <si>
    <t>Paddington </t>
  </si>
  <si>
    <t>bear|ear wax cleaning|fake newsreel|paddington station london|taxidermist</t>
  </si>
  <si>
    <t>Ole Christian Madsen</t>
  </si>
  <si>
    <t>Lars Mikkelsen</t>
  </si>
  <si>
    <t>Flame and Citron </t>
  </si>
  <si>
    <t>danish|double agent|nazi|nazi occupation|resistance</t>
  </si>
  <si>
    <t>Sierra McCormick</t>
  </si>
  <si>
    <t>Ramona and Beezus </t>
  </si>
  <si>
    <t>aunt|cat|death of pet|girl|no opening credits</t>
  </si>
  <si>
    <t>Bad Boys II </t>
  </si>
  <si>
    <t>cuba|dea|drugs|money|undercover</t>
  </si>
  <si>
    <t>Doctor Zhivago </t>
  </si>
  <si>
    <t>bolshevik|poet|poetry|russia|russian revolution</t>
  </si>
  <si>
    <t>Comedy|Drama|Music|War</t>
  </si>
  <si>
    <t>Mrs Henderson Presents </t>
  </si>
  <si>
    <t>anti semitism|breasts|chamberlain|friend|theatre</t>
  </si>
  <si>
    <t>Teddy Chan</t>
  </si>
  <si>
    <t>Siu-Wong Fan</t>
  </si>
  <si>
    <t>Kung Fu Killer </t>
  </si>
  <si>
    <t>fight|kung fu|martial arts|police|wire fu</t>
  </si>
  <si>
    <t>Very Bad Things </t>
  </si>
  <si>
    <t>bachelor party|breasts|friend|prostitute|wedding</t>
  </si>
  <si>
    <t>White Noise </t>
  </si>
  <si>
    <t>architect|grave|obsession|river|voice</t>
  </si>
  <si>
    <t>Action|Crime|Drama|Thriller|War</t>
  </si>
  <si>
    <t>Miracle at St. Anna </t>
  </si>
  <si>
    <t>boy|german soldier|partisan|trapped|village</t>
  </si>
  <si>
    <t>Miss Congeniality 2: Armed and Fabulous </t>
  </si>
  <si>
    <t>bodyguard|fbi|fbi agent|female protagonist|undercover</t>
  </si>
  <si>
    <t>The Grudge 2 </t>
  </si>
  <si>
    <t>curse|ghost|haunted house|high school|schoolgirl</t>
  </si>
  <si>
    <t>Antz </t>
  </si>
  <si>
    <t>ant|friend|princess|soldier|worker</t>
  </si>
  <si>
    <t>Harry Beaumont</t>
  </si>
  <si>
    <t>Anita Page</t>
  </si>
  <si>
    <t>The Broadway Melody </t>
  </si>
  <si>
    <t>sibling rivalry|singer|sister act|whistling|wisecrack humor</t>
  </si>
  <si>
    <t>Valkyrie </t>
  </si>
  <si>
    <t>american actor playing foreigner|assassination|conspiracy|military|nazis</t>
  </si>
  <si>
    <t>Tamara Jenkins</t>
  </si>
  <si>
    <t>Slums of Beverly Hills </t>
  </si>
  <si>
    <t>flatulence|menstrual blood|nomad|nursing school|title directed by female</t>
  </si>
  <si>
    <t>Big Momma's House 2 </t>
  </si>
  <si>
    <t>cheerleading|fbi|fbi agent|nanny|undercover</t>
  </si>
  <si>
    <t>The Life of David Gale </t>
  </si>
  <si>
    <t>activist|death|death row|murder|texas</t>
  </si>
  <si>
    <t>Suraj Sharma</t>
  </si>
  <si>
    <t>Life of Pi </t>
  </si>
  <si>
    <t>animal|faith|india|journey|tiger</t>
  </si>
  <si>
    <t>Ryan Murphy</t>
  </si>
  <si>
    <t>Eat Pray Love </t>
  </si>
  <si>
    <t>divorce|emotional balance|female protagonist|indonesia|inner peace</t>
  </si>
  <si>
    <t>The Cell </t>
  </si>
  <si>
    <t>coma|fbi|race against time|serial killer|strong female lead</t>
  </si>
  <si>
    <t>Monsters, Inc. </t>
  </si>
  <si>
    <t>friend|little girl|monster|rival|scream</t>
  </si>
  <si>
    <t>Who's Your Caddy? </t>
  </si>
  <si>
    <t>2000s|golf caddy|golf course|golfer|question mark in title</t>
  </si>
  <si>
    <t>Sophie Okonedo</t>
  </si>
  <si>
    <t>Dirty Pretty Things </t>
  </si>
  <si>
    <t>hotel|immigrant|nigerian|surgery|underwear</t>
  </si>
  <si>
    <t>Never Back Down </t>
  </si>
  <si>
    <t>club|fight|fighting|high school|mixed martial arts</t>
  </si>
  <si>
    <t>The Bridges of Madison County </t>
  </si>
  <si>
    <t>1960s|bridge|housewife|love|photographer</t>
  </si>
  <si>
    <t>Daniel Myrick</t>
  </si>
  <si>
    <t>Heather Donahue</t>
  </si>
  <si>
    <t>The Blair Witch Project </t>
  </si>
  <si>
    <t>found footage|looking at the camera|lost in the woods|maryland|screaming in horror</t>
  </si>
  <si>
    <t>Lara Croft Tomb Raider: The Cradle of Life </t>
  </si>
  <si>
    <t>duology|female hero|female lead|orb|pandora's box</t>
  </si>
  <si>
    <t>Action|Adventure|Family|Sci-Fi|Thriller</t>
  </si>
  <si>
    <t>Lost in Space </t>
  </si>
  <si>
    <t>based on tv series|remake|robot|scientist|spaceship</t>
  </si>
  <si>
    <t>Wayne Beach</t>
  </si>
  <si>
    <t>Slow Burn </t>
  </si>
  <si>
    <t>district attorney|interview|murder|prosecutor|reporter</t>
  </si>
  <si>
    <t>Despicable Me 2 </t>
  </si>
  <si>
    <t>dating|minion|overprotective father|undercover spy|woman agent</t>
  </si>
  <si>
    <t>A Good Day to Die Hard </t>
  </si>
  <si>
    <t>bomb|cia|courthouse|escape|russian</t>
  </si>
  <si>
    <t>Die Another Day </t>
  </si>
  <si>
    <t>catfight|clinic|colonel|diamond|patricide</t>
  </si>
  <si>
    <t>Snoop Dogg</t>
  </si>
  <si>
    <t>Starsky &amp; Hutch </t>
  </si>
  <si>
    <t>cocaine|cop|criminal|partner|police</t>
  </si>
  <si>
    <t>Action|Comedy|Drama|War</t>
  </si>
  <si>
    <t>All the Queen's Men </t>
  </si>
  <si>
    <t>apostrophe in title|behind enemy lines|box office flop|gay interest|punctuation in title</t>
  </si>
  <si>
    <t>Emilia Fox</t>
  </si>
  <si>
    <t>The Pianist </t>
  </si>
  <si>
    <t>ghetto|holocaust|jewish|piano|warsaw ghetto</t>
  </si>
  <si>
    <t>Dave McKean</t>
  </si>
  <si>
    <t>Stephanie Leonidas</t>
  </si>
  <si>
    <t>Mirrormask </t>
  </si>
  <si>
    <t>circus|dark fantasy|dream|dream world|fantasy world</t>
  </si>
  <si>
    <t>Matt Dillon</t>
  </si>
  <si>
    <t>Kirk Fox</t>
  </si>
  <si>
    <t>City of Ghosts </t>
  </si>
  <si>
    <t>bag over head|buddhist temple|loss of friend|male bonding|nightclub</t>
  </si>
  <si>
    <t>The Addams Family </t>
  </si>
  <si>
    <t>accountant|loan shark|macabre|uncle|uncle fester</t>
  </si>
  <si>
    <t>Kinka Usher</t>
  </si>
  <si>
    <t>Mystery Men </t>
  </si>
  <si>
    <t>bowling|rajah|sphinx|spleen|superhero</t>
  </si>
  <si>
    <t>Michael O'Neill</t>
  </si>
  <si>
    <t>Traffic </t>
  </si>
  <si>
    <t>cocaine|drug smuggling|interlinked stories|judge|mexico</t>
  </si>
  <si>
    <t>Jennifer Yuh Nelson</t>
  </si>
  <si>
    <t>Kung Fu Panda 2 </t>
  </si>
  <si>
    <t>china|kung fu|panda|peacock|tigress</t>
  </si>
  <si>
    <t>Allison Dean</t>
  </si>
  <si>
    <t>Ruby in Paradise </t>
  </si>
  <si>
    <t>desire|florida|identity|resort town|sales</t>
  </si>
  <si>
    <t>Big Fish </t>
  </si>
  <si>
    <t>dog saved from a fire|flashback|growing up|multiple narrators|traveling salesman</t>
  </si>
  <si>
    <t>I Don't Know How She Does It </t>
  </si>
  <si>
    <t>black comedy|delivery boy|dinner|gym|punishment</t>
  </si>
  <si>
    <t>Jill Clayburgh</t>
  </si>
  <si>
    <t>Running with Scissors </t>
  </si>
  <si>
    <t>alcoholic|fame|therapist|writer|writing</t>
  </si>
  <si>
    <t>Alessandro Carloni</t>
  </si>
  <si>
    <t>Kung Fu Panda 3 </t>
  </si>
  <si>
    <t>china|kung fu|panda|pig|village</t>
  </si>
  <si>
    <t>Furry Vengeance </t>
  </si>
  <si>
    <t>animal|bear|land developer|real estate|real estate developer</t>
  </si>
  <si>
    <t>Blackhat </t>
  </si>
  <si>
    <t>chinese|computer|cybercrime|hacker|one word title</t>
  </si>
  <si>
    <t>The Interview </t>
  </si>
  <si>
    <t>assassination attempt|communist dictatorship|dictator|exploding helicopter|finger bitten off</t>
  </si>
  <si>
    <t>Vera Drake </t>
  </si>
  <si>
    <t>1950s|miscarriage|neighbor|pregnancy|tailor</t>
  </si>
  <si>
    <t>Surrogates </t>
  </si>
  <si>
    <t>android|fbi agent|future|murder|robot</t>
  </si>
  <si>
    <t>Kelly Asbury</t>
  </si>
  <si>
    <t>Adventure|Animation|Family|Western</t>
  </si>
  <si>
    <t>Spirit: Stallion of the Cimarron </t>
  </si>
  <si>
    <t>cavalry|escape|herd|stallion|wild stallion</t>
  </si>
  <si>
    <t>Harry Styles</t>
  </si>
  <si>
    <t>One Direction: This Is Us </t>
  </si>
  <si>
    <t>3 dimensional|concert footage|englishman abroad|reference to keith richards|reference to the doors</t>
  </si>
  <si>
    <t>Megan Park</t>
  </si>
  <si>
    <t>Diary of the Dead </t>
  </si>
  <si>
    <t>barn|film student|hospital|mummy|video camera</t>
  </si>
  <si>
    <t>Rain Man </t>
  </si>
  <si>
    <t>buick|convertible|last will and testament|savant|travel</t>
  </si>
  <si>
    <t>Action|Adventure|Comedy|Crime|Music|Mystery</t>
  </si>
  <si>
    <t>The Adventures of Ford Fairlane </t>
  </si>
  <si>
    <t>detective|groupie|murder|music industry|rock n roll</t>
  </si>
  <si>
    <t>Elia Kazan</t>
  </si>
  <si>
    <t>On the Waterfront </t>
  </si>
  <si>
    <t>death|dock|longshoreman|murder|union</t>
  </si>
  <si>
    <t>The Man Who Knew Too Little </t>
  </si>
  <si>
    <t>assassin|bomb|dominatrix|mistaken identity|spy</t>
  </si>
  <si>
    <t>Jorge R. GutiÃ©rrez</t>
  </si>
  <si>
    <t>The Book of Life </t>
  </si>
  <si>
    <t>afterlife|bullfight|bullfighting|love triangle|mexico</t>
  </si>
  <si>
    <t>Kelly Reichardt</t>
  </si>
  <si>
    <t>John Robinson</t>
  </si>
  <si>
    <t>Wendy and Lucy </t>
  </si>
  <si>
    <t>car|dog|flip phone|rape threat|vulnerable</t>
  </si>
  <si>
    <t>Spectre </t>
  </si>
  <si>
    <t>bomb|espionage|sequel|spy|terrorist</t>
  </si>
  <si>
    <t>Mean Streets </t>
  </si>
  <si>
    <t>bar|catholic guilt|epilepsy|italian american|money</t>
  </si>
  <si>
    <t>Once Upon a Time in America </t>
  </si>
  <si>
    <t>1920s|ambiguity|childhood friend|new york|speakeasy</t>
  </si>
  <si>
    <t>Noel Gugliemi</t>
  </si>
  <si>
    <t>The Purge: Anarchy </t>
  </si>
  <si>
    <t>held at gunpoint|machete|masked man|sequel|violence</t>
  </si>
  <si>
    <t>Christophe Gans</t>
  </si>
  <si>
    <t>Adventure|Horror|Mystery</t>
  </si>
  <si>
    <t>Silent Hill </t>
  </si>
  <si>
    <t>gothic|police|police officer|silent hill|sleepwalking</t>
  </si>
  <si>
    <t>Lee Unkrich</t>
  </si>
  <si>
    <t>Toy Story 3 </t>
  </si>
  <si>
    <t>college|day care|escape|teddy bear|toy</t>
  </si>
  <si>
    <t>No Reservations </t>
  </si>
  <si>
    <t>chef|cooking|guardian|kitchen|restaurant</t>
  </si>
  <si>
    <t>Jeannot Szwarc</t>
  </si>
  <si>
    <t>Jaws 2 </t>
  </si>
  <si>
    <t>great white shark|island|mayor|police chief|shark</t>
  </si>
  <si>
    <t>Action|Adventure|Fantasy|Horror</t>
  </si>
  <si>
    <t>BloodRayne </t>
  </si>
  <si>
    <t>escape|half human|king|vampire|vampire hunter</t>
  </si>
  <si>
    <t>Jim Fall</t>
  </si>
  <si>
    <t>Adventure|Comedy|Family|Music|Romance</t>
  </si>
  <si>
    <t>Clayton Snyder</t>
  </si>
  <si>
    <t>The Lizzie McGuire Movie </t>
  </si>
  <si>
    <t>best friend|roma|singer|spaghetti|teenager</t>
  </si>
  <si>
    <t>Now You See Me </t>
  </si>
  <si>
    <t>bank|fbi|heist|interpol|magician</t>
  </si>
  <si>
    <t>42 </t>
  </si>
  <si>
    <t>baseball|baseball player|brooklyn dodgers|major league baseball|racism</t>
  </si>
  <si>
    <t>Sam Waterston</t>
  </si>
  <si>
    <t>Shadow Conspiracy </t>
  </si>
  <si>
    <t>american president|assassin|conspiracy|president|white house</t>
  </si>
  <si>
    <t>Charlie Kaufman</t>
  </si>
  <si>
    <t>Synecdoche, New York </t>
  </si>
  <si>
    <t>actress|director|play|theatre director|warehouse</t>
  </si>
  <si>
    <t>Thea Sharrock</t>
  </si>
  <si>
    <t>Sam Claflin</t>
  </si>
  <si>
    <t>Me Before You </t>
  </si>
  <si>
    <t>accident|caretaker|economic hardship|quadriplegic|wheelchair</t>
  </si>
  <si>
    <t>Ana de la Reguera</t>
  </si>
  <si>
    <t>Nacho Libre </t>
  </si>
  <si>
    <t>lucha libre|monastery|nun|orphan|wrestling</t>
  </si>
  <si>
    <t>Resident Evil: Retribution </t>
  </si>
  <si>
    <t>corporation|fight|rescue|umbrella|zombie</t>
  </si>
  <si>
    <t>Terminator Salvation </t>
  </si>
  <si>
    <t>death row|future|machine|rescue|skynet</t>
  </si>
  <si>
    <t>The Young Victoria </t>
  </si>
  <si>
    <t>19th century|courtship|female protagonist|princess|queen of england</t>
  </si>
  <si>
    <t>Paul Schrader</t>
  </si>
  <si>
    <t>Dana Delany</t>
  </si>
  <si>
    <t>Light Sleeper </t>
  </si>
  <si>
    <t>bare breasts|drugs|existentialism|new york city|redemption</t>
  </si>
  <si>
    <t>Unbreakable </t>
  </si>
  <si>
    <t>child with gun|comic book|invulnerability|superhero|train crash</t>
  </si>
  <si>
    <t>Do You Believe? </t>
  </si>
  <si>
    <t>belief|faith|pastor|question in title|three word title</t>
  </si>
  <si>
    <t>James Mottern</t>
  </si>
  <si>
    <t>Trucker </t>
  </si>
  <si>
    <t>cancer|cigarette smoking|hospital|one night stand|trucker</t>
  </si>
  <si>
    <t>Air Bud </t>
  </si>
  <si>
    <t>basketball|boy|dog|dog movie|golden retriever</t>
  </si>
  <si>
    <t>Silver Linings Playbook </t>
  </si>
  <si>
    <t>adulterous wife|bipolar disorder|obsessive compulsive personality disorder|unhappy marriage|widow</t>
  </si>
  <si>
    <t>Paul Michael Glaser</t>
  </si>
  <si>
    <t>The Running Man </t>
  </si>
  <si>
    <t>game of death|government conspiracy|latina|oppression|police</t>
  </si>
  <si>
    <t>Action|Crime|Drama|Sport</t>
  </si>
  <si>
    <t>Undisputed </t>
  </si>
  <si>
    <t>boxing|fight|heavyweight champion|iceman|prison</t>
  </si>
  <si>
    <t>Kirk Cameron</t>
  </si>
  <si>
    <t>Fireproof </t>
  </si>
  <si>
    <t>christian film|dare|firefighter|internet pornography|marriage</t>
  </si>
  <si>
    <t>The Sweet Hereafter </t>
  </si>
  <si>
    <t>anger|bus|child|lawyer|school</t>
  </si>
  <si>
    <t>CÃ©cile De France</t>
  </si>
  <si>
    <t>High Tension </t>
  </si>
  <si>
    <t>car chase|plot twist|police van|rear ending a car|slasher</t>
  </si>
  <si>
    <t>Ham Tran</t>
  </si>
  <si>
    <t>Long Nguyen</t>
  </si>
  <si>
    <t>Journey from the Fall </t>
  </si>
  <si>
    <t>1970s|1980s|nonlinear timeline|rescue|vietnam war</t>
  </si>
  <si>
    <t>Vietnamese</t>
  </si>
  <si>
    <t>Alvin and the Chipmunks </t>
  </si>
  <si>
    <t>based on cartoon|chipmunk|concert|fart joke|talking animal</t>
  </si>
  <si>
    <t>The Expendables </t>
  </si>
  <si>
    <t>action hero|assassination attempt|explosion|machine gun|rescue mission</t>
  </si>
  <si>
    <t>The Hunted </t>
  </si>
  <si>
    <t>capture|combat|fbi|hunter|special forces</t>
  </si>
  <si>
    <t>The Negotiator </t>
  </si>
  <si>
    <t>hostage|innocence|murder|negotiator|police</t>
  </si>
  <si>
    <t>Jim Meskimen</t>
  </si>
  <si>
    <t>There Will Be Blood </t>
  </si>
  <si>
    <t>alcoholic|alcoholism|money|oil|turn of the century</t>
  </si>
  <si>
    <t>Varsity Blues </t>
  </si>
  <si>
    <t>coach|coyote|popularity|quarterback|texas</t>
  </si>
  <si>
    <t>Focus </t>
  </si>
  <si>
    <t>con artist|con man|deception|rivalry|seduction</t>
  </si>
  <si>
    <t>Cory Hardrict</t>
  </si>
  <si>
    <t>Warm Bodies </t>
  </si>
  <si>
    <t>fight|memory|teenager|undead|zombie</t>
  </si>
  <si>
    <t>Jim Abrahams</t>
  </si>
  <si>
    <t>Peter Graves</t>
  </si>
  <si>
    <t>Airplane! </t>
  </si>
  <si>
    <t>air traffic controller|airplane|airport|pilot|spoof</t>
  </si>
  <si>
    <t>Twister </t>
  </si>
  <si>
    <t>device|disaster|divorce|storm|tornado</t>
  </si>
  <si>
    <t>Chelan Simmons</t>
  </si>
  <si>
    <t>Final Destination 3 </t>
  </si>
  <si>
    <t>amusement park|death|fate|premonition|roller coaster</t>
  </si>
  <si>
    <t>Jorma Taccone</t>
  </si>
  <si>
    <t>Jasper Cole</t>
  </si>
  <si>
    <t>MacGruber </t>
  </si>
  <si>
    <t>colonel|lieutenant|nuclear warhead|team|washington d.c.</t>
  </si>
  <si>
    <t>Apollo 13 </t>
  </si>
  <si>
    <t>cape kennedy|news footage|reference to christopher columbus|rocket|trapped in space</t>
  </si>
  <si>
    <t>A Few Good Men </t>
  </si>
  <si>
    <t>cuba|guantanamo|lance corporal|lawyer|murder</t>
  </si>
  <si>
    <t>Nigel Cole</t>
  </si>
  <si>
    <t>Aimee Garcia</t>
  </si>
  <si>
    <t>A Lot Like Love </t>
  </si>
  <si>
    <t>flight|hasselblad camera|los angeles california|love|medium format camera</t>
  </si>
  <si>
    <t>Unaccompanied Minors </t>
  </si>
  <si>
    <t>airport|black comedy|blizzard|christmas|pennsylvania</t>
  </si>
  <si>
    <t>Salt </t>
  </si>
  <si>
    <t>cia|on the run|russian|russian spy|strong female lead</t>
  </si>
  <si>
    <t>Curse of the Golden Flower </t>
  </si>
  <si>
    <t>china|chrysanthemum|emperor|empress|prince</t>
  </si>
  <si>
    <t>Signs </t>
  </si>
  <si>
    <t>crop circle|faith|farm|glass of water|loss of faith</t>
  </si>
  <si>
    <t>Old Dogs </t>
  </si>
  <si>
    <t>best friend|business deal|impulse|public relations|twin</t>
  </si>
  <si>
    <t>Changeling </t>
  </si>
  <si>
    <t>execution by hanging|los angeles police department|miscarriage of justice|missing child|wrongful conviction</t>
  </si>
  <si>
    <t>Reservoir Dogs </t>
  </si>
  <si>
    <t>gang|heist|heist gone wrong|nonlinear timeline|robbery</t>
  </si>
  <si>
    <t>The Mist </t>
  </si>
  <si>
    <t>desperation|fog|giant insect|survival|survival horror</t>
  </si>
  <si>
    <t>Tootsie </t>
  </si>
  <si>
    <t>actor|actress|friend|love|reputation</t>
  </si>
  <si>
    <t>Jeff Burr</t>
  </si>
  <si>
    <t>Action|Drama|Horror|Thriller</t>
  </si>
  <si>
    <t>Terry Kiser</t>
  </si>
  <si>
    <t>From a Whisper to a Scream </t>
  </si>
  <si>
    <t>bathtub|cult film|neck breaking|tennessee|wraparound story</t>
  </si>
  <si>
    <t>Snow Falling on Cedars </t>
  </si>
  <si>
    <t>fisherman|japanese|love|trial|washington state</t>
  </si>
  <si>
    <t>The Silence of the Lambs </t>
  </si>
  <si>
    <t>case file|fbi agent|psycho thriller|psychopath|serial killer</t>
  </si>
  <si>
    <t>Amber Stevens West</t>
  </si>
  <si>
    <t>The Fast and the Furious: Tokyo Drift </t>
  </si>
  <si>
    <t>car|challenge|drift racing|drifting|tokyo japan</t>
  </si>
  <si>
    <t>Million Dollar Baby </t>
  </si>
  <si>
    <t>boxing|boxing trainer|death|suicide attempt|women boxing</t>
  </si>
  <si>
    <t>The Best Exotic Marigold Hotel </t>
  </si>
  <si>
    <t>hotel|india|marigold|retiree|retirement</t>
  </si>
  <si>
    <t>Van Wilder: Party Liaison </t>
  </si>
  <si>
    <t>college|love|party|reporter|tuition</t>
  </si>
  <si>
    <t>Harvard Man </t>
  </si>
  <si>
    <t>basketball|cheerleader|college|harvard|philosophy</t>
  </si>
  <si>
    <t>Meet the Parents </t>
  </si>
  <si>
    <t>cat|cia|jewish|male nurse|nurse</t>
  </si>
  <si>
    <t>Action|Drama|Romance|Sci-Fi|Thriller</t>
  </si>
  <si>
    <t>Deep Impact </t>
  </si>
  <si>
    <t>astronomer|comet|mission|president|secretary</t>
  </si>
  <si>
    <t>Vampire in Brooklyn </t>
  </si>
  <si>
    <t>blood|destiny|nightmare|partner|vampire</t>
  </si>
  <si>
    <t>Mike Marvin</t>
  </si>
  <si>
    <t>Action|Horror|Romance|Sci-Fi|Thriller</t>
  </si>
  <si>
    <t>The Wraith </t>
  </si>
  <si>
    <t>arizona|death|gang|police|sheriff</t>
  </si>
  <si>
    <t>Hollywood Ending </t>
  </si>
  <si>
    <t>blind|director|psychosomatic blindness|self deprecating|studio</t>
  </si>
  <si>
    <t>City by the Sea </t>
  </si>
  <si>
    <t>beach|grandson|murder|new york city|police</t>
  </si>
  <si>
    <t>Face/Off </t>
  </si>
  <si>
    <t>death of child|face|face transplant|prison|terrorist</t>
  </si>
  <si>
    <t>Steve Jobs </t>
  </si>
  <si>
    <t>apple computer|box office flop|computer|dialogue driven|father daughter relationship</t>
  </si>
  <si>
    <t>Comedy|Romance|Sci-Fi|Thriller</t>
  </si>
  <si>
    <t>Richard Epcar</t>
  </si>
  <si>
    <t>Memoirs of an Invisible Man </t>
  </si>
  <si>
    <t>accident|bar|chase|cia|laboratory</t>
  </si>
  <si>
    <t>Critical Care </t>
  </si>
  <si>
    <t>half sister|hospital|latex gloves|medicine|nun</t>
  </si>
  <si>
    <t>Executive Decision </t>
  </si>
  <si>
    <t>bomb|hostage|military|plane|terrorist</t>
  </si>
  <si>
    <t>Biography|Crime|Drama|Mystery|Thriller</t>
  </si>
  <si>
    <t>Kill the Messenger </t>
  </si>
  <si>
    <t>based on true story|cia|cocaine|journalist|smear campaign</t>
  </si>
  <si>
    <t>Mrs. Winterbourne </t>
  </si>
  <si>
    <t>love|train|train wreck|twin brother|two word title</t>
  </si>
  <si>
    <t>Batman Begins </t>
  </si>
  <si>
    <t>armored car|gangster|gotham|mixed martial arts|social decay</t>
  </si>
  <si>
    <t>Garfield </t>
  </si>
  <si>
    <t>cat|dog|first part|lasagna|veterinarian</t>
  </si>
  <si>
    <t>Stir of Echoes </t>
  </si>
  <si>
    <t>disappearance|hearing voices|hypnosis|post hypnotic suggestion|seeing a ghost</t>
  </si>
  <si>
    <t>We Own the Night </t>
  </si>
  <si>
    <t>arrest|drugs|loyalty|raid|violence</t>
  </si>
  <si>
    <t>Mark Rylance</t>
  </si>
  <si>
    <t>The BFG </t>
  </si>
  <si>
    <t>cannibal|evil brother|giant|london england|queen</t>
  </si>
  <si>
    <t>Steve McQueen</t>
  </si>
  <si>
    <t>12 Years a Slave </t>
  </si>
  <si>
    <t>racism|separation from family|social injustice|torture|whipping</t>
  </si>
  <si>
    <t>Neema Barnette</t>
  </si>
  <si>
    <t>Monica Calhoun</t>
  </si>
  <si>
    <t>Civil Brand </t>
  </si>
  <si>
    <t>abuse of power|friendship|prison|prison guard|title directed by female</t>
  </si>
  <si>
    <t>Christian Ditter</t>
  </si>
  <si>
    <t>How to Be Single </t>
  </si>
  <si>
    <t>motor scooter|new york city|newborn baby|scooter|single</t>
  </si>
  <si>
    <t>Olivier Martinez</t>
  </si>
  <si>
    <t>Unfaithful </t>
  </si>
  <si>
    <t>erotic thriller|infidelity|marital infidelity|unfaithfulness|wife's lover murdered by husband</t>
  </si>
  <si>
    <t>Rowdy Herrington</t>
  </si>
  <si>
    <t>Road House </t>
  </si>
  <si>
    <t>bikini|cult film|fired from the job|martial arts|violence</t>
  </si>
  <si>
    <t>Joy </t>
  </si>
  <si>
    <t>based on real person|female inventor|mop|sales pitch|woman holding a shotgun</t>
  </si>
  <si>
    <t>Peter Capaldi</t>
  </si>
  <si>
    <t>World War Z </t>
  </si>
  <si>
    <t>chaos|disease|infection|pandemic|zombie</t>
  </si>
  <si>
    <t>Danny Huston</t>
  </si>
  <si>
    <t>30 Days of Night </t>
  </si>
  <si>
    <t>alaska|small town|snow|vampire|winter</t>
  </si>
  <si>
    <t>Spy Kids 3-D: Game Over </t>
  </si>
  <si>
    <t>mission|spy|surfing|trapped|virtual reality</t>
  </si>
  <si>
    <t>Marcela Mar</t>
  </si>
  <si>
    <t>Love in the Time of Cholera </t>
  </si>
  <si>
    <t>19th century|colombia|love|marriage|widow</t>
  </si>
  <si>
    <t>Sicko </t>
  </si>
  <si>
    <t>canada|cuba|france|guantanamo|hmo</t>
  </si>
  <si>
    <t>James Dodson</t>
  </si>
  <si>
    <t>The Other End of the Line </t>
  </si>
  <si>
    <t>birthday|call center|fiance|hotel|indian</t>
  </si>
  <si>
    <t>Carmen Perez</t>
  </si>
  <si>
    <t>He's Just Not That Into You </t>
  </si>
  <si>
    <t>advertising|bar|dating|lingerie slip|six word title</t>
  </si>
  <si>
    <t>Jessica ParÃ©</t>
  </si>
  <si>
    <t>Wicker Park </t>
  </si>
  <si>
    <t>flashback|flashback within a flashback|multiple perspectives|obsession|split screen</t>
  </si>
  <si>
    <t>Marisa Saks</t>
  </si>
  <si>
    <t>Scary Movie 5 </t>
  </si>
  <si>
    <t>2010s|ape|ballet|psychic|supernatural</t>
  </si>
  <si>
    <t>Blythe Danner</t>
  </si>
  <si>
    <t>The Lucky One </t>
  </si>
  <si>
    <t>arrogance|child in peril|disarming someone|kennel|post traumatic stress disorder</t>
  </si>
  <si>
    <t>Election </t>
  </si>
  <si>
    <t>female protagonist|high school|self destructiveness|student council president|student government</t>
  </si>
  <si>
    <t>The Immigrant </t>
  </si>
  <si>
    <t>immigrant|immigration|magician|money|prostitution</t>
  </si>
  <si>
    <t>Snow Dogs </t>
  </si>
  <si>
    <t>dentist|dog|inheritance|race|sled dog</t>
  </si>
  <si>
    <t>Scott Marshall</t>
  </si>
  <si>
    <t>Drew Fuller</t>
  </si>
  <si>
    <t>Blonde Ambition </t>
  </si>
  <si>
    <t>boss|business|career|confidence|female protagonist</t>
  </si>
  <si>
    <t>Jumper </t>
  </si>
  <si>
    <t>bank|based on novel|ice|teleportation|vault</t>
  </si>
  <si>
    <t>Les MisÃ©rables </t>
  </si>
  <si>
    <t>barricade|innkeeper|parole|rebellion|student</t>
  </si>
  <si>
    <t>Edmond </t>
  </si>
  <si>
    <t>bipolar disorder|sodomy|stabbing|street life|violence</t>
  </si>
  <si>
    <t>Edgar Arreola</t>
  </si>
  <si>
    <t>Sicario </t>
  </si>
  <si>
    <t>critically acclaimed|drug cartel|juarez mexico|u.s. mexico border|war on drugs</t>
  </si>
  <si>
    <t>Shane Meadows</t>
  </si>
  <si>
    <t>This Is England </t>
  </si>
  <si>
    <t>england|racism|racist|skinhead|violence</t>
  </si>
  <si>
    <t>Sam Riley</t>
  </si>
  <si>
    <t>Control </t>
  </si>
  <si>
    <t>band|employment agency|singer|stage fright|suicide</t>
  </si>
  <si>
    <t>Lloyd Kaufman</t>
  </si>
  <si>
    <t>John Karyus</t>
  </si>
  <si>
    <t>Poultrygeist: Night of the Chicken Dead </t>
  </si>
  <si>
    <t>castration|chicken|fast food|indian burial ground|protest</t>
  </si>
  <si>
    <t>Action|Sci-Fi|War</t>
  </si>
  <si>
    <t>Jake Busey</t>
  </si>
  <si>
    <t>Starship Troopers </t>
  </si>
  <si>
    <t>alien|federation|future|military|planet</t>
  </si>
  <si>
    <t>Wych Kaosayananda</t>
  </si>
  <si>
    <t>Talisa Soto</t>
  </si>
  <si>
    <t>Ballistic: Ecks vs. Sever </t>
  </si>
  <si>
    <t>blood splatter|camera shot from inside human body|combat|die hard scenario|fbi</t>
  </si>
  <si>
    <t>Michael Herz</t>
  </si>
  <si>
    <t>Action|Comedy|Horror|Sci-Fi</t>
  </si>
  <si>
    <t>Phoebe Legere</t>
  </si>
  <si>
    <t>The Toxic Avenger Part II </t>
  </si>
  <si>
    <t>bare breasts|japan|tokyo japan|toxic avenger|troma</t>
  </si>
  <si>
    <t>Harry Potter and the Sorcerer's Stone </t>
  </si>
  <si>
    <t>based on novel|birthday|evil wizard|quidditch|wizard</t>
  </si>
  <si>
    <t>Nicholas Lea</t>
  </si>
  <si>
    <t>Vertical Limit </t>
  </si>
  <si>
    <t>death|die hard scenario|k2|rescue|urination</t>
  </si>
  <si>
    <t>Ghosts of Mars </t>
  </si>
  <si>
    <t>head on a stake|machine gun|martian|nuclear reactor|outer space</t>
  </si>
  <si>
    <t>Hark Tsui</t>
  </si>
  <si>
    <t>Knock Off </t>
  </si>
  <si>
    <t>cia|hong kong|market|undercover|van</t>
  </si>
  <si>
    <t>Aruba</t>
  </si>
  <si>
    <t>Antwone Fisher </t>
  </si>
  <si>
    <t>black american|extortion|navy|psychiatrist|sailor</t>
  </si>
  <si>
    <t>Case 39 </t>
  </si>
  <si>
    <t>death|fear|hairy chest|social worker|spinning in chair</t>
  </si>
  <si>
    <t>Malese Jow</t>
  </si>
  <si>
    <t>Aliens in the Attic </t>
  </si>
  <si>
    <t>alien|attic|boyfriend|mind control|nintendo ds</t>
  </si>
  <si>
    <t>No Strings Attached </t>
  </si>
  <si>
    <t>ex girlfriend|funeral|hospital|male objectification|summer camp</t>
  </si>
  <si>
    <t>Todd Stashwick</t>
  </si>
  <si>
    <t>You, Me and Dupree </t>
  </si>
  <si>
    <t>best friend|foot fetish|houseguest|newlywed|wedding</t>
  </si>
  <si>
    <t>Michael Patrick Jann</t>
  </si>
  <si>
    <t>Comedy|Romance|Thriller</t>
  </si>
  <si>
    <t>Drop Dead Gorgeous </t>
  </si>
  <si>
    <t>beauty pageant|blonde|cheerleader uniform|small town|upskirt</t>
  </si>
  <si>
    <t>Midnight Run </t>
  </si>
  <si>
    <t>accountant|bounty hunter|fbi|mafia|mob</t>
  </si>
  <si>
    <t>The Howling </t>
  </si>
  <si>
    <t>1980s|forest|lycanthrope|shapeshifting|werewolf transformation</t>
  </si>
  <si>
    <t>MyAnna Buring</t>
  </si>
  <si>
    <t>The Descent </t>
  </si>
  <si>
    <t>cave|expedition|friendship between women|group of friends|survival horror</t>
  </si>
  <si>
    <t>The Last Witch Hunter </t>
  </si>
  <si>
    <t>box office flop|burned to death|magic|witch|witch hunter</t>
  </si>
  <si>
    <t>Scott Alexander</t>
  </si>
  <si>
    <t>Screwed </t>
  </si>
  <si>
    <t>chauffeur|disorganized crime|dog|ransom|slapstick</t>
  </si>
  <si>
    <t>Another Year </t>
  </si>
  <si>
    <t>autumn|four seasons|friend|looking at one's self in a mirror|unhappiness</t>
  </si>
  <si>
    <t>Big </t>
  </si>
  <si>
    <t>friend|job|new york city|toy|wish</t>
  </si>
  <si>
    <t>Mahadeo Shivraj</t>
  </si>
  <si>
    <t>The Smurfs </t>
  </si>
  <si>
    <t>blue|new york|new york city|no opening credits|smurf</t>
  </si>
  <si>
    <t>The Jimmy Show </t>
  </si>
  <si>
    <t>based on play|character name in title</t>
  </si>
  <si>
    <t>Peter Medak</t>
  </si>
  <si>
    <t>Romeo Is Bleeding </t>
  </si>
  <si>
    <t>detective|police|protection|russian|sergeant</t>
  </si>
  <si>
    <t>Vernon Wells</t>
  </si>
  <si>
    <t>Mad Max 2: The Road Warrior </t>
  </si>
  <si>
    <t>australian|gasoline|post apocalypse|refinery|warrior</t>
  </si>
  <si>
    <t>Liar Liar </t>
  </si>
  <si>
    <t>birthday|birthday wish|father disappoints child|lie|workaholic</t>
  </si>
  <si>
    <t>The Twilight Saga: Breaking Dawn - Part 2 </t>
  </si>
  <si>
    <t>battle|friend|super strength|vampire|vision</t>
  </si>
  <si>
    <t>Michel Orion Scott</t>
  </si>
  <si>
    <t>Temple Grandin</t>
  </si>
  <si>
    <t>The Horse Boy </t>
  </si>
  <si>
    <t>horse|journey|mongolia|shaman|travel</t>
  </si>
  <si>
    <t>The Beaver </t>
  </si>
  <si>
    <t>beaver puppet|depression|dysfunctional family|puppet|speech</t>
  </si>
  <si>
    <t>Drama|Music|Romance|War</t>
  </si>
  <si>
    <t>Captain Corelli's Mandolin </t>
  </si>
  <si>
    <t>captain|greek|island|italian|love</t>
  </si>
  <si>
    <t>Prince of Persia: The Sands of Time </t>
  </si>
  <si>
    <t>alamut|dagger|king|persia|princess</t>
  </si>
  <si>
    <t>Interstellar </t>
  </si>
  <si>
    <t>black hole|father daughter relationship|saving the world|space travel|wormhole</t>
  </si>
  <si>
    <t>Why Did I Get Married? </t>
  </si>
  <si>
    <t>marriage|overweight|psychologist|secret|work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</si>
  <si>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</si>
  <si>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</si>
  <si>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</si>
  <si>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</si>
  <si>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</si>
  <si>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The Verdict </t>
  </si>
  <si>
    <t>archdiocese|court|hospital|lawyer|malpractice</t>
  </si>
  <si>
    <t>Kevin Tenney</t>
  </si>
  <si>
    <t>Kathleen Wilhoite</t>
  </si>
  <si>
    <t>Witchboard </t>
  </si>
  <si>
    <t>evil spirit|hatchet|ouija|ouija board|psychopathic killer</t>
  </si>
  <si>
    <t>Why Did I Get Married Too? </t>
  </si>
  <si>
    <t>question mark in title|returning character killed off|sequel|six word title|writer director</t>
  </si>
  <si>
    <t>The Bourne Supremacy </t>
  </si>
  <si>
    <t>assassin|car chase|cia|hidden truth|one against many</t>
  </si>
  <si>
    <t>Hostel </t>
  </si>
  <si>
    <t>bratislava|hostel|sadistic horror|torture|travel</t>
  </si>
  <si>
    <t>Creed </t>
  </si>
  <si>
    <t>boxing|boxing match|fight|montage|philadelphia</t>
  </si>
  <si>
    <t>Benjamin Dickinson</t>
  </si>
  <si>
    <t>Nora Zehetner</t>
  </si>
  <si>
    <t>Creative Control </t>
  </si>
  <si>
    <t>art exhibition|augmented reality|cocaine|nervous breakdown|speculative fiction</t>
  </si>
  <si>
    <t>The Skulls </t>
  </si>
  <si>
    <t>college|friend|ivy league|secret society|suicide</t>
  </si>
  <si>
    <t>Adventure|Biography|Drama|War</t>
  </si>
  <si>
    <t>Rescue Dawn </t>
  </si>
  <si>
    <t>bombing|guard|jungle|laos|prisoner</t>
  </si>
  <si>
    <t>Comedy|Crime|Family|Mystery|Romance|Thriller</t>
  </si>
  <si>
    <t>Kay Panabaker</t>
  </si>
  <si>
    <t>Nancy Drew </t>
  </si>
  <si>
    <t>chase|clue|detective|movie star|murder</t>
  </si>
  <si>
    <t>Aaron Schneider</t>
  </si>
  <si>
    <t>Get Low </t>
  </si>
  <si>
    <t>funeral|funeral home|hermit|party|secret</t>
  </si>
  <si>
    <t>Vincent Ward</t>
  </si>
  <si>
    <t>What Dreams May Come </t>
  </si>
  <si>
    <t>heaven|hell|soul|soul mate|suicide</t>
  </si>
  <si>
    <t>Julian Glover</t>
  </si>
  <si>
    <t>For Your Eyes Only </t>
  </si>
  <si>
    <t>agent|british|ice skater|ship|spy</t>
  </si>
  <si>
    <t>The X Files </t>
  </si>
  <si>
    <t>agent|alien|bomb|fbi|government</t>
  </si>
  <si>
    <t>Sharlto Copley</t>
  </si>
  <si>
    <t>District 9 </t>
  </si>
  <si>
    <t>alien|ghetto|prawn|refugee|refugee camp</t>
  </si>
  <si>
    <t>Gillian White</t>
  </si>
  <si>
    <t>Bamboozled </t>
  </si>
  <si>
    <t>actor|minstrel show|protest|success|writer</t>
  </si>
  <si>
    <t>Notting Hill </t>
  </si>
  <si>
    <t>actress|bookstore|friend|kiss|love</t>
  </si>
  <si>
    <t>Fionnula Flanagan</t>
  </si>
  <si>
    <t>The Others </t>
  </si>
  <si>
    <t>curtain|haunting|mansion|mute|xeroderma pigmentosum</t>
  </si>
  <si>
    <t>Susan Stroman</t>
  </si>
  <si>
    <t>The Producers </t>
  </si>
  <si>
    <t>accountant|money|opening night|scheme|swedish</t>
  </si>
  <si>
    <t>Action|Drama|Fantasy|Mystery|Sci-Fi|Thriller</t>
  </si>
  <si>
    <t>Dark City </t>
  </si>
  <si>
    <t>memory|murder|neo noir|retrofuturism|tech noir</t>
  </si>
  <si>
    <t>Grudge Match </t>
  </si>
  <si>
    <t>broke|promoter|retirement|trainer|training</t>
  </si>
  <si>
    <t>Analyze That </t>
  </si>
  <si>
    <t>blonde|mafia|mental illness|prison|second part</t>
  </si>
  <si>
    <t>The Exorcist </t>
  </si>
  <si>
    <t>demonic possession|exorcism|exorcist|loss of innocence|priest</t>
  </si>
  <si>
    <t>Action|Comedy|Sci-Fi|Western</t>
  </si>
  <si>
    <t>Wild Wild West </t>
  </si>
  <si>
    <t>buddy movie|general|inventor|steampunk|utah</t>
  </si>
  <si>
    <t>Cry_Wolf </t>
  </si>
  <si>
    <t>e mail|game|school|serial killer|student</t>
  </si>
  <si>
    <t>W. </t>
  </si>
  <si>
    <t>bible|cabinet meeting|dog|drinking|family relationships</t>
  </si>
  <si>
    <t>Harry Potter and the Goblet of Fire </t>
  </si>
  <si>
    <t>fire|goblet|magic|tournament|wizard</t>
  </si>
  <si>
    <t>Steve Barron</t>
  </si>
  <si>
    <t>The Adventures of Pinocchio </t>
  </si>
  <si>
    <t>based on novel|human becoming an animal|slow motion|transformation|young boy</t>
  </si>
  <si>
    <t>Madagascar </t>
  </si>
  <si>
    <t>escape|jungle|lemur|madagascar|zoo</t>
  </si>
  <si>
    <t>Joshua Oppenheimer</t>
  </si>
  <si>
    <t>Biography|Crime|Documentary|History</t>
  </si>
  <si>
    <t>Anwar Congo</t>
  </si>
  <si>
    <t>The Act of Killing </t>
  </si>
  <si>
    <t>death squad|mass killing|musical number|reference to guantanamo bay|surrealism</t>
  </si>
  <si>
    <t>Saul Dibb</t>
  </si>
  <si>
    <t>The Duchess </t>
  </si>
  <si>
    <t>duchess|duke|heir|infidelity|marriage</t>
  </si>
  <si>
    <t>Gary Halvorson</t>
  </si>
  <si>
    <t>Adventure|Comedy|Family|Fantasy|Musical</t>
  </si>
  <si>
    <t>The Adventures of Elmo in Grouchland </t>
  </si>
  <si>
    <t>based on tv series|blanket|box office flop|rescue|sesame street</t>
  </si>
  <si>
    <t>Contact </t>
  </si>
  <si>
    <t>message from outer space|religion|religion versus science|scientist|universe</t>
  </si>
  <si>
    <t>Marcus Raboy</t>
  </si>
  <si>
    <t>Friday After Next </t>
  </si>
  <si>
    <t>apartment|christmas|christmas present|rent|security guard</t>
  </si>
  <si>
    <t>Rodrigo GarcÃ­a</t>
  </si>
  <si>
    <t>Albert Nobbs </t>
  </si>
  <si>
    <t>19th century|hotel|painter|waiter|woman pretending to be a man</t>
  </si>
  <si>
    <t>Patriot Games </t>
  </si>
  <si>
    <t>analyst|cia|ira|terrorist|terrorist attack</t>
  </si>
  <si>
    <t>Phil Alden Robinson</t>
  </si>
  <si>
    <t>The Sum of All Fears </t>
  </si>
  <si>
    <t>analyst|cia|nuclear bomb|nuclear weapons|russia</t>
  </si>
  <si>
    <t>Jessie T. Usher</t>
  </si>
  <si>
    <t>When the Game Stands Tall </t>
  </si>
  <si>
    <t>coach|high school football</t>
  </si>
  <si>
    <t>Code Name: The Cleaner </t>
  </si>
  <si>
    <t>comic violence|hand to hand combat|kung fu|talking to self in mirror|violence</t>
  </si>
  <si>
    <t>Drama|History|Romance|Western</t>
  </si>
  <si>
    <t>Jon Gries</t>
  </si>
  <si>
    <t>September Dawn </t>
  </si>
  <si>
    <t>massacre|mormon|settler|utah|wagon train</t>
  </si>
  <si>
    <t>All the King's Men </t>
  </si>
  <si>
    <t>governor|journalist|louisiana|mistress|politician</t>
  </si>
  <si>
    <t>Julie &amp; Julia </t>
  </si>
  <si>
    <t>american|blog|book|cook|cooking</t>
  </si>
  <si>
    <t>Jurnee Smollett-Bell</t>
  </si>
  <si>
    <t>Eve's Bayou </t>
  </si>
  <si>
    <t>doctor|louisiana|secret|title directed by female|witchcraft</t>
  </si>
  <si>
    <t>Ari Folman</t>
  </si>
  <si>
    <t>Animation|Biography|Documentary|Drama|History|War</t>
  </si>
  <si>
    <t>Waltz with Bashir </t>
  </si>
  <si>
    <t>bar|dog|interview|lebanon|nightmare</t>
  </si>
  <si>
    <t>Hebrew</t>
  </si>
  <si>
    <t>Israel</t>
  </si>
  <si>
    <t>Body of Lies </t>
  </si>
  <si>
    <t>cia|jordan|middle east|spy|terrorist</t>
  </si>
  <si>
    <t>Adventure|Comedy|Drama|Romance|Thriller|War</t>
  </si>
  <si>
    <t>James Brolin</t>
  </si>
  <si>
    <t>The Hunting Party </t>
  </si>
  <si>
    <t>bosnia|cia|fox|hunt|war criminal</t>
  </si>
  <si>
    <t>Dougray Scott</t>
  </si>
  <si>
    <t>Dark Water </t>
  </si>
  <si>
    <t>apartment|hello kitty|school|teacher|water</t>
  </si>
  <si>
    <t>Ava DuVernay</t>
  </si>
  <si>
    <t>Selma </t>
  </si>
  <si>
    <t>civil rights|courage|protest|selma alabama|u.s. politics</t>
  </si>
  <si>
    <t>Liz Friedlander</t>
  </si>
  <si>
    <t>Take the Lead </t>
  </si>
  <si>
    <t>ballroom|dance|dance teacher|student|teacher</t>
  </si>
  <si>
    <t>Michael Pressman</t>
  </si>
  <si>
    <t>Kevin Nash</t>
  </si>
  <si>
    <t>Teenage Mutant Ninja Turtles II: The Secret of the Ooze </t>
  </si>
  <si>
    <t>chop socky|mutant|ninja|shredder|turtle</t>
  </si>
  <si>
    <t>Virtuosity </t>
  </si>
  <si>
    <t>android|ex cop|serial killer|virtual character come to life|virtual reality</t>
  </si>
  <si>
    <t>George Stevens</t>
  </si>
  <si>
    <t>The Greatest Story Ever Told </t>
  </si>
  <si>
    <t>70mm film|biblical epic|faith|jewish|king herod</t>
  </si>
  <si>
    <t>Action|Adventure|Drama|Romance|Western</t>
  </si>
  <si>
    <t>Quigley Down Under </t>
  </si>
  <si>
    <t>aborigine|australian|australian aborigine|australian outback|rancher</t>
  </si>
  <si>
    <t>Chuan Lu</t>
  </si>
  <si>
    <t>Ye Liu</t>
  </si>
  <si>
    <t>City of Life and Death </t>
  </si>
  <si>
    <t>atrocity|battle|chinese|horseback riding|martial arts</t>
  </si>
  <si>
    <t>Jacob Aaron Estes</t>
  </si>
  <si>
    <t>Mean Creek </t>
  </si>
  <si>
    <t>boat|bully|dare|friend|river</t>
  </si>
  <si>
    <t>The Benchwarmers </t>
  </si>
  <si>
    <t>baseball|baseball team|bully|millionaire|team</t>
  </si>
  <si>
    <t>My Soul to Take </t>
  </si>
  <si>
    <t>evil|killer|murder|psychopath|serial killer</t>
  </si>
  <si>
    <t>Robert Eggers</t>
  </si>
  <si>
    <t>The Witch </t>
  </si>
  <si>
    <t>black magic|goat|isolation|naked woman|witch</t>
  </si>
  <si>
    <t>Shengyi Huang</t>
  </si>
  <si>
    <t>Kung Fu Hustle </t>
  </si>
  <si>
    <t>1940s|axe|china|gang|sign language</t>
  </si>
  <si>
    <t>Kent Alterman</t>
  </si>
  <si>
    <t>Semi-Pro </t>
  </si>
  <si>
    <t>flint michigan|merger|michigan|nba|team</t>
  </si>
  <si>
    <t>Green Zone </t>
  </si>
  <si>
    <t>cia|iraq|iraqi|political military conspiracy|weapon of mass destruction</t>
  </si>
  <si>
    <t>Michael Roemer</t>
  </si>
  <si>
    <t>Nothing But a Man </t>
  </si>
  <si>
    <t>1960s|father|railroad|town|worker</t>
  </si>
  <si>
    <t>Bless the Child </t>
  </si>
  <si>
    <t>easter|fbi|luminol|nurse|omen</t>
  </si>
  <si>
    <t>Central Intelligence </t>
  </si>
  <si>
    <t>accountant|blooper|espionage|facebook|high school reunion</t>
  </si>
  <si>
    <t>21 &amp; Over </t>
  </si>
  <si>
    <t>21st birthday|college student|drunken man|pubic hair|standing up to father</t>
  </si>
  <si>
    <t>Brown Sugar </t>
  </si>
  <si>
    <t>basketball|hip hop|rap music|record company|writer</t>
  </si>
  <si>
    <t>Alex Garland</t>
  </si>
  <si>
    <t>Elina Alminas</t>
  </si>
  <si>
    <t>Ex Machina </t>
  </si>
  <si>
    <t>artificial intelligence|robot|robot human relationship|turing test|video surveillance</t>
  </si>
  <si>
    <t>Stardust </t>
  </si>
  <si>
    <t>king|magic|one word title|pirate|village</t>
  </si>
  <si>
    <t>The Impossible </t>
  </si>
  <si>
    <t>christmas|resort|thailand|tourist|tsunami</t>
  </si>
  <si>
    <t>The Amazing Spider-Man 2 </t>
  </si>
  <si>
    <t>costumed hero|death of girlfriend|masked vigilante|returning character killed off|teenager</t>
  </si>
  <si>
    <t>Karen Moncrieff</t>
  </si>
  <si>
    <t>Blue Car </t>
  </si>
  <si>
    <t>contest|poetry|refusing to eat|starving oneself|teenage girl</t>
  </si>
  <si>
    <t>The Firm </t>
  </si>
  <si>
    <t>bar|fbi|law|law firm|lawyer</t>
  </si>
  <si>
    <t>Erick Avari</t>
  </si>
  <si>
    <t>Paul Blart: Mall Cop </t>
  </si>
  <si>
    <t>cell phone|hostage|mall|security guard|text messaging</t>
  </si>
  <si>
    <t>Willard Huyck</t>
  </si>
  <si>
    <t>Howard the Duck </t>
  </si>
  <si>
    <t>alien|duck|laser|planet|singer</t>
  </si>
  <si>
    <t>loss</t>
  </si>
  <si>
    <t>TOP_LOSS10_Movie</t>
  </si>
  <si>
    <t>TOP10_Movie</t>
  </si>
  <si>
    <t>Profit</t>
  </si>
  <si>
    <t>Country</t>
  </si>
  <si>
    <t>SUM من profit</t>
  </si>
  <si>
    <t>SUM من Loss</t>
  </si>
  <si>
    <t>Katsuhiro Ãtomo</t>
  </si>
  <si>
    <t>MÃa Maestro</t>
  </si>
  <si>
    <t>BÃrbara Mori</t>
  </si>
  <si>
    <t>الإجمالي العام</t>
  </si>
  <si>
    <t>COUNTA من movie_title</t>
  </si>
  <si>
    <t>AVERAGE من profit</t>
  </si>
  <si>
    <t>Alfonso CuarÃn</t>
  </si>
  <si>
    <t>AndrÃs Muschietti</t>
  </si>
  <si>
    <t>Alejandro AmenÃbar</t>
  </si>
  <si>
    <t>Lasse HallstrÃm</t>
  </si>
  <si>
    <t>Baltasar KormÃkur</t>
  </si>
  <si>
    <t>Juan JosÃ Campanella</t>
  </si>
  <si>
    <t>CiarÃn Foy</t>
  </si>
  <si>
    <t>Alejandro G. IÃÃrritu</t>
  </si>
  <si>
    <t>Mikael HÃfstrÃm</t>
  </si>
  <si>
    <t>Jean-Marc VallÃe</t>
  </si>
  <si>
    <t>Mark A.Z. DippÃ</t>
  </si>
  <si>
    <t>Gonzalo LÃpez-Gallego</t>
  </si>
  <si>
    <t>NimrÃd Antal</t>
  </si>
  <si>
    <t>Jaume BalaguerÃ</t>
  </si>
  <si>
    <t>EugÃne LouriÃ</t>
  </si>
  <si>
    <t>Nnegest LikkÃ</t>
  </si>
  <si>
    <t>Ãmile Gaudreault</t>
  </si>
  <si>
    <t>Jorge R. GutiÃrrez</t>
  </si>
  <si>
    <t>Timothy BjÃrklund</t>
  </si>
  <si>
    <t>StÃphane Aubier</t>
  </si>
  <si>
    <t>RyÃhei Kitamura</t>
  </si>
  <si>
    <t>Roland JoffÃ</t>
  </si>
  <si>
    <t>Rodrigo GarcÃa</t>
  </si>
  <si>
    <t>Rodrigo CortÃs</t>
  </si>
  <si>
    <t>Max FÃrberbÃck</t>
  </si>
  <si>
    <t>Marc SchÃlermann</t>
  </si>
  <si>
    <t>MÃns MÃrlind</t>
  </si>
  <si>
    <t>JosÃ Padilha</t>
  </si>
  <si>
    <t>JosÃ Luis Valenzuela</t>
  </si>
  <si>
    <t>JirÃ Menzel</t>
  </si>
  <si>
    <t>Jean-Marie PoirÃ</t>
  </si>
  <si>
    <t>Jean-FranÃois Richet</t>
  </si>
  <si>
    <t>IstvÃn SzabÃ</t>
  </si>
  <si>
    <t>GÃrard Krawczyk</t>
  </si>
  <si>
    <t>FranÃois Truffaut</t>
  </si>
  <si>
    <t>FranÃois Ozon</t>
  </si>
  <si>
    <t>FranÃois Girard</t>
  </si>
  <si>
    <t>Fernando LeÃn de Aranoa</t>
  </si>
  <si>
    <t>FabiÃn Bielinsky</t>
  </si>
  <si>
    <t>Dagur KÃri</t>
  </si>
  <si>
    <t>CÃdric Klapisch</t>
  </si>
  <si>
    <t>AndrÃ Ãvredal</t>
  </si>
  <si>
    <t>Ãlex de la Iglesia</t>
  </si>
  <si>
    <t>Aki KaurismÃki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</si>
</sst>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EGP-C01]#,##0.0"/>
    <numFmt numFmtId="165" formatCode="[$EGP-C01]#,##0.00"/>
  </numFmts>
  <fonts count="9">
    <font>
      <sz val="11.0"/>
      <color theme="1"/>
      <name val="Calibri"/>
      <scheme val="minor"/>
    </font>
    <font>
      <b/>
      <sz val="11.0"/>
      <color rgb="FFFFFFFF"/>
      <name val="Calibri"/>
    </font>
    <font>
      <b/>
      <sz val="10.0"/>
      <color rgb="FFFFFFFF"/>
      <name val="Calibri"/>
    </font>
    <font>
      <b/>
      <sz val="11.0"/>
      <color theme="0"/>
      <name val="Calibri"/>
    </font>
    <font>
      <sz val="11.0"/>
      <color theme="1"/>
      <name val="Calibri"/>
    </font>
    <font>
      <sz val="11.0"/>
      <color rgb="FF000000"/>
      <name val="Calibri"/>
    </font>
    <font>
      <sz val="10.0"/>
      <color rgb="FF000000"/>
      <name val="Arial"/>
    </font>
    <font>
      <color theme="1"/>
      <name val="Calibri"/>
      <scheme val="minor"/>
    </font>
    <font>
      <sz val="11.0"/>
      <color rgb="FF000000"/>
      <name val="Calibri"/>
      <scheme val="minor"/>
    </font>
  </fonts>
  <fills count="10">
    <fill>
      <patternFill patternType="none"/>
    </fill>
    <fill>
      <patternFill patternType="lightGray"/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FFFFFF"/>
        <bgColor rgb="FFFFFFFF"/>
      </patternFill>
    </fill>
    <fill>
      <patternFill patternType="solid">
        <fgColor rgb="FFDEEAF6"/>
        <bgColor rgb="FFDEEAF6"/>
      </patternFill>
    </fill>
    <fill>
      <patternFill patternType="solid">
        <fgColor rgb="FFE06666"/>
        <bgColor rgb="FFE06666"/>
      </patternFill>
    </fill>
    <fill>
      <patternFill patternType="solid">
        <fgColor rgb="FF6D9EEB"/>
        <bgColor rgb="FF6D9EEB"/>
      </patternFill>
    </fill>
    <fill>
      <patternFill patternType="solid">
        <fgColor theme="7"/>
        <bgColor theme="7"/>
      </patternFill>
    </fill>
    <fill>
      <patternFill patternType="solid">
        <fgColor rgb="FFD9EAD3"/>
        <bgColor rgb="FFD9EAD3"/>
      </patternFill>
    </fill>
  </fills>
  <borders count="7">
    <border/>
    <border>
      <left style="thin">
        <color rgb="FF9CC2E5"/>
      </left>
      <right/>
      <top style="thin">
        <color rgb="FFA8D08D"/>
      </top>
      <bottom/>
    </border>
    <border>
      <right/>
      <top style="thin">
        <color rgb="FFA8D08D"/>
      </top>
      <bottom/>
    </border>
    <border>
      <left/>
      <right/>
      <top style="thin">
        <color rgb="FFA8D08D"/>
      </top>
      <bottom/>
    </border>
    <border>
      <left style="thin">
        <color rgb="FF9CC2E5"/>
      </left>
      <top style="thin">
        <color rgb="FFA8D08D"/>
      </top>
    </border>
    <border>
      <top style="thin">
        <color rgb="FFA8D08D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2" fillId="2" fontId="2" numFmtId="0" xfId="0" applyAlignment="1" applyBorder="1" applyFont="1">
      <alignment readingOrder="0"/>
    </xf>
    <xf borderId="3" fillId="2" fontId="3" numFmtId="0" xfId="0" applyBorder="1" applyFont="1"/>
    <xf borderId="3" fillId="2" fontId="1" numFmtId="0" xfId="0" applyAlignment="1" applyBorder="1" applyFont="1">
      <alignment readingOrder="0"/>
    </xf>
    <xf borderId="3" fillId="2" fontId="3" numFmtId="164" xfId="0" applyBorder="1" applyFont="1" applyNumberFormat="1"/>
    <xf borderId="3" fillId="2" fontId="1" numFmtId="164" xfId="0" applyAlignment="1" applyBorder="1" applyFont="1" applyNumberFormat="1">
      <alignment readingOrder="0"/>
    </xf>
    <xf borderId="1" fillId="3" fontId="4" numFmtId="0" xfId="0" applyBorder="1" applyFill="1" applyFont="1"/>
    <xf borderId="0" fillId="4" fontId="5" numFmtId="0" xfId="0" applyAlignment="1" applyFill="1" applyFont="1">
      <alignment horizontal="left" readingOrder="0"/>
    </xf>
    <xf borderId="3" fillId="3" fontId="4" numFmtId="0" xfId="0" applyBorder="1" applyFont="1"/>
    <xf borderId="3" fillId="3" fontId="4" numFmtId="164" xfId="0" applyBorder="1" applyFont="1" applyNumberFormat="1"/>
    <xf borderId="3" fillId="3" fontId="4" numFmtId="0" xfId="0" applyAlignment="1" applyBorder="1" applyFont="1">
      <alignment readingOrder="0"/>
    </xf>
    <xf borderId="0" fillId="4" fontId="6" numFmtId="165" xfId="0" applyAlignment="1" applyFont="1" applyNumberFormat="1">
      <alignment horizontal="left" readingOrder="0"/>
    </xf>
    <xf borderId="4" fillId="0" fontId="4" numFmtId="0" xfId="0" applyBorder="1" applyFont="1"/>
    <xf borderId="5" fillId="0" fontId="4" numFmtId="0" xfId="0" applyBorder="1" applyFont="1"/>
    <xf borderId="5" fillId="0" fontId="4" numFmtId="164" xfId="0" applyBorder="1" applyFont="1" applyNumberFormat="1"/>
    <xf borderId="5" fillId="0" fontId="4" numFmtId="0" xfId="0" applyAlignment="1" applyBorder="1" applyFont="1">
      <alignment readingOrder="0"/>
    </xf>
    <xf borderId="1" fillId="5" fontId="4" numFmtId="0" xfId="0" applyBorder="1" applyFill="1" applyFont="1"/>
    <xf borderId="3" fillId="5" fontId="4" numFmtId="0" xfId="0" applyBorder="1" applyFont="1"/>
    <xf borderId="3" fillId="5" fontId="4" numFmtId="164" xfId="0" applyBorder="1" applyFont="1" applyNumberFormat="1"/>
    <xf borderId="3" fillId="5" fontId="4" numFmtId="0" xfId="0" applyAlignment="1" applyBorder="1" applyFont="1">
      <alignment readingOrder="0"/>
    </xf>
    <xf borderId="1" fillId="0" fontId="4" numFmtId="0" xfId="0" applyBorder="1" applyFont="1"/>
    <xf borderId="3" fillId="0" fontId="4" numFmtId="0" xfId="0" applyBorder="1" applyFont="1"/>
    <xf borderId="3" fillId="0" fontId="4" numFmtId="164" xfId="0" applyBorder="1" applyFont="1" applyNumberFormat="1"/>
    <xf borderId="3" fillId="0" fontId="4" numFmtId="0" xfId="0" applyAlignment="1" applyBorder="1" applyFont="1">
      <alignment readingOrder="0"/>
    </xf>
    <xf borderId="4" fillId="3" fontId="4" numFmtId="0" xfId="0" applyBorder="1" applyFont="1"/>
    <xf borderId="5" fillId="3" fontId="4" numFmtId="0" xfId="0" applyBorder="1" applyFont="1"/>
    <xf borderId="5" fillId="3" fontId="4" numFmtId="164" xfId="0" applyBorder="1" applyFont="1" applyNumberFormat="1"/>
    <xf borderId="5" fillId="3" fontId="4" numFmtId="0" xfId="0" applyAlignment="1" applyBorder="1" applyFont="1">
      <alignment readingOrder="0"/>
    </xf>
    <xf borderId="4" fillId="5" fontId="4" numFmtId="0" xfId="0" applyBorder="1" applyFont="1"/>
    <xf borderId="5" fillId="5" fontId="4" numFmtId="0" xfId="0" applyBorder="1" applyFont="1"/>
    <xf borderId="5" fillId="5" fontId="4" numFmtId="164" xfId="0" applyBorder="1" applyFont="1" applyNumberFormat="1"/>
    <xf borderId="5" fillId="5" fontId="4" numFmtId="0" xfId="0" applyAlignment="1" applyBorder="1" applyFont="1">
      <alignment readingOrder="0"/>
    </xf>
    <xf borderId="0" fillId="0" fontId="7" numFmtId="0" xfId="0" applyAlignment="1" applyFont="1">
      <alignment readingOrder="0"/>
    </xf>
    <xf borderId="6" fillId="6" fontId="7" numFmtId="0" xfId="0" applyAlignment="1" applyBorder="1" applyFill="1" applyFont="1">
      <alignment readingOrder="0"/>
    </xf>
    <xf borderId="0" fillId="0" fontId="7" numFmtId="165" xfId="0" applyFont="1" applyNumberFormat="1"/>
    <xf borderId="0" fillId="0" fontId="7" numFmtId="164" xfId="0" applyFont="1" applyNumberFormat="1"/>
    <xf borderId="6" fillId="6" fontId="7" numFmtId="0" xfId="0" applyBorder="1" applyFont="1"/>
    <xf borderId="6" fillId="6" fontId="7" numFmtId="165" xfId="0" applyBorder="1" applyFont="1" applyNumberFormat="1"/>
    <xf borderId="6" fillId="6" fontId="8" numFmtId="0" xfId="0" applyBorder="1" applyFont="1"/>
    <xf borderId="6" fillId="7" fontId="7" numFmtId="0" xfId="0" applyAlignment="1" applyBorder="1" applyFill="1" applyFont="1">
      <alignment readingOrder="0"/>
    </xf>
    <xf borderId="6" fillId="7" fontId="7" numFmtId="0" xfId="0" applyBorder="1" applyFont="1"/>
    <xf borderId="6" fillId="7" fontId="7" numFmtId="164" xfId="0" applyBorder="1" applyFont="1" applyNumberFormat="1"/>
    <xf borderId="0" fillId="0" fontId="7" numFmtId="0" xfId="0" applyFont="1"/>
    <xf borderId="0" fillId="3" fontId="7" numFmtId="0" xfId="0" applyFont="1"/>
    <xf borderId="0" fillId="8" fontId="7" numFmtId="0" xfId="0" applyFill="1" applyFont="1"/>
    <xf borderId="0" fillId="8" fontId="7" numFmtId="164" xfId="0" applyFont="1" applyNumberFormat="1"/>
    <xf borderId="0" fillId="3" fontId="7" numFmtId="165" xfId="0" applyFont="1" applyNumberFormat="1"/>
    <xf borderId="0" fillId="9" fontId="7" numFmtId="0" xfId="0" applyFill="1" applyFont="1"/>
    <xf borderId="0" fillId="9" fontId="7" numFmtId="164" xfId="0" applyFont="1" applyNumberFormat="1"/>
  </cellXfs>
  <cellStyles count="1">
    <cellStyle xfId="0" name="Normal" builtinId="0"/>
  </cellStyles>
  <dxfs count="3"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D9EAD3"/>
          <bgColor rgb="FFD9EAD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TOP 10 PROFITS</a:t>
            </a:r>
          </a:p>
        </c:rich>
      </c:tx>
      <c:layout>
        <c:manualLayout>
          <c:xMode val="edge"/>
          <c:yMode val="edge"/>
          <c:x val="0.02439824945295405"/>
          <c:y val="0.028798586572438157"/>
        </c:manualLayout>
      </c:layout>
      <c:overlay val="0"/>
    </c:title>
    <c:plotArea>
      <c:layout>
        <c:manualLayout>
          <c:xMode val="edge"/>
          <c:yMode val="edge"/>
          <c:x val="0.22682688643292684"/>
          <c:y val="0.19444444444444445"/>
          <c:w val="0.7420755525914634"/>
          <c:h val="0.5065359477124183"/>
        </c:manualLayout>
      </c:layout>
      <c:barChart>
        <c:barDir val="col"/>
        <c:ser>
          <c:idx val="0"/>
          <c:order val="0"/>
          <c:tx>
            <c:strRef>
              <c:f>Sheet2!$I$14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Sheet2!$H$15:$H$24</c:f>
            </c:strRef>
          </c:cat>
          <c:val>
            <c:numRef>
              <c:f>Sheet2!$I$15:$I$24</c:f>
              <c:numCache/>
            </c:numRef>
          </c:val>
        </c:ser>
        <c:axId val="397500601"/>
        <c:axId val="1729370529"/>
      </c:barChart>
      <c:catAx>
        <c:axId val="3975006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1729370529"/>
      </c:catAx>
      <c:valAx>
        <c:axId val="17293705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75006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1" sz="2000">
                <a:solidFill>
                  <a:srgbClr val="000000"/>
                </a:solidFill>
                <a:latin typeface="Garamond"/>
              </a:defRPr>
            </a:pPr>
            <a:r>
              <a:rPr b="1" i="1" sz="2000">
                <a:solidFill>
                  <a:srgbClr val="000000"/>
                </a:solidFill>
                <a:latin typeface="Garamond"/>
              </a:rPr>
              <a:t>Number of movies to achieve profit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pivots!$B$15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pivots!$C$16:$C$18</c:f>
            </c:strRef>
          </c:cat>
          <c:val>
            <c:numRef>
              <c:f>pivots!$B$16:$B$18</c:f>
              <c:numCache/>
            </c:numRef>
          </c:val>
        </c:ser>
        <c:overlap val="100"/>
        <c:axId val="1164176279"/>
        <c:axId val="1600849423"/>
      </c:barChart>
      <c:catAx>
        <c:axId val="116417627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0849423"/>
      </c:catAx>
      <c:valAx>
        <c:axId val="160084942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4176279"/>
        <c:crosses val="max"/>
        <c:majorUnit val="1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3F3F3"/>
    </a:solidFill>
  </c:spPr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686300" cy="29146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16</xdr:row>
      <xdr:rowOff>0</xdr:rowOff>
    </xdr:from>
    <xdr:ext cx="4733925" cy="27527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3493" sheet="IMDB_Movies"/>
  </cacheSource>
  <cacheFields>
    <cacheField name="director_name" numFmtId="0">
      <sharedItems>
        <s v="Cal Brunker"/>
        <s v="Ericson Core"/>
        <s v="Gavin O'Connor"/>
        <s v="Sergio Leone"/>
        <s v="Gregory Hoblit"/>
        <s v="Kevin Bray"/>
        <s v="Quentin Tarantino"/>
        <s v="Griffin Dunne"/>
        <s v="Kurt Wimmer"/>
        <s v="Spike Lee"/>
        <s v="Ridley Scott"/>
        <s v="John Sayles"/>
        <s v="Florian Henckel von Donnersmarck"/>
        <s v="JosÃ© Luis Valenzuela"/>
        <s v="John Ottman"/>
        <s v="Andy Cadiff"/>
        <s v="Michael Polish"/>
        <s v="Steve Miner"/>
        <s v="Nick Cassavetes"/>
        <s v="Vincente Minnelli"/>
        <s v="J.B. Rogers"/>
        <s v="Edgar Wright"/>
        <s v="Tim Chambers"/>
        <s v="Hugh Wilson"/>
        <s v="Simon Wincer"/>
        <s v="Wes Craven"/>
        <s v="Johnnie To"/>
        <s v="James L. Brooks"/>
        <s v="F. Gary Gray"/>
        <s v="Neil LaBute"/>
        <s v="Roland Emmerich"/>
        <s v="Tim Burton"/>
        <s v="James Cameron"/>
        <s v="Robert Luketic"/>
        <s v="Terry Zwigoff"/>
        <s v="Len Wiseman"/>
        <s v="Robert B. Weide"/>
        <s v="Sam Firstenberg"/>
        <s v="Wayne Wang"/>
        <s v="James Mangold"/>
        <s v="Alex Smith"/>
        <s v="Jaume BalaguerÃ³"/>
        <s v="Anne Fontaine"/>
        <s v="James Ivory"/>
        <s v="David Mirkin"/>
        <s v="Paul Feig"/>
        <s v="Rick de Oliveira"/>
        <s v="Eric Darnell"/>
        <s v="David Slade"/>
        <s v="Keenen Ivory Wayans"/>
        <s v="Lee Tamahori"/>
        <s v="John Gatins"/>
        <s v="Rob Cohen"/>
        <s v="Adam McKay"/>
        <s v="William Brent Bell"/>
        <s v="Joel Zwick"/>
        <s v="Michael Moore"/>
        <s v="Eric Styles"/>
        <s v="Chris Miller"/>
        <s v="M. Night Shyamalan"/>
        <s v="D.J. Caruso"/>
        <s v="Steven Soderbergh"/>
        <s v="Andrew Fleming"/>
        <s v="Keith Gordon"/>
        <s v="Steve Antin"/>
        <s v="George Clooney"/>
        <s v="David Lynch"/>
        <s v="Peter Chelsom"/>
        <s v="Andrew Adamson"/>
        <s v="Alex Kendrick"/>
        <s v="Antoine Fuqua"/>
        <s v="Marc Abraham"/>
        <s v="Alex Craig Mann"/>
        <s v="Jon Turteltaub"/>
        <s v="Robert Wise"/>
        <s v="Jessie Nelson"/>
        <s v="Brian De Palma"/>
        <s v="Colin Strause"/>
        <s v="Rick Rosenthal"/>
        <s v="John Hoffman"/>
        <s v="Robert Moresco"/>
        <s v="John Dahl"/>
        <s v="Roger Spottiswoode"/>
        <s v="Joe Dante"/>
        <s v="Kate Barker-Froyland"/>
        <s v="Brian Koppelman"/>
        <s v="Martin Campbell"/>
        <s v="David Cronenberg"/>
        <s v="Jay Roach"/>
        <s v="Michael Winterbottom"/>
        <s v="James Wong"/>
        <s v="Steve Buscemi"/>
        <s v="Werner Herzog"/>
        <s v="Tom Hanks"/>
        <s v="Richard Loncraine"/>
        <s v="Wes Anderson"/>
        <s v="John McTiernan"/>
        <s v="Tommy Wirkola"/>
        <s v="Kevin Spacey"/>
        <s v="Eddie O'Flaherty"/>
        <s v="Chuck Russell"/>
        <s v="Fred Wolf"/>
        <s v="Brian Helgeland"/>
        <s v="Jon Favreau"/>
        <s v="Todd Graff"/>
        <s v="Mark Waters"/>
        <s v="Tim Robbins"/>
        <s v="Phillip Noyce"/>
        <s v="Raymond De Felitta"/>
        <s v="Joel Schumacher"/>
        <s v="Donald Petrie"/>
        <s v="Robert Zemeckis"/>
        <s v="Doug Lefler"/>
        <s v="P.J. Hogan"/>
        <s v="Cameron Crowe"/>
        <s v="Morten Tyldum"/>
        <s v="Tom McCarthy"/>
        <s v="Scott Derrickson"/>
        <s v="Dick Richards"/>
        <s v="Barbet Schroeder"/>
        <s v="Hoyt Yeatman"/>
        <s v="Gus Van Sant"/>
        <s v="John Michael McDonagh"/>
        <s v="Phil Lord"/>
        <s v="Jason Bateman"/>
        <s v="Olivier Megaton"/>
        <s v="Jonathan Mostow"/>
        <s v="Steven Brill"/>
        <s v="Philip Saville"/>
        <s v="Edward Zwick"/>
        <s v="Richard Donner"/>
        <s v="Steven Spielberg"/>
        <s v="David O. Russell"/>
        <s v="Dean Parisot"/>
        <s v="John Schlesinger"/>
        <s v="Jean-Pierre Jeunet"/>
        <s v="John A. Davis"/>
        <s v="Ric Roman Waugh"/>
        <s v="Yash Chopra"/>
        <s v="Peter Weir"/>
        <s v="Stephen Herek"/>
        <s v="John Moore"/>
        <s v="Peter Segal"/>
        <s v="William Friedkin"/>
        <s v="Don Michael Paul"/>
        <s v="Tom Hooper"/>
        <s v="Christian Duguay"/>
        <s v="Jon M. Chu"/>
        <s v="Gil Kenan"/>
        <s v="Robert Rodriguez"/>
        <s v="FranÃ§ois Girard"/>
        <s v="Nicholas Hytner"/>
        <s v="Costa-Gavras"/>
        <s v="Lawrence Guterman"/>
        <s v="Michael Chapman"/>
        <s v="Mike Nichols"/>
        <s v="Adam Shankman"/>
        <s v="Martin Scorsese"/>
        <s v="Kimberly Peirce"/>
        <s v="Mike Binder"/>
        <s v="JosÃ© Padilha"/>
        <s v="Neil Burger"/>
        <s v="Mark Rydell"/>
        <s v="Adam Goldberg"/>
        <s v="George Gallo"/>
        <s v="Will Finn"/>
        <s v="Clint Eastwood"/>
        <s v="Rod Lurie"/>
        <s v="Andrea Di Stefano"/>
        <s v="Patrick Hughes"/>
        <s v="Frank LaLoggia"/>
        <s v="Jon Amiel"/>
        <s v="Gabriele Muccino"/>
        <s v="Nadine Labaki"/>
        <s v="John Glen"/>
        <s v="Robert Stromberg"/>
        <s v="Lana Wachowski"/>
        <s v="Robert Cary"/>
        <s v="Sean Anders"/>
        <s v="Michael Bay"/>
        <s v="John Woo"/>
        <s v="Michael Haneke"/>
        <s v="David Ayer"/>
        <s v="Terry Gilliam"/>
        <s v="Michael Hoffman"/>
        <s v="Randal Kleiser"/>
        <s v="Kevin Smith"/>
        <s v="Nick Gomez"/>
        <s v="James McTeigue"/>
        <s v="Michel Hazanavicius"/>
        <s v="Wallace Wolodarsky"/>
        <s v="Sylvain White"/>
        <s v="Wolfgang Petersen"/>
        <s v="Rob Marshall"/>
        <s v="Sofia Coppola"/>
        <s v="Betty Thomas"/>
        <s v="Jaume Collet-Serra"/>
        <s v="Forest Whitaker"/>
        <s v="Don Bluth"/>
        <s v="Adam Marcus"/>
        <s v="Oliver Stone"/>
        <s v="Glenn Ficarra"/>
        <s v="Shawn Levy"/>
        <s v="Jon Gunn"/>
        <s v="Joel Gallen"/>
        <s v="Simon West"/>
        <s v="Malcolm D. Lee"/>
        <s v="Sol Tryon"/>
        <s v="Peter Jackson"/>
        <s v="Morgan Spurlock"/>
        <s v="George Jackson"/>
        <s v="John Erick Dowdle"/>
        <s v="David Yates"/>
        <s v="Marco Kreuzpaintner"/>
        <s v="Tyler Perry"/>
        <s v="Anna Boden"/>
        <s v="Jez Butterworth"/>
        <s v="Alex Zamm"/>
        <s v="Jeff Tremaine"/>
        <s v="Ramaa Mosley"/>
        <s v="David Raynr"/>
        <s v="Irwin Winkler"/>
        <s v="Peter Sollett"/>
        <s v="Alex Gibney"/>
        <s v="Jim Sheridan"/>
        <s v="Brian Levant"/>
        <s v="Renny Harlin"/>
        <s v="Lance Hool"/>
        <s v="Jan de Bont"/>
        <s v="Christopher McQuarrie"/>
        <s v="Brad Silberling"/>
        <s v="Ron Howard"/>
        <s v="Chris Stokes"/>
        <s v="Martin Weisz"/>
        <s v="Todd Haynes"/>
        <s v="David Twohy"/>
        <s v="Michael Martin"/>
        <s v="Scott Stewart"/>
        <s v="Ken Scott"/>
        <s v="Tony Bancroft"/>
        <s v="Peter Hewitt"/>
        <s v="Christopher Erskin"/>
        <s v="Etan Cohen"/>
        <s v="Ang Lee"/>
        <s v="Norman Ferguson"/>
        <s v="Jonathan Dayton"/>
        <s v="Tim Johnson"/>
        <s v="Peter Farrelly"/>
        <s v="Breck Eisner"/>
        <s v="Josh Schwartz"/>
        <s v="Peter Atencio"/>
        <s v="James Foley"/>
        <s v="Norman Jewison"/>
        <s v="Rand Ravich"/>
        <s v="Tom Holland"/>
        <s v="Charles Herman-Wurmfeld"/>
        <s v="Paul Weitz"/>
        <s v="Chris Weitz"/>
        <s v="Rich Cowan"/>
        <s v="Craig R. Baxley"/>
        <s v="Dan Rush"/>
        <s v="Russell Mulcahy"/>
        <s v="Daniel Algrant"/>
        <s v="Cody Cameron"/>
        <s v="Guy Hamilton"/>
        <s v="George Lucas"/>
        <s v="John Whitesell"/>
        <s v="Susanne Bier"/>
        <s v="Julie Anne Robinson"/>
        <s v="Mabrouk El Mechri"/>
        <s v="Bille Woodruff"/>
        <s v="Bryan Singer"/>
        <s v="Tobe Hooper"/>
        <s v="Tomas Alfredson"/>
        <s v="Daisy von Scherler Mayer"/>
        <s v="Kirk Jones"/>
        <s v="Stanley Kramer"/>
        <s v="Richard Kwietniowski"/>
        <s v="Joe Nussbaum"/>
        <s v="Sam Raimi"/>
        <s v="Christopher Nolan"/>
        <s v="Jonathan Caouette"/>
        <s v="David F. Sandberg"/>
        <s v="Christian Volckman"/>
        <s v="J.J. Abrams"/>
        <s v="Jason Alexander"/>
        <s v="Wes Ball"/>
        <s v="Tom Vaughan"/>
        <s v="Jonathan Liebesman"/>
        <s v="Kevin Reynolds"/>
        <s v="Trey Parker"/>
        <s v="Lewis Gilbert"/>
        <s v="Robert Altman"/>
        <s v="Marc Lawrence"/>
        <s v="David Fincher"/>
        <s v="Ron Underwood"/>
        <s v="Josh Gordon"/>
        <s v="Laurent Tirard"/>
        <s v="Tom Shadyac"/>
        <s v="Bobby Farrelly"/>
        <s v="Stefan Ruzowitzky"/>
        <s v="E. Elias Merhige"/>
        <s v="Danny Cannon"/>
        <s v="Guillermo del Toro"/>
        <s v="Roger Donaldson"/>
        <s v="Mark Steven Johnson"/>
        <s v="John Madden"/>
        <s v="Debra Granik"/>
        <s v="Henry Selick"/>
        <s v="Rob Bowman"/>
        <s v="Nanette Burstein"/>
        <s v="Frederik Du Chau"/>
        <s v="Marc Forster"/>
        <s v="Bruce Campbell"/>
        <s v="Paul Haggis"/>
        <s v="Gore Verbinski"/>
        <s v="Katsuhiro Ã”tomo"/>
        <s v="Josh Trank"/>
        <s v="Mick Jackson"/>
        <s v="Richard Glatzer"/>
        <s v="Andrzej Bartkowiak"/>
        <s v="McG"/>
        <s v="David S. Goyer"/>
        <s v="Tom Tykwer"/>
        <s v="Ethan Coen"/>
        <s v="Gillian Armstrong"/>
        <s v="Zach Braff"/>
        <s v="Frank Oz"/>
        <s v="Gary Fleder"/>
        <s v="Vincent Gallo"/>
        <s v="S.R. Bindler"/>
        <s v="Peter Cattaneo"/>
        <s v="Richard Williams"/>
        <s v="Allison Anders"/>
        <s v="Matt Bettinelli-Olpin"/>
        <s v="Joss Whedon"/>
        <s v="Jun Falkenstein"/>
        <s v="John Carl Buechler"/>
        <s v="Melvin Van Peebles"/>
        <s v="Brian Trenchard-Smith"/>
        <s v="John Carpenter"/>
        <s v="Francis Ford Coppola"/>
        <s v="Sam Miller"/>
        <s v="Scott Kalvert"/>
        <s v="George A. Romero"/>
        <s v="Damien O'Donnell"/>
        <s v="Frank Marshall"/>
        <s v="John Hamburg"/>
        <s v="Paul W.S. Anderson"/>
        <s v="Craig Gillespie"/>
        <s v="Alejandro G. IÃ±Ã¡rritu"/>
        <s v="Kerry Conran"/>
        <s v="Gavin Hood"/>
        <s v="Rob Minkoff"/>
        <s v="Stiles White"/>
        <s v="Roger Michell"/>
        <s v="Paul Crowder"/>
        <s v="John G. Avildsen"/>
        <s v="Andrew Erwin"/>
        <s v="Mark Neveldine"/>
        <s v="John Francis Daley"/>
        <s v="Woody Allen"/>
        <s v="Richard Benjamin"/>
        <s v="Douglas McGrath"/>
        <s v="Courtney Solomon"/>
        <s v="Jee-woon Kim"/>
        <s v="Barry Levinson"/>
        <s v="Lisa Cholodenko"/>
        <s v="Chia-Liang Liu"/>
        <s v="Mike McCoy"/>
        <s v="Andrew Currie"/>
        <s v="Harold Ramis"/>
        <s v="Mike Newell"/>
        <s v="Justin Chadwick"/>
        <s v="Steve Martino"/>
        <s v="Robert Redford"/>
        <s v="Atom Egoyan"/>
        <s v="Todd Solondz"/>
        <s v="Corey Yuen"/>
        <s v="Janusz Kaminski"/>
        <s v="Mike Leigh"/>
        <s v="David Wain"/>
        <s v="David Jacobson"/>
        <s v="Eric Brevig"/>
        <s v="Ellory Elkayem"/>
        <s v="Camille Delamarre"/>
        <s v="Brett Ratner"/>
        <s v="Michael Lehmann"/>
        <s v="Jamie Blanks"/>
        <s v="Carlos Carrera"/>
        <s v="Luc Besson"/>
        <s v="Tom Dey"/>
        <s v="Gonzalo LÃ³pez-Gallego"/>
        <s v="Perry Andelin Blake"/>
        <s v="Craig Mazin"/>
        <s v="Jonathan Kesselman"/>
        <s v="Mark Sandrich"/>
        <s v="Stephen Daldry"/>
        <s v="David Koepp"/>
        <s v="Phyllida Lloyd"/>
        <s v="David R. Ellis"/>
        <s v="Bob Saget"/>
        <s v="Michel Gondry"/>
        <s v="Jesse Dylan"/>
        <s v="Danny DeVito"/>
        <s v="Hugh Hudson"/>
        <s v="Jonathan Levine"/>
        <s v="David Zucker"/>
        <s v="Patrice Leconte"/>
        <s v="Rupert Wyatt"/>
        <s v="Anne Fletcher"/>
        <s v="Stephen Chbosky"/>
        <s v="Jon Stewart"/>
        <s v="Darren Aronofsky"/>
        <s v="John Waters"/>
        <s v="Martin McDonagh"/>
        <s v="Florent-Emilio Siri"/>
        <s v="Joseph Sargent"/>
        <s v="Andrew Wilson"/>
        <s v="Akiva Schaffer"/>
        <s v="John Fortenberry"/>
        <s v="George Roy Hill"/>
        <s v="Kevin Costner"/>
        <s v="John Pasquin"/>
        <s v="Marc Webb"/>
        <s v="Oliver Parker"/>
        <s v="James Bobin"/>
        <s v="Howard Zieff"/>
        <s v="Finn Taylor"/>
        <s v="Ken Kwapis"/>
        <s v="Dennis Dugan"/>
        <s v="James Gunn"/>
        <s v="Mic Rodgers"/>
        <s v="Franco Zeffirelli"/>
        <s v="Mathieu Kassovitz"/>
        <s v="Angelo Pizzo"/>
        <s v="Patrick Tatopoulos"/>
        <s v="Nora Ephron"/>
        <s v="Neil Marshall"/>
        <s v="Jonathan Kaplan"/>
        <s v="David Bowers"/>
        <s v="Richard Kelly"/>
        <s v="Whit Stillman"/>
        <s v="Raja Gosnell"/>
        <s v="Ben Stiller"/>
        <s v="Phil Joanou"/>
        <s v="Rupert Wainwright"/>
        <s v="Stephan Elliott"/>
        <s v="Matthew O'Callaghan"/>
        <s v="Juan JosÃ© Campanella"/>
        <s v="Agnieszka Holland"/>
        <s v="Harold Becker"/>
        <s v="Julie Taymor"/>
        <s v="Herbert Ross"/>
        <s v="Dave Borthwick"/>
        <s v="Andy Tennant"/>
        <s v="Ruben Fleischer"/>
        <s v="Thor Freudenthal"/>
        <s v="Derrick Borte"/>
        <s v="James Cox"/>
        <s v="John Lasseter"/>
        <s v="Lee Daniels"/>
        <s v="Dave Green"/>
        <s v="Ron Fricke"/>
        <s v="Larry Charles"/>
        <s v="Lucky McKee"/>
        <s v="George Tillman Jr."/>
        <s v="Charles Ferguson"/>
        <s v="John Singleton"/>
        <s v="Michael Radford"/>
        <s v="Wolfgang Becker"/>
        <s v="Jim Sonzero"/>
        <s v="Chris Koch"/>
        <s v="Jonathan Frakes"/>
        <s v="Jean-FranÃ§ois Richet"/>
        <s v="Dito Montiel"/>
        <s v="Carlos Saldanha"/>
        <s v="Roger Avary"/>
        <s v="Robert Schwentke"/>
        <s v="Tom Brady"/>
        <s v="Stephen Sommers"/>
        <s v="Audrey Wells"/>
        <s v="Sydney Pollack"/>
        <s v="John Carney"/>
        <s v="Ulu Grosbard"/>
        <s v="Stephen Carpenter"/>
        <s v="Paul Greengrass"/>
        <s v="Stanley Kubrick"/>
        <s v="Joe Camp"/>
        <s v="Stephen Frears"/>
        <s v="Beeban Kidron"/>
        <s v="Ray Lawrence"/>
        <s v="Pete Docter"/>
        <s v="Brad Anderson"/>
        <s v="Joe Berlinger"/>
        <s v="Gareth Edwards"/>
        <s v="Richard Lester"/>
        <s v="Dennie Gordon"/>
        <s v="Duncan Jones"/>
        <s v="Bruce Beresford"/>
        <s v="Tim McCanlies"/>
        <s v="Allen Coulter"/>
        <s v="David Frankel"/>
        <s v="Joe Wright"/>
        <s v="Tony Scott"/>
        <s v="Dan Gilroy"/>
        <s v="Gregory Widen"/>
        <s v="Billy Ray"/>
        <s v="Jafar Panahi"/>
        <s v="Ivan Reitman"/>
        <s v="NimrÃ³d Antal"/>
        <s v="Ari Sandel"/>
        <s v="Harry F. Millarde"/>
        <s v="Des McAnuff"/>
        <s v="Brandon Camp"/>
        <s v="Hal Needham"/>
        <s v="David Dobkin"/>
        <s v="J Blakeson"/>
        <s v="Tomm Moore"/>
        <s v="Terry George"/>
        <s v="Trent Cooper"/>
        <s v="Henry Alex Rubin"/>
        <s v="Don Scardino"/>
        <s v="Richard Linklater"/>
        <s v="Walter Hill"/>
        <s v="Barbra Streisand"/>
        <s v="Jonathan Demme"/>
        <s v="Alex Proyas"/>
        <s v="Shekhar Kapur"/>
        <s v="Stephen Hillenburg"/>
        <s v="Brian Dannelly"/>
        <s v="Patricia Riggen"/>
        <s v="Jonathan Teplitzky"/>
        <s v="Richard Fleischer"/>
        <s v="Les Mayfield"/>
        <s v="Tina Gordon Chism"/>
        <s v="Mort Nathan"/>
        <s v="David Nixon"/>
        <s v="Michael Mann"/>
        <s v="Lucio Fulci"/>
        <s v="Isabel Coixet"/>
        <s v="Taylor Hackford"/>
        <s v="Bennett Miller"/>
        <s v="Nick Love"/>
        <s v="Barry Sonnenfeld"/>
        <s v="Rich Moore"/>
        <s v="Patrick Read Johnson"/>
        <s v="Elizabeth Banks"/>
        <s v="Matthew Vaughn"/>
        <s v="Alexander Payne"/>
        <s v="Brett Leonard"/>
        <s v="Patrick Lussier"/>
        <s v="Marc F. Adler"/>
        <s v="Genndy Tartakovsky"/>
        <s v="Rick Famuyiwa"/>
        <s v="Carlos Saura"/>
        <s v="Tony Goldwyn"/>
        <s v="Ã‰mile Gaudreault"/>
        <s v="Peter Kassovitz"/>
        <s v="Baltasar KormÃ¡kur"/>
        <s v="Morgan J. Freeman"/>
        <s v="Dan Scanlon"/>
        <s v="Anton Corbijn"/>
        <s v="Michael Wadleigh"/>
        <s v="Paul Verhoeven"/>
        <s v="Hart Bochner"/>
        <s v="Michael Ritchie"/>
        <s v="Alfred Hitchcock"/>
        <s v="Lawrence Kasdan"/>
        <s v="Dan Cutforth"/>
        <s v="Arie Posin"/>
        <s v="Hironobu Sakaguchi"/>
        <s v="Pete Travis"/>
        <s v="Louis Leterrier"/>
        <s v="Greg Mottola"/>
        <s v="CÃ©dric Klapisch"/>
        <s v="Rodrigo CortÃ©s"/>
        <s v="Gil Junger"/>
        <s v="Kat Coiro"/>
        <s v="Joe Swanberg"/>
        <s v="Christopher Landon"/>
        <s v="Matthew Diamond"/>
        <s v="Will Gluck"/>
        <s v="Alan Taylor"/>
        <s v="Anna Muylaert"/>
        <s v="Salim Akil"/>
        <s v="Billy Bob Thornton"/>
        <s v="Hunter Richards"/>
        <s v="Gary Ross"/>
        <s v="Judd Apatow"/>
        <s v="Rachel Talalay"/>
        <s v="Bart Freundlich"/>
        <s v="William Dear"/>
        <s v="Joseph Kahn"/>
        <s v="Nick Hurran"/>
        <s v="Benson Lee"/>
        <s v="Peter Landesman"/>
        <s v="Iain Softley"/>
        <s v="Bruce Hunt"/>
        <s v="David Mamet"/>
        <s v="Kevin Rodney Sullivan"/>
        <s v="Chris Columbus"/>
        <s v="Mary Lambert"/>
        <s v="John Eng"/>
        <s v="Jean-Marc VallÃ©e"/>
        <s v="Dean DeBlois"/>
        <s v="Luis Valdez"/>
        <s v="John Schultz"/>
        <s v="Patrick Stettner"/>
        <s v="Byron Howard"/>
        <s v="Randall Miller"/>
        <s v="Mickey Liddell"/>
        <s v="Todd Phillips"/>
        <s v="Pat O'Connor"/>
        <s v="Kirk De Micco"/>
        <s v="John R. Leonetti"/>
        <s v="Steve Trenbirth"/>
        <s v="John Milius"/>
        <s v="Victor Salva"/>
        <s v="Andrew Dominik"/>
        <s v="Jean-Marie PoirÃ©"/>
        <s v="Rob Zombie"/>
        <s v="Michael Cimino"/>
        <s v="Roger Kumble"/>
        <s v="Steve Carr"/>
        <s v="Francis Lawrence"/>
        <s v="Jerome Robbins"/>
        <s v="Steven Quale"/>
        <s v="Curtis Hanson"/>
        <s v="Guy Ritchie"/>
        <s v="Jason Reitman"/>
        <s v="James DeMonaco"/>
        <s v="Kenneth Branagh"/>
        <s v="Gary Sherman"/>
        <s v="Michael Landon Jr."/>
        <s v="Preston A. Whitmore II"/>
        <s v="John Frankenheimer"/>
        <s v="Chuck Sheetz"/>
        <s v="Dagur KÃ¡ri"/>
        <s v="Terence Young"/>
        <s v="Fina Torres"/>
        <s v="Anthony Hemingway"/>
        <s v="Marius A. Markevicius"/>
        <s v="Theodore Melfi"/>
        <s v="Peter Lord"/>
        <s v="Rob Letterman"/>
        <s v="Tate Taylor"/>
        <s v="Khalid Mohamed"/>
        <s v="Henry Joost"/>
        <s v="David Kellogg"/>
        <s v="Tamra Davis"/>
        <s v="Jimmy Hayward"/>
        <s v="Miranda July"/>
        <s v="Michael Schultz"/>
        <s v="Kevin Jordan"/>
        <s v="Vic Armstrong"/>
        <s v="Michael McCullers"/>
        <s v="Jim Goddard"/>
        <s v="Michael Mayer"/>
        <s v="Frank Nissen"/>
        <s v="Andrew Niccol"/>
        <s v="Mike Nawrocki"/>
        <s v="Neil Jordan"/>
        <s v="Ol Parker"/>
        <s v="Kevin Lima"/>
        <s v="Colin Trevorrow"/>
        <s v="Carl Franklin"/>
        <s v="William Wyler"/>
        <s v="Mike Bigelow"/>
        <s v="Joe Roth"/>
        <s v="Jacques Perrin"/>
        <s v="John Herzfeld"/>
        <s v="Seth MacFarlane"/>
        <s v="Sean Penn"/>
        <s v="Brad Furman"/>
        <s v="Joshua Michael Stern"/>
        <s v="Lasse HallstrÃ¶m"/>
        <s v="Dennis Iliadis"/>
        <s v="Stewart Hendler"/>
        <s v="Shari Springer Berman"/>
        <s v="Takashi Shimizu"/>
        <s v="Jon Avnet"/>
        <s v="Takeshi Kitano"/>
        <s v="Maurice Joyce"/>
        <s v="FranÃ§ois Ozon"/>
        <s v="Peter Hyams"/>
        <s v="Mark Rosman"/>
        <s v="Sergey Bodrov"/>
        <s v="Anand Tucker"/>
        <s v="Steve Pink"/>
        <s v="Vondie Curtis-Hall"/>
        <s v="Sam Weisman"/>
        <s v="Mike Mills"/>
        <s v="Larry Clark"/>
        <s v="Jake Schreier"/>
        <s v="Chris Noonan"/>
        <s v="Gary Hardwick"/>
        <s v="Susanna White"/>
        <s v="Alan Rudolph"/>
        <s v="Lajos Koltai"/>
        <s v="Dario Argento"/>
        <s v="Frank Darabont"/>
        <s v="Jean-Jacques Annaud"/>
        <s v="Jonas Elmer"/>
        <s v="Mike Disa"/>
        <s v="Uwe Boll"/>
        <s v="Niki Caro"/>
        <s v="Fernando Meirelles"/>
        <s v="Michael Tiddes"/>
        <s v="Benedikt Erlingsson"/>
        <s v="Ben Falcone"/>
        <s v="Mark Dindal"/>
        <s v="Jake Paltrow"/>
        <s v="Damien Chazelle"/>
        <s v="Eli Roth"/>
        <s v="Martin Brest"/>
        <s v="Miguel Arteta"/>
        <s v="Francesca Gregorini"/>
        <s v="Carroll Ballard"/>
        <s v="Andrew Douglas"/>
        <s v="Kevin Donovan"/>
        <s v="Damian Nieman"/>
        <s v="Sam Mendes"/>
        <s v="Anurag Basu"/>
        <s v="Billy Wilder"/>
        <s v="Robert Butler"/>
        <s v="John Stockwell"/>
        <s v="Peter Hedges"/>
        <s v="Brendan Malloy"/>
        <s v="Seth Gordon"/>
        <s v="Nnegest LikkÃ©"/>
        <s v="Ruggero Deodato"/>
        <s v="Danny Boyle"/>
        <s v="Ronny Yu"/>
        <s v="Howard Deutch"/>
        <s v="Jeff Nichols"/>
        <s v="Baz Luhrmann"/>
        <s v="Alan J. Pakula"/>
        <s v="Doug Liman"/>
        <s v="DJ Pooh"/>
        <s v="Nicholas Stoller"/>
        <s v="James David Pasternak"/>
        <s v="Alan Cohn"/>
        <s v="Laurie Collyer"/>
        <s v="Jason Zada"/>
        <s v="Steven R. Monroe"/>
        <s v="Burr Steers"/>
        <s v="Tod Williams"/>
        <s v="Richard LaGravenese"/>
        <s v="Brad Bird"/>
        <s v="Demian Lichtenstein"/>
        <s v="Chris Wedge"/>
        <s v="Anthony Minghella"/>
        <s v="Lucrecia Martel"/>
        <s v="Chris Buck"/>
        <s v="Tom McLoughlin"/>
        <s v="Christopher Spencer"/>
        <s v="Kar-Wai Wong"/>
        <s v="Claude Miller"/>
        <s v="Uli Edel"/>
        <s v="Mark Illsley"/>
        <s v="David Lean"/>
        <s v="Jeff Franklin"/>
        <s v="Rob Reiner"/>
        <s v="Jeremy Saulnier"/>
        <s v="Garry Marshall"/>
        <s v="Clark Gregg"/>
        <s v="Robert Harmon"/>
        <s v="Bille August"/>
        <s v="Tim Hill"/>
        <s v="Daniel Barnz"/>
        <s v="Michael D. Sellers"/>
        <s v="Bob Dolman"/>
        <s v="Rich Christiano"/>
        <s v="Catherine Hardwicke"/>
        <s v="Steve Oedekerk"/>
        <s v="Alfonso CuarÃ³n"/>
        <s v="Sam Peckinpah"/>
        <s v="Edward Burns"/>
        <s v="Mel Gibson"/>
        <s v="Vincent Paronnaud"/>
        <s v="Steve Rash"/>
        <s v="Douglas Aarniokoski"/>
        <s v="Marcos Siega"/>
        <s v="Emma-Kate Croghan"/>
        <s v="John Polson"/>
        <s v="Dominic Sena"/>
        <s v="Gary Shore"/>
        <s v="Lars von Trier"/>
        <s v="Robin Budd"/>
        <s v="Daniel Espinosa"/>
        <s v="Sara Sugarman"/>
        <s v="Michael Meredith"/>
        <s v="Darren Stein"/>
        <s v="Aki KaurismÃ¤ki"/>
        <s v="Frank Coraci"/>
        <s v="Joe Johnston"/>
        <s v="Alex Rivera"/>
        <s v="David Moreau"/>
        <s v="Mark Osborne"/>
        <s v="Ted Demme"/>
        <s v="Jay Russell"/>
        <s v="Joe Carnahan"/>
        <s v="Stephen Hopkins"/>
        <s v="Mel Smith"/>
        <s v="Andrew Davis"/>
        <s v="Mel Brooks"/>
        <s v="Kevin Greutert"/>
        <s v="Hugh Johnson"/>
        <s v="Bruce Paltrow"/>
        <s v="Gurinder Chadha"/>
        <s v="Vicente Amorim"/>
        <s v="James Algar"/>
        <s v="Lynne Ramsay"/>
        <s v="Thomas Vinterberg"/>
        <s v="Peter Berg"/>
        <s v="Michael Apted"/>
        <s v="Jason Eisener"/>
        <s v="Peyton Reed"/>
        <s v="Jay Duplass"/>
        <s v="Jill Sprecher"/>
        <s v="Daniel Sackheim"/>
        <s v="Robert Iscove"/>
        <s v="Martin Lawrence"/>
        <s v="Scott Cooper"/>
        <s v="Ralph Ziman"/>
        <s v="Daniel Barber"/>
        <s v="John Lee Hancock"/>
        <s v="Jason Friedberg"/>
        <s v="Geoffrey Sax"/>
        <s v="Olivier Assayas"/>
        <s v="Kirsten Sheridan"/>
        <s v="Heidi Ewing"/>
        <s v="Jonathan Lynn"/>
        <s v="Christine Jeffs"/>
        <s v="Ole Bornedal"/>
        <s v="Jerry Jameson"/>
        <s v="Leslie Small"/>
        <s v="Pierre Morel"/>
        <s v="Daniel Lee"/>
        <s v="David Silverman"/>
        <s v="Akira Kurosawa"/>
        <s v="Charles Martin Smith"/>
        <s v="Michael Corrente"/>
        <s v="Vicky Jenson"/>
        <s v="Paul Bolger"/>
        <s v="Tim Miller"/>
        <s v="Nancy Meyers"/>
        <s v="Johnny Remo"/>
        <s v="Alexandre Aja"/>
        <s v="Noel Marshall"/>
        <s v="Claude Chabrol"/>
        <s v="Gary Winick"/>
        <s v="Giuseppe Tornatore"/>
        <s v="Kevin Tancharoen"/>
        <s v="David Sington"/>
        <s v="Kenny Ortega"/>
        <s v="Milos Forman"/>
        <s v="Ryan Fleck"/>
        <s v="George Miller"/>
        <s v="Lloyd Bacon"/>
        <s v="Boaz Yakin"/>
        <s v="Chris Nahon"/>
        <s v="Christian Carion"/>
        <s v="Todd Lincoln"/>
        <s v="David Gordon Green"/>
        <s v="James Bridges"/>
        <s v="Troy Nixey"/>
        <s v="Garth Jennings"/>
        <s v="Chris Carter"/>
        <s v="Gregory Poirier"/>
        <s v="Zack Snyder"/>
        <s v="Eric Leighton"/>
        <s v="Shana Feste"/>
        <s v="Simon Wells"/>
        <s v="Steve Taylor"/>
        <s v="Stuart Beattie"/>
        <s v="Stig Bergqvist"/>
        <s v="Diane Keaton"/>
        <s v="Randall Wallace"/>
        <s v="Paul Thomas Anderson"/>
        <s v="Gene Quintano"/>
        <s v="Denys Arcand"/>
        <s v="Mira Nair"/>
        <s v="Richard Attenborough"/>
        <s v="Peter Ho-Sun Chan"/>
        <s v="Matt Reeves"/>
        <s v="CiarÃ¡n Foy"/>
        <s v="Karey Kirkpatrick"/>
        <s v="J.C. Chandor"/>
        <s v="Adam Carolla"/>
        <s v="Tommy O'Haver"/>
        <s v="Brian Henson"/>
        <s v="Mike Mitchell"/>
        <s v="Rian Johnson"/>
        <s v="Christopher Guest"/>
        <s v="Sngmoo Lee"/>
        <s v="Aaron Seltzer"/>
        <s v="Richard Eyre"/>
        <s v="Shane Black"/>
        <s v="Ryan Coogler"/>
        <s v="Alejandro Agresti"/>
        <s v="Albert Hughes"/>
        <s v="Dan Trachtenberg"/>
        <s v="Jean-Paul Rappeneau"/>
        <s v="Tony Kaye"/>
        <s v="Kevin Munroe"/>
        <s v="Kasi Lemmons"/>
        <s v="Christopher Scott Cherot"/>
        <s v="Dewey Nicks"/>
        <s v="John Gray"/>
        <s v="David E. Talbert"/>
        <s v="Sheldon Lettich"/>
        <s v="Hayao Miyazaki"/>
        <s v="Matty Rich"/>
        <s v="Lena Dunham"/>
        <s v="Henry Bean"/>
        <s v="Ed Harris"/>
        <s v="Luke Greenfield"/>
        <s v="Dustin Hoffman"/>
        <s v="Mitch Davis"/>
        <s v="James Marsh"/>
        <s v="Kiyoshi Kurosawa"/>
        <s v="John Patrick Shanley"/>
        <s v="Justin Lin"/>
        <s v="Penny Marshall"/>
        <s v="Ãlex de la Iglesia"/>
        <s v="Paul Abascal"/>
        <s v="RyÃ»hei Kitamura"/>
        <s v="Joel Coen"/>
        <s v="Dan Mazer"/>
        <s v="MÃ¥ns MÃ¥rlind"/>
        <s v="Klaus Menzel"/>
        <s v="Evan Goldberg"/>
        <s v="Stephen Kay"/>
        <s v="Roger Allers"/>
        <s v="Mark L. Lester"/>
        <s v="Sidney Lumet"/>
        <s v="Tommy Lee Wallace"/>
        <s v="James Mather"/>
        <s v="Charles Robert Carner"/>
        <s v="James Wan"/>
        <s v="Patricia Rozema"/>
        <s v="Piyush Dinker Pandya"/>
        <s v="Jonathan Glazer"/>
        <s v="Max Joseph"/>
        <s v="Jim Hanon"/>
        <s v="Derek Cianfrance"/>
        <s v="Xavier Beauvois"/>
        <s v="Clark Johnson"/>
        <s v="AndrÃ© Ã˜vredal"/>
        <s v="Cory Edwards"/>
        <s v="Guillaume Canet"/>
        <s v="Roland JoffÃ©"/>
        <s v="Christian Alvart"/>
        <s v="James Watkins"/>
        <s v="Carol Reed"/>
        <s v="Leslye Headland"/>
        <s v="John Hillcoat"/>
        <s v="Elaine May"/>
        <s v="Tony Richardson"/>
        <s v="Chatrichalerm Yukol"/>
        <s v="Charles Stone III"/>
        <s v="Neill Blomkamp"/>
        <s v="Jake Kasdan"/>
        <s v="Bronwen Hughes"/>
        <s v="Brandon Trost"/>
        <s v="Bob Clark"/>
        <s v="Kevin Macdonald"/>
        <s v="John Maybury"/>
        <s v="Marcus Dunstan"/>
        <s v="Nicolas Winding Refn"/>
        <s v="Jonathan Hensleigh"/>
        <s v="George Armitage"/>
        <s v="Danny Pang"/>
        <s v="FabiÃ¡n Bielinsky"/>
        <s v="Alejandro AmenÃ¡bar"/>
        <s v="Jack Sholder"/>
        <s v="Spike Jonze"/>
        <s v="Steve James"/>
        <s v="Eric Blakeney"/>
        <s v="Harley Cokeliss"/>
        <s v="Gregory Nava"/>
        <s v="Ben Affleck"/>
        <s v="Richard Dutcher"/>
        <s v="Ron Maxwell"/>
        <s v="Patricia Cardoso"/>
        <s v="Ariel Vromen"/>
        <s v="Alison Maclean"/>
        <s v="Roger Nygard"/>
        <s v="Kathryn Bigelow"/>
        <s v="David Hackl"/>
        <s v="Craig Zobel"/>
        <s v="Shane Acker"/>
        <s v="Matthew Robbins"/>
        <s v="Deon Taylor"/>
        <s v="Eric Schaeffer"/>
        <s v="Joseph Dorman"/>
        <s v="Thomas Carter"/>
        <s v="Harald Zwart"/>
        <s v="Diane English"/>
        <s v="Richard Marquand"/>
        <s v="Kenneth Lonergan"/>
        <s v="Nick Tomnay"/>
        <s v="Ron Clements"/>
        <s v="Yimou Zhang"/>
        <s v="Jeff Wadlow"/>
        <s v="Ringo Lam"/>
        <s v="Joe Cornish"/>
        <s v="Paul Mazursky"/>
        <s v="Mikael HÃ¥fstrÃ¶m"/>
        <s v="Gary Rogers"/>
        <s v="Adrienne Shelly"/>
        <s v="Andy Fickman"/>
        <s v="Steve Bendelack"/>
        <s v="Sidney J. Furie"/>
        <s v="S.S. Rajamouli"/>
        <s v="Bo Welch"/>
        <s v="Antonio Banderas"/>
        <s v="Darren Lynn Bousman"/>
        <s v="Alexander Witt"/>
        <s v="Justin Zackham"/>
        <s v="Alan Shapiro"/>
        <s v="John Luessenhop"/>
        <s v="Jerry Zucker"/>
        <s v="Tom Gormican"/>
        <s v="Damon Santostefano"/>
        <s v="Steve Beck"/>
        <s v="Pete Jones"/>
        <s v="Joseph Ruben"/>
        <s v="Clay Kaytis"/>
        <s v="Grant Heslov"/>
        <s v="Anthony Hickox"/>
        <s v="Philip Kaufman"/>
        <s v="Danny Steinmann"/>
        <s v="Karan Johar"/>
        <s v="David Boyd"/>
        <s v="Warren Beatty"/>
        <s v="Mark A.Z. DippÃ©"/>
        <s v="Richard Curtis"/>
        <s v="Simon Curtis"/>
        <s v="Troy Miller"/>
        <s v="Steven Seagal"/>
        <s v="RZA"/>
        <s v="Russ Meyer"/>
        <s v="Davis Guggenheim"/>
        <s v="Dan Harris"/>
        <s v="Peter R. Hunt"/>
        <s v="John Landis"/>
        <s v="Terrence Malick"/>
        <s v="Brian Baugh"/>
        <s v="Hal Haberman"/>
        <s v="Drew Barrymore"/>
        <s v="Nicole Holofcener"/>
        <s v="Angela Robinson"/>
        <s v="C. Jay Cox"/>
        <s v="Oren Peli"/>
        <s v="Daniel Stamm"/>
        <s v="Joseph L. Mankiewicz"/>
        <s v="John Wells"/>
        <s v="Joseph Kosinski"/>
        <s v="AndrÃ©s Muschietti"/>
        <s v="Henry Koster"/>
        <s v="Ritesh Batra"/>
        <s v="Mark Tarlov"/>
        <s v="Mark Pellington"/>
        <s v="Floyd Mutrux"/>
        <s v="William Malone"/>
        <s v="Mike Judge"/>
        <s v="Amy Heckerling"/>
        <s v="Joey Lauren Adams"/>
        <s v="Kenneth Johnson"/>
        <s v="StÃ©phane Aubier"/>
        <s v="Patty Jenkins"/>
        <s v="Robert Stevenson"/>
        <s v="Adam Rapp"/>
        <s v="Charles Shyer"/>
        <s v="Chris Paine"/>
        <s v="Abel Ferrara"/>
        <s v="Franklin J. Schaffner"/>
        <s v="Rusty Cundieff"/>
        <s v="Jim Field Smith"/>
        <s v="Yarrow Cheney"/>
        <s v="Gina Prince-Bythewood"/>
        <s v="Mark Christopher"/>
        <s v="Peter Ramsey"/>
        <s v="Jean-Jacques Mantello"/>
        <s v="Thomas Bezucha"/>
        <s v="Scott Speer"/>
        <s v="Reginald Hudlin"/>
        <s v="Prachya Pinkaew"/>
        <s v="Graham Annable"/>
        <s v="FranÃ§ois Truffaut"/>
        <s v="Jon Lucas"/>
        <s v="Jared Hess"/>
        <s v="Lexi Alexander"/>
        <s v="Russell Holt"/>
        <s v="Bruce McCulloch"/>
        <s v="Mimi Leder"/>
        <s v="Nicholas Jarecki"/>
        <s v="Jeff Kanew"/>
        <s v="Floria Sigismondi"/>
        <s v="Vivek Agnihotri"/>
        <s v="Bruce Dellis"/>
        <s v="Olatunde Osunsanmi"/>
        <s v="Oliver Hirschbiegel"/>
        <s v="Panos Cosmatos"/>
        <s v="Hilary Brougher"/>
        <s v="Neill Dela Llana"/>
        <s v="Dean Israelite"/>
        <s v="Josef Rusnak"/>
        <s v="Joel Edgerton"/>
        <s v="George Nolfi"/>
        <s v="John Badham"/>
        <s v="Roman Polanski"/>
        <s v="Eric Bress"/>
        <s v="Gareth Evans"/>
        <s v="Robert Marcarelli"/>
        <s v="Gregor Jordan"/>
        <s v="Fred Dekker"/>
        <s v="George Hickenlooper"/>
        <s v="Brian Robbins"/>
        <s v="Denzel Washington"/>
        <s v="Marc Forby"/>
        <s v="Charles S. Dutton"/>
        <s v="Cathy Malkasian"/>
        <s v="Timothy BjÃ¶rklund"/>
        <s v="Richard Raymond"/>
        <s v="Gary Trousdale"/>
        <s v="Joon-ho Bong"/>
        <s v="Bob Spiers"/>
        <s v="Bill Condon"/>
        <s v="William Shatner"/>
        <s v="Tom Putnam"/>
        <s v="Jon Kasdan"/>
        <s v="Ice Cube"/>
        <s v="William H. Macy"/>
        <s v="Katt Shea"/>
        <s v="Andrey Konchalovskiy"/>
        <s v="Benh Zeitlin"/>
        <s v="Takao Okawara"/>
        <s v="Levan Gabriadze"/>
        <s v="Martin Koolhoven"/>
        <s v="Oren Moverman"/>
        <s v="Dexter Fletcher"/>
        <s v="Jim Gillespie"/>
        <s v="Wally Pfister"/>
        <s v="Khyentse Norbu"/>
        <s v="Charles Chaplin"/>
        <s v="Risa Bramon Garcia"/>
        <s v="Denis Villeneuve"/>
        <s v="Chris Gorak"/>
        <s v="Michael Patrick King"/>
        <s v="Bradley Parker"/>
        <s v="Gary McKendry"/>
        <s v="Christopher Cain"/>
        <s v="Kelly Makin"/>
        <s v="Frank Sebastiano"/>
        <s v="Jennifer Wynne Farmer"/>
        <s v="Victor Fleming"/>
        <s v="Kief Davidson"/>
        <s v="R. Balki"/>
        <s v="Mike Flanagan"/>
        <s v="Alister Grierson"/>
        <s v="Max FÃ¤rberbÃ¶ck"/>
        <s v="Allen Hughes"/>
        <s v="Deb Hagan"/>
        <s v="Mark Tonderai"/>
        <s v="John Boorman"/>
        <s v="Robert Lee King"/>
        <s v="Angelina Jolie Pitt"/>
        <s v="Brad Peyton"/>
        <s v="Rob Pritts"/>
        <s v="Geoff Murphy"/>
        <s v="Brian Percival"/>
        <s v="Rick Bieber"/>
        <s v="Tim Story"/>
        <s v="Stephen J. Anderson"/>
        <s v="George Sidney"/>
        <s v="Marco Schnabel"/>
        <s v="Pitof"/>
        <s v="Michael Gornick"/>
        <s v="Maggie Greenwald"/>
        <s v="Andrew Stanton"/>
        <s v="Callie Khouri"/>
        <s v="Sam Fell"/>
        <s v="Thaddeus O'Sullivan"/>
        <s v="Robby Henson"/>
        <s v="Barry Skolnick"/>
        <s v="James Toback"/>
        <s v="Udayan Prasad"/>
        <s v="Chris Roberts"/>
        <s v="Nima Nourizadeh"/>
        <s v="William A. Graham"/>
        <s v="Rupert Sanders"/>
        <s v="Ruairi Robinson"/>
        <s v="Stuart Gordon"/>
        <s v="J.S. Cardone"/>
        <s v="Clare Kilner"/>
        <s v="Scott Waugh"/>
        <s v="Glen Morgan"/>
        <s v="Carter Smith"/>
        <s v="Steven Zaillian"/>
        <s v="Michael Anderson"/>
        <s v="Bob Rafelson"/>
        <s v="Myles Berkowitz"/>
        <s v="Claudia Sainte-Luce"/>
        <s v="Ron Shelton"/>
        <s v="Jay Chandrasekhar"/>
        <s v="Gordon Chan"/>
        <s v="Tarsem Singh"/>
        <s v="Paul McGuigan"/>
        <s v="James Manera"/>
        <s v="Kurt Hale"/>
        <s v="Jeff Garlin"/>
        <s v="Robert Townsend"/>
        <s v="Dan Fogelman"/>
        <s v="Michael Lembeck"/>
        <s v="Antonia Bird"/>
        <s v="Phil Traill"/>
        <s v="Frank Miller"/>
        <s v="Jamal Hill"/>
        <s v="Leon Ichaso"/>
        <s v="Dominique Othenin-Girard"/>
        <s v="Cedric Nicolas-Troyan"/>
        <s v="Ed Gass-Donnelly"/>
        <s v="Bryan Barber"/>
        <s v="James Ponsoldt"/>
        <s v="Julio DePietro"/>
        <s v="Joe Charbanic"/>
        <s v="Blake Edwards"/>
        <s v="Craig Bolotin"/>
        <s v="William Cottrell"/>
        <s v="Joshua Marston"/>
        <s v="Wil Shriner"/>
        <s v="Lone Scherfig"/>
        <s v="Marc Levin"/>
        <s v="David Carson"/>
        <s v="Stephen Gaghan"/>
        <s v="Masayuki Ochiai"/>
        <s v="Bob Odenkirk"/>
        <s v="Troy Duffy"/>
        <s v="George P. Cosmatos"/>
        <s v="David Duchovny"/>
        <s v="Peter Howitt"/>
        <s v="Tony Jaa"/>
        <s v="Noah Baumbach"/>
        <s v="Alan Metter"/>
        <s v="Andrew Bergman"/>
        <s v="Katherine Dieckmann"/>
        <s v="Siddiq Barmak"/>
        <s v="Jon Hurwitz"/>
        <s v="Marc SchÃ¶lermann"/>
        <s v="Hitoshi Matsumoto"/>
        <s v="Jeff Lowell"/>
        <s v="Ethan Maniquis"/>
        <s v="Joshua Seftel"/>
        <s v="Drew Goddard"/>
        <s v="Cyrus Nowrasteh"/>
        <s v="Pierre Coffin"/>
        <s v="Stephen Milburn Anderson"/>
        <s v="Steve Hickner"/>
        <s v="Fatih Akin"/>
        <s v="Mike Cahill"/>
        <s v="Louis Morneau"/>
        <s v="Tony Gilroy"/>
        <s v="Henry Hobson"/>
        <s v="Harold Cronk"/>
        <s v="Michael Cuesta"/>
        <s v="Stuart Baird"/>
        <s v="Ryan Little"/>
        <s v="Tom Green"/>
        <s v="Mark Herman"/>
        <s v="Maggie Carey"/>
        <s v="Scott Frank"/>
        <s v="Kevin Hooks"/>
        <s v="Andy Garcia"/>
        <s v="Mamoru Hosoda"/>
        <s v="Michael Dinner"/>
        <s v="Bibo Bergeron"/>
        <s v="Elizabeth Allen Rosenbaum"/>
        <s v="Michael Dougherty"/>
        <s v="Richard E. Grant"/>
        <s v="Mary McGuckian"/>
        <s v="Andrew Morahan"/>
        <s v="Emile Ardolino"/>
        <s v="Gregory Jacobs"/>
        <s v="George Ratliff"/>
        <s v="Jeremy Leven"/>
        <s v="Rachel Perkins"/>
        <s v="Courtney Hunt"/>
        <s v="Rawson Marshall Thurber"/>
        <s v="Catherine Gund"/>
        <s v="Bonnie Hunt"/>
        <s v="Arthur Hiller"/>
        <s v="Kris Isacsson"/>
        <s v="Julian Jarrold"/>
        <s v="Robinson Devor"/>
        <s v="Tony Bill"/>
        <s v="Robert Duvall"/>
        <s v="Eugenio Derbez"/>
        <s v="Greg Coolidge"/>
        <s v="Je-kyu Kang"/>
        <s v="Ben Younger"/>
        <s v="Michael Caton-Jones"/>
        <s v="Steven Shainberg"/>
        <s v="Spencer Susser"/>
        <s v="Sarah Smith"/>
        <s v="Timur Bekmambetov"/>
        <s v="David Webb Peoples"/>
        <s v="Alan Parker"/>
        <s v="Michael Tollin"/>
        <s v="Jeffrey W. Byrd"/>
        <s v="Michael McGowan"/>
        <s v="Peter Kosminsky"/>
        <s v="Rick Friedberg"/>
        <s v="Chan-wook Park"/>
        <s v="Luis Llosa"/>
        <s v="Kay Pollak"/>
        <s v="Bruce McDonald"/>
        <s v="John Bonito"/>
        <s v="Anthony Russo"/>
        <s v="Noah Buschel"/>
        <s v="Larry Blamire"/>
        <s v="David McNally"/>
        <s v="Vadim Perelman"/>
        <s v="Kaige Chen"/>
        <s v="Matt Williams"/>
        <s v="Joby Harold"/>
        <s v="Tim Hunter"/>
        <s v="Greg Harrison"/>
        <s v="Majid Majidi"/>
        <s v="Mark Piznarski"/>
        <s v="Tim Heidecker"/>
        <s v="Russell Crowe"/>
        <s v="David Anspaugh"/>
        <s v="Chris Butler"/>
        <s v="John Cornell"/>
        <s v="Fred Schepisi"/>
        <s v="Eric Bross"/>
        <s v="Guy Maddin"/>
        <s v="Bill Paxton"/>
        <s v="Scott Hicks"/>
        <s v="Nicholas Meyer"/>
        <s v="EugÃ¨ne LouriÃ©"/>
        <s v="Stephen Norrington"/>
        <s v="Britt Allcroft"/>
        <s v="David G. Evans"/>
        <s v="William A. Fraker"/>
        <s v="Alejandro Monteverde"/>
        <s v="Harry Elfont"/>
        <s v="Peter MacDonald"/>
        <s v="John Curran"/>
        <s v="Lee Toland Krieger"/>
        <s v="Bill Duke"/>
        <s v="Barry W. Blaustein"/>
        <s v="Tommy Lee Jones"/>
        <s v="Sherman Alexie"/>
        <s v="Reed Cowan"/>
        <s v="David Nutter"/>
        <s v="Carmen Marron"/>
        <s v="Gary Chapman"/>
        <s v="Stefen Fangmeier"/>
        <s v="Emilio Estevez"/>
        <s v="Joshua Tickell"/>
        <s v="Stefan Schwartz"/>
        <s v="Quentin Dupieux"/>
        <s v="Fred Walton"/>
        <s v="Luc Jacquet"/>
        <s v="Richard Shepard"/>
        <s v="Fede Alvarez"/>
        <s v="Peter Billingsley"/>
        <s v="Nat Faxon"/>
        <s v="Stanley Tong"/>
        <s v="Michael Rymer"/>
        <s v="Adam Rifkin"/>
        <s v="Joseph Zito"/>
        <s v="Michael J. Bassett"/>
        <s v="Julian Schnabel"/>
        <s v="Colin Higgins"/>
        <s v="Wilson Yip"/>
        <s v="Efram Potelle"/>
        <s v="Salvador Carrasco"/>
        <s v="Chris Kentis"/>
        <s v="Shane Carruth"/>
        <s v="Akiva Goldsman"/>
        <s v="Luca Guadagnino"/>
        <s v="Steve Carver"/>
        <s v="David S. Ward"/>
        <s v="Ed Decter"/>
        <s v="Christophe Barratier"/>
        <s v="Fred Savage"/>
        <s v="Mike Figgis"/>
        <s v="Ti West"/>
        <s v="Albert Brooks"/>
        <s v="Joe Pytka"/>
        <s v="David Soren"/>
        <s v="Tony Maylam"/>
        <s v="George Cukor"/>
        <s v="Mark Mylod"/>
        <s v="Damien Dante Wayans"/>
        <s v="Jim Mickle"/>
        <s v="Carl Rinsch"/>
        <s v="Sue Corcoran"/>
        <s v="Stuart Gillard"/>
        <s v="Sylvain Chomet"/>
        <s v="Nathan Greno"/>
        <s v="Kevin Allen"/>
        <s v="Justin Kerrigan"/>
        <s v="Nelson McCormick"/>
        <s v="Ricki Stern"/>
        <s v="Kyle Balda"/>
        <s v="Josh Boone"/>
        <s v="Zal Batmanglij"/>
        <s v="Jerry Zaks"/>
        <s v="Scott Ziehl"/>
        <s v="Gary David Goldberg"/>
        <s v="Leigh Whannell"/>
        <s v="Peter Faiman"/>
        <s v="James Isaac"/>
        <s v="Morgan Neville"/>
        <s v="Dinesh D'Souza"/>
        <s v="James Gray"/>
        <s v="Jodie Foster"/>
        <s v="Niels Arden Oplev"/>
        <s v="Rebecca Miller"/>
        <s v="Hyung-rae Shim"/>
        <s v="Darren Grant"/>
        <s v="Steve Boyum"/>
        <s v="Agnieszka Wojtowicz-Vosloo"/>
        <s v="Lance Mungia"/>
        <s v="Philip G. Atwell"/>
        <s v="Jon Hess"/>
        <s v="Sylvester Stallone"/>
        <s v="Jamie Babbit"/>
        <s v="Leonard Nimoy"/>
        <s v="Justin Dillon"/>
        <s v="Anthony Powell"/>
        <s v="Kevin Brodie"/>
        <s v="Goran Dukic"/>
        <s v="Danny Leiner"/>
        <s v="Annabel Jankel"/>
        <s v="Chris Rock"/>
        <s v="Vincenzo Natali"/>
        <s v="Sean McNamara"/>
        <s v="David Gelb"/>
        <s v="Mennan Yapo"/>
        <s v="Ash Brannon"/>
        <s v="Igor Kovalyov"/>
        <s v="Mark Romanek"/>
        <s v="Luis Mandoki"/>
        <s v="Boris Rodriguez"/>
        <s v="Nick Hamm"/>
        <s v="Paul Bunnell"/>
        <s v="Ronan Chapalain"/>
        <s v="Paul Weiland"/>
        <s v="Molly Bernstein"/>
        <s v="John 'Bud' Cardos"/>
        <s v="Victor Nunez"/>
        <s v="Steve Box"/>
        <s v="Walter Salles"/>
        <s v="Jon Poll"/>
        <s v="Sylvio Tabet"/>
        <s v="Newt Arnold"/>
        <s v="Roger Christian"/>
        <s v="Orson Welles"/>
        <s v="Joan Chen"/>
        <s v="Michael Clancy"/>
        <s v="IstvÃ¡n SzabÃ³"/>
        <s v="Gabor Csupo"/>
        <s v="Jon Shear"/>
        <s v="Patrick Gilmore"/>
        <s v="Kurt Voss"/>
        <s v="Dean Wright"/>
        <s v="John Putch"/>
        <s v="Babak Najafi"/>
        <s v="Mark Andrews"/>
        <s v="Edward Norton"/>
        <s v="Mike Gabriel"/>
        <s v="Lorene Scafaria"/>
        <s v="Irvin Kershner"/>
        <s v="Sally Potter"/>
        <s v="Tuck Tucker"/>
        <s v="Don Hall"/>
        <s v="Wayne Kramer"/>
        <s v="Mars Callahan"/>
        <s v="Mike van Diem"/>
        <s v="Greg Berlanti"/>
        <s v="Terence Davies"/>
        <s v="Karyn Kusama"/>
        <s v="Alan Poul"/>
        <s v="Peter Stebbings"/>
        <s v="Michael O. Sajbel"/>
        <s v="Steven E. de Souza"/>
        <s v="Peter Care"/>
        <s v="Asger Leth"/>
        <s v="Peter Hastings"/>
        <s v="Fred Durst"/>
        <s v="Jay Levey"/>
        <s v="Adrian Lyne"/>
        <s v="Hsiao-Hsien Hou"/>
        <s v="Barry Cook"/>
        <s v="John Crowley"/>
        <s v="Michael Sucsy"/>
        <s v="Sterling Van Wagenen"/>
        <s v="Brian Klugman"/>
        <s v="Caroline Link"/>
        <s v="Rob Schmidt"/>
        <s v="Christian E. Christiansen"/>
        <s v="Hans Petter Moland"/>
        <s v="John Cameron Mitchell"/>
        <s v="Tim Blake Nelson"/>
        <s v="Robert Towne"/>
        <s v="Bernardo Bertolucci"/>
        <s v="Gilles Paquet-Brenner"/>
        <s v="Walt Becker"/>
        <s v="Paul Hunter"/>
        <s v="Nacho Vigalondo"/>
        <s v="Dwight H. Little"/>
        <s v="Meiert Avis"/>
        <s v="Jody Hill"/>
        <s v="Charles T. Kanganis"/>
        <s v="Eric Valette"/>
        <s v="Zak Penn"/>
        <s v="Miguel Sapochnik"/>
        <s v="Peter Webber"/>
        <s v="Siddharth Anand"/>
        <s v="Craig Brewer"/>
        <s v="Steve Gomer"/>
        <s v="Mikael Salomon"/>
        <s v="Todd Field"/>
        <s v="Li Zhang"/>
        <s v="Peter M. Cohen"/>
        <s v="Kirk Wong"/>
        <s v="Ricky Gervais"/>
        <s v="Fernando LeÃ³n de Aranoa"/>
        <s v="Chris Eyre"/>
        <s v="Jonathan Newman"/>
        <s v="Jason Moore"/>
        <s v="Rob Hedden"/>
        <s v="James Fargo"/>
        <s v="Jeb Stuart"/>
        <s v="JirÃ­ Menzel"/>
        <s v="GÃ©rard Krawczyk"/>
        <s v="Blair Hayes"/>
        <s v="Michael Spierig"/>
        <s v="Fritz Lang"/>
        <s v="J.A. Bayona"/>
        <s v="R.J. Cutler"/>
        <s v="Stephen Chow"/>
        <s v="Asghar Farhadi"/>
        <s v="Matt Maiellaro"/>
        <s v="Paul Gross"/>
        <s v="Jane Campion"/>
        <s v="Peter Lepeniotis"/>
        <s v="Don Siegel"/>
        <s v="Tom McGrath"/>
        <s v="Travis Cluff"/>
        <s v="Jennifer Flackett"/>
        <s v="Matt Piedmont"/>
        <s v="King Vidor"/>
        <s v="Sharon Maguire"/>
        <s v="Nicholas Fackler"/>
        <s v="Paul Tibbitt"/>
        <s v="Don Mancini"/>
        <s v="John Lafia"/>
        <s v="Susan Seidelman"/>
        <s v="Juan Carlos Fresnadillo"/>
        <s v="David Schwimmer"/>
        <s v="David Palmer"/>
        <s v="Antony Hoffman"/>
        <s v="Menno Meyjes"/>
        <s v="Anthony Bell"/>
        <s v="Christopher Leitch"/>
        <s v="Ira Sachs"/>
        <s v="Lenny Abrahamson"/>
        <s v="Drake Doremus"/>
        <s v="Jorge Blanco"/>
        <s v="Penelope Spheeris"/>
        <s v="Todd Strauss-Schulson"/>
        <s v="Cecil B. DeMille"/>
        <s v="Paul King"/>
        <s v="Ole Christian Madsen"/>
        <s v="Teddy Chan"/>
        <s v="Harry Beaumont"/>
        <s v="Tamara Jenkins"/>
        <s v="Ryan Murphy"/>
        <s v="Daniel Myrick"/>
        <s v="Wayne Beach"/>
        <s v="Dave McKean"/>
        <s v="Matt Dillon"/>
        <s v="Kinka Usher"/>
        <s v="Jennifer Yuh Nelson"/>
        <s v="Alessandro Carloni"/>
        <s v="Kelly Asbury"/>
        <s v="Elia Kazan"/>
        <s v="Jorge R. GutiÃ©rrez"/>
        <s v="Kelly Reichardt"/>
        <s v="Christophe Gans"/>
        <s v="Lee Unkrich"/>
        <s v="Jeannot Szwarc"/>
        <s v="Jim Fall"/>
        <s v="Charlie Kaufman"/>
        <s v="Thea Sharrock"/>
        <s v="Paul Schrader"/>
        <s v="James Mottern"/>
        <s v="Paul Michael Glaser"/>
        <s v="Ham Tran"/>
        <s v="Jim Abrahams"/>
        <s v="Jorma Taccone"/>
        <s v="Nigel Cole"/>
        <s v="Jeff Burr"/>
        <s v="Mike Marvin"/>
        <s v="Steve McQueen"/>
        <s v="Neema Barnette"/>
        <s v="Christian Ditter"/>
        <s v="Rowdy Herrington"/>
        <s v="James Dodson"/>
        <s v="Scott Marshall"/>
        <s v="Shane Meadows"/>
        <s v="Lloyd Kaufman"/>
        <s v="Wych Kaosayananda"/>
        <s v="Michael Herz"/>
        <s v="Hark Tsui"/>
        <s v="Michael Patrick Jann"/>
        <s v="Scott Alexander"/>
        <s v="Frank Whaley"/>
        <s v="Peter Medak"/>
        <s v="Michel Orion Scott"/>
        <s v="John Stainton"/>
        <s v="Kevin Tenney"/>
        <s v="Benjamin Dickinson"/>
        <s v="Aaron Schneider"/>
        <s v="Vincent Ward"/>
        <s v="Susan Stroman"/>
        <s v="Steve Barron"/>
        <s v="Joshua Oppenheimer"/>
        <s v="Saul Dibb"/>
        <s v="Gary Halvorson"/>
        <s v="Marcus Raboy"/>
        <s v="Rodrigo GarcÃ­a"/>
        <s v="Phil Alden Robinson"/>
        <s v="Ari Folman"/>
        <s v="Ava DuVernay"/>
        <s v="Liz Friedlander"/>
        <s v="Michael Pressman"/>
        <s v="George Stevens"/>
        <s v="Chuan Lu"/>
        <s v="Jacob Aaron Estes"/>
        <s v="Robert Eggers"/>
        <s v="Kent Alterman"/>
        <s v="Michael Roemer"/>
        <s v="Alex Garland"/>
        <s v="Karen Moncrieff"/>
        <s v="Willard Huyck"/>
      </sharedItems>
    </cacheField>
    <cacheField name="director_name2" numFmtId="0">
      <sharedItems>
        <s v="Cal Brunker"/>
        <s v="Ericson Core"/>
        <s v="Gavin O'Connor"/>
        <s v="Sergio Leone"/>
        <s v="Gregory Hoblit"/>
        <s v="Kevin Bray"/>
        <s v="Quentin Tarantino"/>
        <s v="Griffin Dunne"/>
        <s v="Kurt Wimmer"/>
        <s v="Spike Lee"/>
        <s v="Ridley Scott"/>
        <s v="John Sayles"/>
        <s v="Florian Henckel von Donnersmarck"/>
        <s v="JosÃ Luis Valenzuela"/>
        <s v="John Ottman"/>
        <s v="Andy Cadiff"/>
        <s v="Michael Polish"/>
        <s v="Steve Miner"/>
        <s v="Nick Cassavetes"/>
        <s v="Vincente Minnelli"/>
        <s v="J.B. Rogers"/>
        <s v="Edgar Wright"/>
        <s v="Tim Chambers"/>
        <s v="Hugh Wilson"/>
        <s v="Simon Wincer"/>
        <s v="Wes Craven"/>
        <s v="Johnnie To"/>
        <s v="James L. Brooks"/>
        <s v="F. Gary Gray"/>
        <s v="Neil LaBute"/>
        <s v="Roland Emmerich"/>
        <s v="Tim Burton"/>
        <s v="James Cameron"/>
        <s v="Robert Luketic"/>
        <s v="Terry Zwigoff"/>
        <s v="Len Wiseman"/>
        <s v="Robert B. Weide"/>
        <s v="Sam Firstenberg"/>
        <s v="Wayne Wang"/>
        <s v="James Mangold"/>
        <s v="Alex Smith"/>
        <s v="Jaume BalaguerÃ"/>
        <s v="Anne Fontaine"/>
        <s v="James Ivory"/>
        <s v="David Mirkin"/>
        <s v="Paul Feig"/>
        <s v="Rick de Oliveira"/>
        <s v="Eric Darnell"/>
        <s v="David Slade"/>
        <s v="Keenen Ivory Wayans"/>
        <s v="Lee Tamahori"/>
        <s v="John Gatins"/>
        <s v="Rob Cohen"/>
        <s v="Adam McKay"/>
        <s v="William Brent Bell"/>
        <s v="Joel Zwick"/>
        <s v="Michael Moore"/>
        <s v="Eric Styles"/>
        <s v="Chris Miller"/>
        <s v="M. Night Shyamalan"/>
        <s v="D.J. Caruso"/>
        <s v="Steven Soderbergh"/>
        <s v="Andrew Fleming"/>
        <s v="Keith Gordon"/>
        <s v="Steve Antin"/>
        <s v="George Clooney"/>
        <s v="David Lynch"/>
        <s v="Peter Chelsom"/>
        <s v="Andrew Adamson"/>
        <s v="Alex Kendrick"/>
        <s v="Antoine Fuqua"/>
        <s v="Marc Abraham"/>
        <s v="Alex Craig Mann"/>
        <s v="Jon Turteltaub"/>
        <s v="Robert Wise"/>
        <s v="Jessie Nelson"/>
        <s v="Brian De Palma"/>
        <s v="Colin Strause"/>
        <s v="Rick Rosenthal"/>
        <s v="John Hoffman"/>
        <s v="Robert Moresco"/>
        <s v="John Dahl"/>
        <s v="Roger Spottiswoode"/>
        <s v="Joe Dante"/>
        <s v="Kate Barker-Froyland"/>
        <s v="Brian Koppelman"/>
        <s v="Martin Campbell"/>
        <s v="David Cronenberg"/>
        <s v="Jay Roach"/>
        <s v="Michael Winterbottom"/>
        <s v="James Wong"/>
        <s v="Steve Buscemi"/>
        <s v="Werner Herzog"/>
        <s v="Tom Hanks"/>
        <s v="Richard Loncraine"/>
        <s v="Wes Anderson"/>
        <s v="John McTiernan"/>
        <s v="Tommy Wirkola"/>
        <s v="Kevin Spacey"/>
        <s v="Eddie O'Flaherty"/>
        <s v="Chuck Russell"/>
        <s v="Fred Wolf"/>
        <s v="Brian Helgeland"/>
        <s v="Jon Favreau"/>
        <s v="Todd Graff"/>
        <s v="Mark Waters"/>
        <s v="Tim Robbins"/>
        <s v="Phillip Noyce"/>
        <s v="Raymond De Felitta"/>
        <s v="Joel Schumacher"/>
        <s v="Donald Petrie"/>
        <s v="Robert Zemeckis"/>
        <s v="Doug Lefler"/>
        <s v="P.J. Hogan"/>
        <s v="Cameron Crowe"/>
        <s v="Morten Tyldum"/>
        <s v="Tom McCarthy"/>
        <s v="Scott Derrickson"/>
        <s v="Dick Richards"/>
        <s v="Barbet Schroeder"/>
        <s v="Hoyt Yeatman"/>
        <s v="Gus Van Sant"/>
        <s v="John Michael McDonagh"/>
        <s v="Phil Lord"/>
        <s v="Jason Bateman"/>
        <s v="Olivier Megaton"/>
        <s v="Jonathan Mostow"/>
        <s v="Steven Brill"/>
        <s v="Philip Saville"/>
        <s v="Edward Zwick"/>
        <s v="Richard Donner"/>
        <s v="Steven Spielberg"/>
        <s v="David O. Russell"/>
        <s v="Dean Parisot"/>
        <s v="John Schlesinger"/>
        <s v="Jean-Pierre Jeunet"/>
        <s v="John A. Davis"/>
        <s v="Ric Roman Waugh"/>
        <s v="Yash Chopra"/>
        <s v="Peter Weir"/>
        <s v="Stephen Herek"/>
        <s v="John Moore"/>
        <s v="Peter Segal"/>
        <s v="William Friedkin"/>
        <s v="Don Michael Paul"/>
        <s v="Tom Hooper"/>
        <s v="Christian Duguay"/>
        <s v="Jon M. Chu"/>
        <s v="Gil Kenan"/>
        <s v="Robert Rodriguez"/>
        <s v="FranÃois Girard"/>
        <s v="Nicholas Hytner"/>
        <s v="Costa-Gavras"/>
        <s v="Lawrence Guterman"/>
        <s v="Michael Chapman"/>
        <s v="Mike Nichols"/>
        <s v="Adam Shankman"/>
        <s v="Martin Scorsese"/>
        <s v="Kimberly Peirce"/>
        <s v="Mike Binder"/>
        <s v="JosÃ Padilha"/>
        <s v="Neil Burger"/>
        <s v="Mark Rydell"/>
        <s v="Adam Goldberg"/>
        <s v="George Gallo"/>
        <s v="Will Finn"/>
        <s v="Clint Eastwood"/>
        <s v="Rod Lurie"/>
        <s v="Andrea Di Stefano"/>
        <s v="Patrick Hughes"/>
        <s v="Frank LaLoggia"/>
        <s v="Jon Amiel"/>
        <s v="Gabriele Muccino"/>
        <s v="Nadine Labaki"/>
        <s v="John Glen"/>
        <s v="Robert Stromberg"/>
        <s v="Lana Wachowski"/>
        <s v="Robert Cary"/>
        <s v="Sean Anders"/>
        <s v="Michael Bay"/>
        <s v="John Woo"/>
        <s v="Michael Haneke"/>
        <s v="David Ayer"/>
        <s v="Terry Gilliam"/>
        <s v="Michael Hoffman"/>
        <s v="Randal Kleiser"/>
        <s v="Kevin Smith"/>
        <s v="Nick Gomez"/>
        <s v="James McTeigue"/>
        <s v="Michel Hazanavicius"/>
        <s v="Wallace Wolodarsky"/>
        <s v="Sylvain White"/>
        <s v="Wolfgang Petersen"/>
        <s v="Rob Marshall"/>
        <s v="Sofia Coppola"/>
        <s v="Betty Thomas"/>
        <s v="Jaume Collet-Serra"/>
        <s v="Forest Whitaker"/>
        <s v="Don Bluth"/>
        <s v="Adam Marcus"/>
        <s v="Oliver Stone"/>
        <s v="Glenn Ficarra"/>
        <s v="Shawn Levy"/>
        <s v="Jon Gunn"/>
        <s v="Joel Gallen"/>
        <s v="Simon West"/>
        <s v="Malcolm D. Lee"/>
        <s v="Sol Tryon"/>
        <s v="Peter Jackson"/>
        <s v="Morgan Spurlock"/>
        <s v="George Jackson"/>
        <s v="John Erick Dowdle"/>
        <s v="David Yates"/>
        <s v="Marco Kreuzpaintner"/>
        <s v="Tyler Perry"/>
        <s v="Anna Boden"/>
        <s v="Jez Butterworth"/>
        <s v="Alex Zamm"/>
        <s v="Jeff Tremaine"/>
        <s v="Ramaa Mosley"/>
        <s v="David Raynr"/>
        <s v="Irwin Winkler"/>
        <s v="Peter Sollett"/>
        <s v="Alex Gibney"/>
        <s v="Jim Sheridan"/>
        <s v="Brian Levant"/>
        <s v="Renny Harlin"/>
        <s v="Lance Hool"/>
        <s v="Jan de Bont"/>
        <s v="Christopher McQuarrie"/>
        <s v="Brad Silberling"/>
        <s v="Ron Howard"/>
        <s v="Chris Stokes"/>
        <s v="Martin Weisz"/>
        <s v="Todd Haynes"/>
        <s v="David Twohy"/>
        <s v="Michael Martin"/>
        <s v="Scott Stewart"/>
        <s v="Ken Scott"/>
        <s v="Tony Bancroft"/>
        <s v="Peter Hewitt"/>
        <s v="Christopher Erskin"/>
        <s v="Etan Cohen"/>
        <s v="Ang Lee"/>
        <s v="Norman Ferguson"/>
        <s v="Jonathan Dayton"/>
        <s v="Tim Johnson"/>
        <s v="Peter Farrelly"/>
        <s v="Breck Eisner"/>
        <s v="Josh Schwartz"/>
        <s v="Peter Atencio"/>
        <s v="James Foley"/>
        <s v="Norman Jewison"/>
        <s v="Rand Ravich"/>
        <s v="Tom Holland"/>
        <s v="Charles Herman-Wurmfeld"/>
        <s v="Paul Weitz"/>
        <s v="Chris Weitz"/>
        <s v="Rich Cowan"/>
        <s v="Craig R. Baxley"/>
        <s v="Dan Rush"/>
        <s v="Russell Mulcahy"/>
        <s v="Daniel Algrant"/>
        <s v="Cody Cameron"/>
        <s v="Guy Hamilton"/>
        <s v="George Lucas"/>
        <s v="John Whitesell"/>
        <s v="Susanne Bier"/>
        <s v="Julie Anne Robinson"/>
        <s v="Mabrouk El Mechri"/>
        <s v="Bille Woodruff"/>
        <s v="Bryan Singer"/>
        <s v="Tobe Hooper"/>
        <s v="Tomas Alfredson"/>
        <s v="Daisy von Scherler Mayer"/>
        <s v="Kirk Jones"/>
        <s v="Stanley Kramer"/>
        <s v="Richard Kwietniowski"/>
        <s v="Joe Nussbaum"/>
        <s v="Sam Raimi"/>
        <s v="Christopher Nolan"/>
        <s v="Jonathan Caouette"/>
        <s v="David F. Sandberg"/>
        <s v="Christian Volckman"/>
        <s v="J.J. Abrams"/>
        <s v="Jason Alexander"/>
        <s v="Wes Ball"/>
        <s v="Tom Vaughan"/>
        <s v="Jonathan Liebesman"/>
        <s v="Kevin Reynolds"/>
        <s v="Trey Parker"/>
        <s v="Lewis Gilbert"/>
        <s v="Robert Altman"/>
        <s v="Marc Lawrence"/>
        <s v="David Fincher"/>
        <s v="Ron Underwood"/>
        <s v="Josh Gordon"/>
        <s v="Laurent Tirard"/>
        <s v="Tom Shadyac"/>
        <s v="Bobby Farrelly"/>
        <s v="Stefan Ruzowitzky"/>
        <s v="E. Elias Merhige"/>
        <s v="Danny Cannon"/>
        <s v="Guillermo del Toro"/>
        <s v="Roger Donaldson"/>
        <s v="Mark Steven Johnson"/>
        <s v="John Madden"/>
        <s v="Debra Granik"/>
        <s v="Henry Selick"/>
        <s v="Rob Bowman"/>
        <s v="Nanette Burstein"/>
        <s v="Frederik Du Chau"/>
        <s v="Marc Forster"/>
        <s v="Bruce Campbell"/>
        <s v="Paul Haggis"/>
        <s v="Gore Verbinski"/>
        <s v="Katsuhiro Ãtomo"/>
        <s v="Josh Trank"/>
        <s v="Mick Jackson"/>
        <s v="Richard Glatzer"/>
        <s v="Andrzej Bartkowiak"/>
        <s v="McG"/>
        <s v="David S. Goyer"/>
        <s v="Tom Tykwer"/>
        <s v="Ethan Coen"/>
        <s v="Gillian Armstrong"/>
        <s v="Zach Braff"/>
        <s v="Frank Oz"/>
        <s v="Gary Fleder"/>
        <s v="Vincent Gallo"/>
        <s v="S.R. Bindler"/>
        <s v="Peter Cattaneo"/>
        <s v="Richard Williams"/>
        <s v="Allison Anders"/>
        <s v="Matt Bettinelli-Olpin"/>
        <s v="Joss Whedon"/>
        <s v="Jun Falkenstein"/>
        <s v="John Carl Buechler"/>
        <s v="Melvin Van Peebles"/>
        <s v="Brian Trenchard-Smith"/>
        <s v="John Carpenter"/>
        <s v="Francis Ford Coppola"/>
        <s v="Sam Miller"/>
        <s v="Scott Kalvert"/>
        <s v="George A. Romero"/>
        <s v="Damien O'Donnell"/>
        <s v="Frank Marshall"/>
        <s v="John Hamburg"/>
        <s v="Paul W.S. Anderson"/>
        <s v="Craig Gillespie"/>
        <s v="Alejandro G. IÃÃrritu"/>
        <s v="Kerry Conran"/>
        <s v="Gavin Hood"/>
        <s v="Rob Minkoff"/>
        <s v="Stiles White"/>
        <s v="Roger Michell"/>
        <s v="Paul Crowder"/>
        <s v="John G. Avildsen"/>
        <s v="Andrew Erwin"/>
        <s v="Mark Neveldine"/>
        <s v="John Francis Daley"/>
        <s v="Woody Allen"/>
        <s v="Richard Benjamin"/>
        <s v="Douglas McGrath"/>
        <s v="Courtney Solomon"/>
        <s v="Jee-woon Kim"/>
        <s v="Barry Levinson"/>
        <s v="Lisa Cholodenko"/>
        <s v="Chia-Liang Liu"/>
        <s v="Mike McCoy"/>
        <s v="Andrew Currie"/>
        <s v="Harold Ramis"/>
        <s v="Mike Newell"/>
        <s v="Justin Chadwick"/>
        <s v="Steve Martino"/>
        <s v="Robert Redford"/>
        <s v="Atom Egoyan"/>
        <s v="Todd Solondz"/>
        <s v="Corey Yuen"/>
        <s v="Janusz Kaminski"/>
        <s v="Mike Leigh"/>
        <s v="David Wain"/>
        <s v="David Jacobson"/>
        <s v="Eric Brevig"/>
        <s v="Ellory Elkayem"/>
        <s v="Camille Delamarre"/>
        <s v="Brett Ratner"/>
        <s v="Michael Lehmann"/>
        <s v="Jamie Blanks"/>
        <s v="Carlos Carrera"/>
        <s v="Luc Besson"/>
        <s v="Tom Dey"/>
        <s v="Gonzalo LÃpez-Gallego"/>
        <s v="Perry Andelin Blake"/>
        <s v="Craig Mazin"/>
        <s v="Jonathan Kesselman"/>
        <s v="Mark Sandrich"/>
        <s v="Stephen Daldry"/>
        <s v="David Koepp"/>
        <s v="Phyllida Lloyd"/>
        <s v="David R. Ellis"/>
        <s v="Bob Saget"/>
        <s v="Michel Gondry"/>
        <s v="Jesse Dylan"/>
        <s v="Danny DeVito"/>
        <s v="Hugh Hudson"/>
        <s v="Jonathan Levine"/>
        <s v="David Zucker"/>
        <s v="Patrice Leconte"/>
        <s v="Rupert Wyatt"/>
        <s v="Anne Fletcher"/>
        <s v="Stephen Chbosky"/>
        <s v="Jon Stewart"/>
        <s v="Darren Aronofsky"/>
        <s v="John Waters"/>
        <s v="Martin McDonagh"/>
        <s v="Florent-Emilio Siri"/>
        <s v="Joseph Sargent"/>
        <s v="Andrew Wilson"/>
        <s v="Akiva Schaffer"/>
        <s v="John Fortenberry"/>
        <s v="George Roy Hill"/>
        <s v="Kevin Costner"/>
        <s v="John Pasquin"/>
        <s v="Marc Webb"/>
        <s v="Oliver Parker"/>
        <s v="James Bobin"/>
        <s v="Howard Zieff"/>
        <s v="Finn Taylor"/>
        <s v="Ken Kwapis"/>
        <s v="Dennis Dugan"/>
        <s v="James Gunn"/>
        <s v="Mic Rodgers"/>
        <s v="Franco Zeffirelli"/>
        <s v="Mathieu Kassovitz"/>
        <s v="Angelo Pizzo"/>
        <s v="Patrick Tatopoulos"/>
        <s v="Nora Ephron"/>
        <s v="Neil Marshall"/>
        <s v="Jonathan Kaplan"/>
        <s v="David Bowers"/>
        <s v="Richard Kelly"/>
        <s v="Whit Stillman"/>
        <s v="Raja Gosnell"/>
        <s v="Ben Stiller"/>
        <s v="Phil Joanou"/>
        <s v="Rupert Wainwright"/>
        <s v="Stephan Elliott"/>
        <s v="Matthew O'Callaghan"/>
        <s v="Juan JosÃ Campanella"/>
        <s v="Agnieszka Holland"/>
        <s v="Harold Becker"/>
        <s v="Julie Taymor"/>
        <s v="Herbert Ross"/>
        <s v="Dave Borthwick"/>
        <s v="Andy Tennant"/>
        <s v="Ruben Fleischer"/>
        <s v="Thor Freudenthal"/>
        <s v="Derrick Borte"/>
        <s v="James Cox"/>
        <s v="John Lasseter"/>
        <s v="Lee Daniels"/>
        <s v="Dave Green"/>
        <s v="Ron Fricke"/>
        <s v="Larry Charles"/>
        <s v="Lucky McKee"/>
        <s v="George Tillman Jr."/>
        <s v="Charles Ferguson"/>
        <s v="John Singleton"/>
        <s v="Michael Radford"/>
        <s v="Wolfgang Becker"/>
        <s v="Jim Sonzero"/>
        <s v="Chris Koch"/>
        <s v="Jonathan Frakes"/>
        <s v="Jean-FranÃois Richet"/>
        <s v="Dito Montiel"/>
        <s v="Carlos Saldanha"/>
        <s v="Roger Avary"/>
        <s v="Robert Schwentke"/>
        <s v="Tom Brady"/>
        <s v="Stephen Sommers"/>
        <s v="Audrey Wells"/>
        <s v="Sydney Pollack"/>
        <s v="John Carney"/>
        <s v="Ulu Grosbard"/>
        <s v="Stephen Carpenter"/>
        <s v="Paul Greengrass"/>
        <s v="Stanley Kubrick"/>
        <s v="Joe Camp"/>
        <s v="Stephen Frears"/>
        <s v="Beeban Kidron"/>
        <s v="Ray Lawrence"/>
        <s v="Pete Docter"/>
        <s v="Brad Anderson"/>
        <s v="Joe Berlinger"/>
        <s v="Gareth Edwards"/>
        <s v="Richard Lester"/>
        <s v="Dennie Gordon"/>
        <s v="Duncan Jones"/>
        <s v="Bruce Beresford"/>
        <s v="Tim McCanlies"/>
        <s v="Allen Coulter"/>
        <s v="David Frankel"/>
        <s v="Joe Wright"/>
        <s v="Tony Scott"/>
        <s v="Dan Gilroy"/>
        <s v="Gregory Widen"/>
        <s v="Billy Ray"/>
        <s v="Jafar Panahi"/>
        <s v="Ivan Reitman"/>
        <s v="NimrÃd Antal"/>
        <s v="Ari Sandel"/>
        <s v="Harry F. Millarde"/>
        <s v="Des McAnuff"/>
        <s v="Brandon Camp"/>
        <s v="Hal Needham"/>
        <s v="David Dobkin"/>
        <s v="J Blakeson"/>
        <s v="Tomm Moore"/>
        <s v="Terry George"/>
        <s v="Trent Cooper"/>
        <s v="Henry Alex Rubin"/>
        <s v="Don Scardino"/>
        <s v="Richard Linklater"/>
        <s v="Walter Hill"/>
        <s v="Barbra Streisand"/>
        <s v="Jonathan Demme"/>
        <s v="Alex Proyas"/>
        <s v="Shekhar Kapur"/>
        <s v="Stephen Hillenburg"/>
        <s v="Brian Dannelly"/>
        <s v="Patricia Riggen"/>
        <s v="Jonathan Teplitzky"/>
        <s v="Richard Fleischer"/>
        <s v="Les Mayfield"/>
        <s v="Tina Gordon Chism"/>
        <s v="Mort Nathan"/>
        <s v="David Nixon"/>
        <s v="Michael Mann"/>
        <s v="Lucio Fulci"/>
        <s v="Isabel Coixet"/>
        <s v="Taylor Hackford"/>
        <s v="Bennett Miller"/>
        <s v="Nick Love"/>
        <s v="Barry Sonnenfeld"/>
        <s v="Rich Moore"/>
        <s v="Patrick Read Johnson"/>
        <s v="Elizabeth Banks"/>
        <s v="Matthew Vaughn"/>
        <s v="Alexander Payne"/>
        <s v="Brett Leonard"/>
        <s v="Patrick Lussier"/>
        <s v="Marc F. Adler"/>
        <s v="Genndy Tartakovsky"/>
        <s v="Rick Famuyiwa"/>
        <s v="Carlos Saura"/>
        <s v="Tony Goldwyn"/>
        <s v="Ãmile Gaudreault"/>
        <s v="Peter Kassovitz"/>
        <s v="Baltasar KormÃkur"/>
        <s v="Morgan J. Freeman"/>
        <s v="Dan Scanlon"/>
        <s v="Anton Corbijn"/>
        <s v="Michael Wadleigh"/>
        <s v="Paul Verhoeven"/>
        <s v="Hart Bochner"/>
        <s v="Michael Ritchie"/>
        <s v="Alfred Hitchcock"/>
        <s v="Lawrence Kasdan"/>
        <s v="Dan Cutforth"/>
        <s v="Arie Posin"/>
        <s v="Hironobu Sakaguchi"/>
        <s v="Pete Travis"/>
        <s v="Louis Leterrier"/>
        <s v="Greg Mottola"/>
        <s v="CÃdric Klapisch"/>
        <s v="Rodrigo CortÃs"/>
        <s v="Gil Junger"/>
        <s v="Kat Coiro"/>
        <s v="Joe Swanberg"/>
        <s v="Christopher Landon"/>
        <s v="Matthew Diamond"/>
        <s v="Will Gluck"/>
        <s v="Alan Taylor"/>
        <s v="Anna Muylaert"/>
        <s v="Salim Akil"/>
        <s v="Billy Bob Thornton"/>
        <s v="Hunter Richards"/>
        <s v="Gary Ross"/>
        <s v="Judd Apatow"/>
        <s v="Rachel Talalay"/>
        <s v="Bart Freundlich"/>
        <s v="William Dear"/>
        <s v="Joseph Kahn"/>
        <s v="Nick Hurran"/>
        <s v="Benson Lee"/>
        <s v="Peter Landesman"/>
        <s v="Iain Softley"/>
        <s v="Bruce Hunt"/>
        <s v="David Mamet"/>
        <s v="Kevin Rodney Sullivan"/>
        <s v="Chris Columbus"/>
        <s v="Mary Lambert"/>
        <s v="John Eng"/>
        <s v="Jean-Marc VallÃe"/>
        <s v="Dean DeBlois"/>
        <s v="Luis Valdez"/>
        <s v="John Schultz"/>
        <s v="Patrick Stettner"/>
        <s v="Byron Howard"/>
        <s v="Randall Miller"/>
        <s v="Mickey Liddell"/>
        <s v="Todd Phillips"/>
        <s v="Pat O'Connor"/>
        <s v="Kirk De Micco"/>
        <s v="John R. Leonetti"/>
        <s v="Steve Trenbirth"/>
        <s v="John Milius"/>
        <s v="Victor Salva"/>
        <s v="Andrew Dominik"/>
        <s v="Jean-Marie PoirÃ"/>
        <s v="Rob Zombie"/>
        <s v="Michael Cimino"/>
        <s v="Roger Kumble"/>
        <s v="Steve Carr"/>
        <s v="Francis Lawrence"/>
        <s v="Jerome Robbins"/>
        <s v="Steven Quale"/>
        <s v="Curtis Hanson"/>
        <s v="Guy Ritchie"/>
        <s v="Jason Reitman"/>
        <s v="James DeMonaco"/>
        <s v="Kenneth Branagh"/>
        <s v="Gary Sherman"/>
        <s v="Michael Landon Jr."/>
        <s v="Preston A. Whitmore II"/>
        <s v="John Frankenheimer"/>
        <s v="Chuck Sheetz"/>
        <s v="Dagur KÃri"/>
        <s v="Terence Young"/>
        <s v="Fina Torres"/>
        <s v="Anthony Hemingway"/>
        <s v="Marius A. Markevicius"/>
        <s v="Theodore Melfi"/>
        <s v="Peter Lord"/>
        <s v="Rob Letterman"/>
        <s v="Tate Taylor"/>
        <s v="Khalid Mohamed"/>
        <s v="Henry Joost"/>
        <s v="David Kellogg"/>
        <s v="Tamra Davis"/>
        <s v="Jimmy Hayward"/>
        <s v="Miranda July"/>
        <s v="Michael Schultz"/>
        <s v="Kevin Jordan"/>
        <s v="Vic Armstrong"/>
        <s v="Michael McCullers"/>
        <s v="Jim Goddard"/>
        <s v="Michael Mayer"/>
        <s v="Frank Nissen"/>
        <s v="Andrew Niccol"/>
        <s v="Mike Nawrocki"/>
        <s v="Neil Jordan"/>
        <s v="Ol Parker"/>
        <s v="Kevin Lima"/>
        <s v="Colin Trevorrow"/>
        <s v="Carl Franklin"/>
        <s v="William Wyler"/>
        <s v="Mike Bigelow"/>
        <s v="Joe Roth"/>
        <s v="Jacques Perrin"/>
        <s v="John Herzfeld"/>
        <s v="Seth MacFarlane"/>
        <s v="Sean Penn"/>
        <s v="Brad Furman"/>
        <s v="Joshua Michael Stern"/>
        <s v="Lasse HallstrÃm"/>
        <s v="Dennis Iliadis"/>
        <s v="Stewart Hendler"/>
        <s v="Shari Springer Berman"/>
        <s v="Takashi Shimizu"/>
        <s v="Jon Avnet"/>
        <s v="Takeshi Kitano"/>
        <s v="Maurice Joyce"/>
        <s v="FranÃois Ozon"/>
        <s v="Peter Hyams"/>
        <s v="Mark Rosman"/>
        <s v="Sergey Bodrov"/>
        <s v="Anand Tucker"/>
        <s v="Steve Pink"/>
        <s v="Vondie Curtis-Hall"/>
        <s v="Sam Weisman"/>
        <s v="Mike Mills"/>
        <s v="Larry Clark"/>
        <s v="Jake Schreier"/>
        <s v="Chris Noonan"/>
        <s v="Gary Hardwick"/>
        <s v="Susanna White"/>
        <s v="Alan Rudolph"/>
        <s v="Lajos Koltai"/>
        <s v="Dario Argento"/>
        <s v="Frank Darabont"/>
        <s v="Jean-Jacques Annaud"/>
        <s v="Jonas Elmer"/>
        <s v="Mike Disa"/>
        <s v="Uwe Boll"/>
        <s v="Niki Caro"/>
        <s v="Fernando Meirelles"/>
        <s v="Michael Tiddes"/>
        <s v="Benedikt Erlingsson"/>
        <s v="Ben Falcone"/>
        <s v="Mark Dindal"/>
        <s v="Jake Paltrow"/>
        <s v="Damien Chazelle"/>
        <s v="Eli Roth"/>
        <s v="Martin Brest"/>
        <s v="Miguel Arteta"/>
        <s v="Francesca Gregorini"/>
        <s v="Carroll Ballard"/>
        <s v="Andrew Douglas"/>
        <s v="Kevin Donovan"/>
        <s v="Damian Nieman"/>
        <s v="Sam Mendes"/>
        <s v="Anurag Basu"/>
        <s v="Billy Wilder"/>
        <s v="Robert Butler"/>
        <s v="John Stockwell"/>
        <s v="Peter Hedges"/>
        <s v="Brendan Malloy"/>
        <s v="Seth Gordon"/>
        <s v="Nnegest LikkÃ"/>
        <s v="Ruggero Deodato"/>
        <s v="Danny Boyle"/>
        <s v="Ronny Yu"/>
        <s v="Howard Deutch"/>
        <s v="Jeff Nichols"/>
        <s v="Baz Luhrmann"/>
        <s v="Alan J. Pakula"/>
        <s v="Doug Liman"/>
        <s v="DJ Pooh"/>
        <s v="Nicholas Stoller"/>
        <s v="James David Pasternak"/>
        <s v="Alan Cohn"/>
        <s v="Laurie Collyer"/>
        <s v="Jason Zada"/>
        <s v="Steven R. Monroe"/>
        <s v="Burr Steers"/>
        <s v="Tod Williams"/>
        <s v="Richard LaGravenese"/>
        <s v="Brad Bird"/>
        <s v="Demian Lichtenstein"/>
        <s v="Chris Wedge"/>
        <s v="Anthony Minghella"/>
        <s v="Lucrecia Martel"/>
        <s v="Chris Buck"/>
        <s v="Tom McLoughlin"/>
        <s v="Christopher Spencer"/>
        <s v="Kar-Wai Wong"/>
        <s v="Claude Miller"/>
        <s v="Uli Edel"/>
        <s v="Mark Illsley"/>
        <s v="David Lean"/>
        <s v="Jeff Franklin"/>
        <s v="Rob Reiner"/>
        <s v="Jeremy Saulnier"/>
        <s v="Garry Marshall"/>
        <s v="Clark Gregg"/>
        <s v="Robert Harmon"/>
        <s v="Bille August"/>
        <s v="Tim Hill"/>
        <s v="Daniel Barnz"/>
        <s v="Michael D. Sellers"/>
        <s v="Bob Dolman"/>
        <s v="Rich Christiano"/>
        <s v="Catherine Hardwicke"/>
        <s v="Steve Oedekerk"/>
        <s v="Alfonso CuarÃn"/>
        <s v="Sam Peckinpah"/>
        <s v="Edward Burns"/>
        <s v="Mel Gibson"/>
        <s v="Vincent Paronnaud"/>
        <s v="Steve Rash"/>
        <s v="Douglas Aarniokoski"/>
        <s v="Marcos Siega"/>
        <s v="Emma-Kate Croghan"/>
        <s v="John Polson"/>
        <s v="Dominic Sena"/>
        <s v="Gary Shore"/>
        <s v="Lars von Trier"/>
        <s v="Robin Budd"/>
        <s v="Daniel Espinosa"/>
        <s v="Sara Sugarman"/>
        <s v="Michael Meredith"/>
        <s v="Darren Stein"/>
        <s v="Aki KaurismÃki"/>
        <s v="Frank Coraci"/>
        <s v="Joe Johnston"/>
        <s v="Alex Rivera"/>
        <s v="David Moreau"/>
        <s v="Mark Osborne"/>
        <s v="Ted Demme"/>
        <s v="Jay Russell"/>
        <s v="Joe Carnahan"/>
        <s v="Stephen Hopkins"/>
        <s v="Mel Smith"/>
        <s v="Andrew Davis"/>
        <s v="Mel Brooks"/>
        <s v="Kevin Greutert"/>
        <s v="Hugh Johnson"/>
        <s v="Bruce Paltrow"/>
        <s v="Gurinder Chadha"/>
        <s v="Vicente Amorim"/>
        <s v="James Algar"/>
        <s v="Lynne Ramsay"/>
        <s v="Thomas Vinterberg"/>
        <s v="Peter Berg"/>
        <s v="Michael Apted"/>
        <s v="Jason Eisener"/>
        <s v="Peyton Reed"/>
        <s v="Jay Duplass"/>
        <s v="Jill Sprecher"/>
        <s v="Daniel Sackheim"/>
        <s v="Robert Iscove"/>
        <s v="Martin Lawrence"/>
        <s v="Scott Cooper"/>
        <s v="Ralph Ziman"/>
        <s v="Daniel Barber"/>
        <s v="John Lee Hancock"/>
        <s v="Jason Friedberg"/>
        <s v="Geoffrey Sax"/>
        <s v="Olivier Assayas"/>
        <s v="Kirsten Sheridan"/>
        <s v="Heidi Ewing"/>
        <s v="Jonathan Lynn"/>
        <s v="Christine Jeffs"/>
        <s v="Ole Bornedal"/>
        <s v="Jerry Jameson"/>
        <s v="Leslie Small"/>
        <s v="Pierre Morel"/>
        <s v="Daniel Lee"/>
        <s v="David Silverman"/>
        <s v="Akira Kurosawa"/>
        <s v="Charles Martin Smith"/>
        <s v="Michael Corrente"/>
        <s v="Vicky Jenson"/>
        <s v="Paul Bolger"/>
        <s v="Tim Miller"/>
        <s v="Nancy Meyers"/>
        <s v="Johnny Remo"/>
        <s v="Alexandre Aja"/>
        <s v="Noel Marshall"/>
        <s v="Claude Chabrol"/>
        <s v="Gary Winick"/>
        <s v="Giuseppe Tornatore"/>
        <s v="Kevin Tancharoen"/>
        <s v="David Sington"/>
        <s v="Kenny Ortega"/>
        <s v="Milos Forman"/>
        <s v="Ryan Fleck"/>
        <s v="George Miller"/>
        <s v="Lloyd Bacon"/>
        <s v="Boaz Yakin"/>
        <s v="Chris Nahon"/>
        <s v="Christian Carion"/>
        <s v="Todd Lincoln"/>
        <s v="David Gordon Green"/>
        <s v="James Bridges"/>
        <s v="Troy Nixey"/>
        <s v="Garth Jennings"/>
        <s v="Chris Carter"/>
        <s v="Gregory Poirier"/>
        <s v="Zack Snyder"/>
        <s v="Eric Leighton"/>
        <s v="Shana Feste"/>
        <s v="Simon Wells"/>
        <s v="Steve Taylor"/>
        <s v="Stuart Beattie"/>
        <s v="Stig Bergqvist"/>
        <s v="Diane Keaton"/>
        <s v="Randall Wallace"/>
        <s v="Paul Thomas Anderson"/>
        <s v="Gene Quintano"/>
        <s v="Denys Arcand"/>
        <s v="Mira Nair"/>
        <s v="Richard Attenborough"/>
        <s v="Peter Ho-Sun Chan"/>
        <s v="Matt Reeves"/>
        <s v="CiarÃn Foy"/>
        <s v="Karey Kirkpatrick"/>
        <s v="J.C. Chandor"/>
        <s v="Adam Carolla"/>
        <s v="Tommy O'Haver"/>
        <s v="Brian Henson"/>
        <s v="Mike Mitchell"/>
        <s v="Rian Johnson"/>
        <s v="Christopher Guest"/>
        <s v="Sngmoo Lee"/>
        <s v="Aaron Seltzer"/>
        <s v="Richard Eyre"/>
        <s v="Shane Black"/>
        <s v="Ryan Coogler"/>
        <s v="Alejandro Agresti"/>
        <s v="Albert Hughes"/>
        <s v="Dan Trachtenberg"/>
        <s v="Jean-Paul Rappeneau"/>
        <s v="Tony Kaye"/>
        <s v="Kevin Munroe"/>
        <s v="Kasi Lemmons"/>
        <s v="Christopher Scott Cherot"/>
        <s v="Dewey Nicks"/>
        <s v="John Gray"/>
        <s v="David E. Talbert"/>
        <s v="Sheldon Lettich"/>
        <s v="Hayao Miyazaki"/>
        <s v="Matty Rich"/>
        <s v="Lena Dunham"/>
        <s v="Henry Bean"/>
        <s v="Ed Harris"/>
        <s v="Luke Greenfield"/>
        <s v="Dustin Hoffman"/>
        <s v="Mitch Davis"/>
        <s v="James Marsh"/>
        <s v="Kiyoshi Kurosawa"/>
        <s v="John Patrick Shanley"/>
        <s v="Justin Lin"/>
        <s v="Penny Marshall"/>
        <s v="Ãlex de la Iglesia"/>
        <s v="Paul Abascal"/>
        <s v="RyÃhei Kitamura"/>
        <s v="Joel Coen"/>
        <s v="Dan Mazer"/>
        <s v="MÃns MÃrlind"/>
        <s v="Klaus Menzel"/>
        <s v="Evan Goldberg"/>
        <s v="Stephen Kay"/>
        <s v="Roger Allers"/>
        <s v="Mark L. Lester"/>
        <s v="Sidney Lumet"/>
        <s v="Tommy Lee Wallace"/>
        <s v="James Mather"/>
        <s v="Charles Robert Carner"/>
        <s v="James Wan"/>
        <s v="Patricia Rozema"/>
        <s v="Piyush Dinker Pandya"/>
        <s v="Jonathan Glazer"/>
        <s v="Max Joseph"/>
        <s v="Jim Hanon"/>
        <s v="Derek Cianfrance"/>
        <s v="Xavier Beauvois"/>
        <s v="Clark Johnson"/>
        <s v="AndrÃ Ãvredal"/>
        <s v="Cory Edwards"/>
        <s v="Guillaume Canet"/>
        <s v="Roland JoffÃ"/>
        <s v="Christian Alvart"/>
        <s v="James Watkins"/>
        <s v="Carol Reed"/>
        <s v="Leslye Headland"/>
        <s v="John Hillcoat"/>
        <s v="Elaine May"/>
        <s v="Tony Richardson"/>
        <s v="Chatrichalerm Yukol"/>
        <s v="Charles Stone III"/>
        <s v="Neill Blomkamp"/>
        <s v="Jake Kasdan"/>
        <s v="Bronwen Hughes"/>
        <s v="Brandon Trost"/>
        <s v="Bob Clark"/>
        <s v="Kevin Macdonald"/>
        <s v="John Maybury"/>
        <s v="Marcus Dunstan"/>
        <s v="Nicolas Winding Refn"/>
        <s v="Jonathan Hensleigh"/>
        <s v="George Armitage"/>
        <s v="Danny Pang"/>
        <s v="FabiÃn Bielinsky"/>
        <s v="Alejandro AmenÃbar"/>
        <s v="Jack Sholder"/>
        <s v="Spike Jonze"/>
        <s v="Steve James"/>
        <s v="Eric Blakeney"/>
        <s v="Harley Cokeliss"/>
        <s v="Gregory Nava"/>
        <s v="Ben Affleck"/>
        <s v="Richard Dutcher"/>
        <s v="Ron Maxwell"/>
        <s v="Patricia Cardoso"/>
        <s v="Ariel Vromen"/>
        <s v="Alison Maclean"/>
        <s v="Roger Nygard"/>
        <s v="Kathryn Bigelow"/>
        <s v="David Hackl"/>
        <s v="Craig Zobel"/>
        <s v="Shane Acker"/>
        <s v="Matthew Robbins"/>
        <s v="Deon Taylor"/>
        <s v="Eric Schaeffer"/>
        <s v="Joseph Dorman"/>
        <s v="Thomas Carter"/>
        <s v="Harald Zwart"/>
        <s v="Diane English"/>
        <s v="Richard Marquand"/>
        <s v="Kenneth Lonergan"/>
        <s v="Nick Tomnay"/>
        <s v="Ron Clements"/>
        <s v="Yimou Zhang"/>
        <s v="Jeff Wadlow"/>
        <s v="Ringo Lam"/>
        <s v="Joe Cornish"/>
        <s v="Paul Mazursky"/>
        <s v="Mikael HÃfstrÃm"/>
        <s v="Gary Rogers"/>
        <s v="Adrienne Shelly"/>
        <s v="Andy Fickman"/>
        <s v="Steve Bendelack"/>
        <s v="Sidney J. Furie"/>
        <s v="S.S. Rajamouli"/>
        <s v="Bo Welch"/>
        <s v="Antonio Banderas"/>
        <s v="Darren Lynn Bousman"/>
        <s v="Alexander Witt"/>
        <s v="Justin Zackham"/>
        <s v="Alan Shapiro"/>
        <s v="John Luessenhop"/>
        <s v="Jerry Zucker"/>
        <s v="Tom Gormican"/>
        <s v="Damon Santostefano"/>
        <s v="Steve Beck"/>
        <s v="Pete Jones"/>
        <s v="Joseph Ruben"/>
        <s v="Clay Kaytis"/>
        <s v="Grant Heslov"/>
        <s v="Anthony Hickox"/>
        <s v="Philip Kaufman"/>
        <s v="Danny Steinmann"/>
        <s v="Karan Johar"/>
        <s v="David Boyd"/>
        <s v="Warren Beatty"/>
        <s v="Mark A.Z. DippÃ"/>
        <s v="Richard Curtis"/>
        <s v="Simon Curtis"/>
        <s v="Troy Miller"/>
        <s v="Steven Seagal"/>
        <s v="RZA"/>
        <s v="Russ Meyer"/>
        <s v="Davis Guggenheim"/>
        <s v="Dan Harris"/>
        <s v="Peter R. Hunt"/>
        <s v="John Landis"/>
        <s v="Terrence Malick"/>
        <s v="Brian Baugh"/>
        <s v="Hal Haberman"/>
        <s v="Drew Barrymore"/>
        <s v="Nicole Holofcener"/>
        <s v="Angela Robinson"/>
        <s v="C. Jay Cox"/>
        <s v="Oren Peli"/>
        <s v="Daniel Stamm"/>
        <s v="Joseph L. Mankiewicz"/>
        <s v="John Wells"/>
        <s v="Joseph Kosinski"/>
        <s v="AndrÃs Muschietti"/>
        <s v="Henry Koster"/>
        <s v="Ritesh Batra"/>
        <s v="Mark Tarlov"/>
        <s v="Mark Pellington"/>
        <s v="Floyd Mutrux"/>
        <s v="William Malone"/>
        <s v="Mike Judge"/>
        <s v="Amy Heckerling"/>
        <s v="Joey Lauren Adams"/>
        <s v="Kenneth Johnson"/>
        <s v="StÃphane Aubier"/>
        <s v="Patty Jenkins"/>
        <s v="Robert Stevenson"/>
        <s v="Adam Rapp"/>
        <s v="Charles Shyer"/>
        <s v="Chris Paine"/>
        <s v="Abel Ferrara"/>
        <s v="Franklin J. Schaffner"/>
        <s v="Rusty Cundieff"/>
        <s v="Jim Field Smith"/>
        <s v="Yarrow Cheney"/>
        <s v="Gina Prince-Bythewood"/>
        <s v="Mark Christopher"/>
        <s v="Peter Ramsey"/>
        <s v="Jean-Jacques Mantello"/>
        <s v="Thomas Bezucha"/>
        <s v="Scott Speer"/>
        <s v="Reginald Hudlin"/>
        <s v="Prachya Pinkaew"/>
        <s v="Graham Annable"/>
        <s v="FranÃois Truffaut"/>
        <s v="Jon Lucas"/>
        <s v="Jared Hess"/>
        <s v="Lexi Alexander"/>
        <s v="Russell Holt"/>
        <s v="Bruce McCulloch"/>
        <s v="Mimi Leder"/>
        <s v="Nicholas Jarecki"/>
        <s v="Jeff Kanew"/>
        <s v="Floria Sigismondi"/>
        <s v="Vivek Agnihotri"/>
        <s v="Bruce Dellis"/>
        <s v="Olatunde Osunsanmi"/>
        <s v="Oliver Hirschbiegel"/>
        <s v="Panos Cosmatos"/>
        <s v="Hilary Brougher"/>
        <s v="Neill Dela Llana"/>
        <s v="Dean Israelite"/>
        <s v="Josef Rusnak"/>
        <s v="Joel Edgerton"/>
        <s v="George Nolfi"/>
        <s v="John Badham"/>
        <s v="Roman Polanski"/>
        <s v="Eric Bress"/>
        <s v="Gareth Evans"/>
        <s v="Robert Marcarelli"/>
        <s v="Gregor Jordan"/>
        <s v="Fred Dekker"/>
        <s v="George Hickenlooper"/>
        <s v="Brian Robbins"/>
        <s v="Denzel Washington"/>
        <s v="Marc Forby"/>
        <s v="Charles S. Dutton"/>
        <s v="Cathy Malkasian"/>
        <s v="Timothy BjÃrklund"/>
        <s v="Richard Raymond"/>
        <s v="Gary Trousdale"/>
        <s v="Joon-ho Bong"/>
        <s v="Bob Spiers"/>
        <s v="Bill Condon"/>
        <s v="William Shatner"/>
        <s v="Tom Putnam"/>
        <s v="Jon Kasdan"/>
        <s v="Ice Cube"/>
        <s v="William H. Macy"/>
        <s v="Katt Shea"/>
        <s v="Andrey Konchalovskiy"/>
        <s v="Benh Zeitlin"/>
        <s v="Takao Okawara"/>
        <s v="Levan Gabriadze"/>
        <s v="Martin Koolhoven"/>
        <s v="Oren Moverman"/>
        <s v="Dexter Fletcher"/>
        <s v="Jim Gillespie"/>
        <s v="Wally Pfister"/>
        <s v="Khyentse Norbu"/>
        <s v="Charles Chaplin"/>
        <s v="Risa Bramon Garcia"/>
        <s v="Denis Villeneuve"/>
        <s v="Chris Gorak"/>
        <s v="Michael Patrick King"/>
        <s v="Bradley Parker"/>
        <s v="Gary McKendry"/>
        <s v="Christopher Cain"/>
        <s v="Kelly Makin"/>
        <s v="Frank Sebastiano"/>
        <s v="Jennifer Wynne Farmer"/>
        <s v="Victor Fleming"/>
        <s v="Kief Davidson"/>
        <s v="R. Balki"/>
        <s v="Mike Flanagan"/>
        <s v="Alister Grierson"/>
        <s v="Max FÃrberbÃck"/>
        <s v="Allen Hughes"/>
        <s v="Deb Hagan"/>
        <s v="Mark Tonderai"/>
        <s v="John Boorman"/>
        <s v="Robert Lee King"/>
        <s v="Angelina Jolie Pitt"/>
        <s v="Brad Peyton"/>
        <s v="Rob Pritts"/>
        <s v="Geoff Murphy"/>
        <s v="Brian Percival"/>
        <s v="Rick Bieber"/>
        <s v="Tim Story"/>
        <s v="Stephen J. Anderson"/>
        <s v="George Sidney"/>
        <s v="Marco Schnabel"/>
        <s v="Pitof"/>
        <s v="Michael Gornick"/>
        <s v="Maggie Greenwald"/>
        <s v="Andrew Stanton"/>
        <s v="Callie Khouri"/>
        <s v="Sam Fell"/>
        <s v="Thaddeus O'Sullivan"/>
        <s v="Robby Henson"/>
        <s v="Barry Skolnick"/>
        <s v="James Toback"/>
        <s v="Udayan Prasad"/>
        <s v="Chris Roberts"/>
        <s v="Nima Nourizadeh"/>
        <s v="William A. Graham"/>
        <s v="Rupert Sanders"/>
        <s v="Ruairi Robinson"/>
        <s v="Stuart Gordon"/>
        <s v="J.S. Cardone"/>
        <s v="Clare Kilner"/>
        <s v="Scott Waugh"/>
        <s v="Glen Morgan"/>
        <s v="Carter Smith"/>
        <s v="Steven Zaillian"/>
        <s v="Michael Anderson"/>
        <s v="Bob Rafelson"/>
        <s v="Myles Berkowitz"/>
        <s v="Claudia Sainte-Luce"/>
        <s v="Ron Shelton"/>
        <s v="Jay Chandrasekhar"/>
        <s v="Gordon Chan"/>
        <s v="Tarsem Singh"/>
        <s v="Paul McGuigan"/>
        <s v="James Manera"/>
        <s v="Kurt Hale"/>
        <s v="Jeff Garlin"/>
        <s v="Robert Townsend"/>
        <s v="Dan Fogelman"/>
        <s v="Michael Lembeck"/>
        <s v="Antonia Bird"/>
        <s v="Phil Traill"/>
        <s v="Frank Miller"/>
        <s v="Jamal Hill"/>
        <s v="Leon Ichaso"/>
        <s v="Dominique Othenin-Girard"/>
        <s v="Cedric Nicolas-Troyan"/>
        <s v="Ed Gass-Donnelly"/>
        <s v="Bryan Barber"/>
        <s v="James Ponsoldt"/>
        <s v="Julio DePietro"/>
        <s v="Joe Charbanic"/>
        <s v="Blake Edwards"/>
        <s v="Craig Bolotin"/>
        <s v="William Cottrell"/>
        <s v="Joshua Marston"/>
        <s v="Wil Shriner"/>
        <s v="Lone Scherfig"/>
        <s v="Marc Levin"/>
        <s v="David Carson"/>
        <s v="Stephen Gaghan"/>
        <s v="Masayuki Ochiai"/>
        <s v="Bob Odenkirk"/>
        <s v="Troy Duffy"/>
        <s v="George P. Cosmatos"/>
        <s v="David Duchovny"/>
        <s v="Peter Howitt"/>
        <s v="Tony Jaa"/>
        <s v="Noah Baumbach"/>
        <s v="Alan Metter"/>
        <s v="Andrew Bergman"/>
        <s v="Katherine Dieckmann"/>
        <s v="Siddiq Barmak"/>
        <s v="Jon Hurwitz"/>
        <s v="Marc SchÃlermann"/>
        <s v="Hitoshi Matsumoto"/>
        <s v="Jeff Lowell"/>
        <s v="Ethan Maniquis"/>
        <s v="Joshua Seftel"/>
        <s v="Drew Goddard"/>
        <s v="Cyrus Nowrasteh"/>
        <s v="Pierre Coffin"/>
        <s v="Stephen Milburn Anderson"/>
        <s v="Steve Hickner"/>
        <s v="Fatih Akin"/>
        <s v="Mike Cahill"/>
        <s v="Louis Morneau"/>
        <s v="Tony Gilroy"/>
        <s v="Henry Hobson"/>
        <s v="Harold Cronk"/>
        <s v="Michael Cuesta"/>
        <s v="Stuart Baird"/>
        <s v="Ryan Little"/>
        <s v="Tom Green"/>
        <s v="Mark Herman"/>
        <s v="Maggie Carey"/>
        <s v="Scott Frank"/>
        <s v="Kevin Hooks"/>
        <s v="Andy Garcia"/>
        <s v="Mamoru Hosoda"/>
        <s v="Michael Dinner"/>
        <s v="Bibo Bergeron"/>
        <s v="Elizabeth Allen Rosenbaum"/>
        <s v="Michael Dougherty"/>
        <s v="Richard E. Grant"/>
        <s v="Mary McGuckian"/>
        <s v="Andrew Morahan"/>
        <s v="Emile Ardolino"/>
        <s v="Gregory Jacobs"/>
        <s v="George Ratliff"/>
        <s v="Jeremy Leven"/>
        <s v="Rachel Perkins"/>
        <s v="Courtney Hunt"/>
        <s v="Rawson Marshall Thurber"/>
        <s v="Catherine Gund"/>
        <s v="Bonnie Hunt"/>
        <s v="Arthur Hiller"/>
        <s v="Kris Isacsson"/>
        <s v="Julian Jarrold"/>
        <s v="Robinson Devor"/>
        <s v="Tony Bill"/>
        <s v="Robert Duvall"/>
        <s v="Eugenio Derbez"/>
        <s v="Greg Coolidge"/>
        <s v="Je-kyu Kang"/>
        <s v="Ben Younger"/>
        <s v="Michael Caton-Jones"/>
        <s v="Steven Shainberg"/>
        <s v="Spencer Susser"/>
        <s v="Sarah Smith"/>
        <s v="Timur Bekmambetov"/>
        <s v="David Webb Peoples"/>
        <s v="Alan Parker"/>
        <s v="Michael Tollin"/>
        <s v="Jeffrey W. Byrd"/>
        <s v="Michael McGowan"/>
        <s v="Peter Kosminsky"/>
        <s v="Rick Friedberg"/>
        <s v="Chan-wook Park"/>
        <s v="Luis Llosa"/>
        <s v="Kay Pollak"/>
        <s v="Bruce McDonald"/>
        <s v="John Bonito"/>
        <s v="Anthony Russo"/>
        <s v="Noah Buschel"/>
        <s v="Larry Blamire"/>
        <s v="David McNally"/>
        <s v="Vadim Perelman"/>
        <s v="Kaige Chen"/>
        <s v="Matt Williams"/>
        <s v="Joby Harold"/>
        <s v="Tim Hunter"/>
        <s v="Greg Harrison"/>
        <s v="Majid Majidi"/>
        <s v="Mark Piznarski"/>
        <s v="Tim Heidecker"/>
        <s v="Russell Crowe"/>
        <s v="David Anspaugh"/>
        <s v="Chris Butler"/>
        <s v="John Cornell"/>
        <s v="Fred Schepisi"/>
        <s v="Eric Bross"/>
        <s v="Guy Maddin"/>
        <s v="Bill Paxton"/>
        <s v="Scott Hicks"/>
        <s v="Nicholas Meyer"/>
        <s v="EugÃne LouriÃ"/>
        <s v="Stephen Norrington"/>
        <s v="Britt Allcroft"/>
        <s v="David G. Evans"/>
        <s v="William A. Fraker"/>
        <s v="Alejandro Monteverde"/>
        <s v="Harry Elfont"/>
        <s v="Peter MacDonald"/>
        <s v="John Curran"/>
        <s v="Lee Toland Krieger"/>
        <s v="Bill Duke"/>
        <s v="Barry W. Blaustein"/>
        <s v="Tommy Lee Jones"/>
        <s v="Sherman Alexie"/>
        <s v="Reed Cowan"/>
        <s v="David Nutter"/>
        <s v="Carmen Marron"/>
        <s v="Gary Chapman"/>
        <s v="Stefen Fangmeier"/>
        <s v="Emilio Estevez"/>
        <s v="Joshua Tickell"/>
        <s v="Stefan Schwartz"/>
        <s v="Quentin Dupieux"/>
        <s v="Fred Walton"/>
        <s v="Luc Jacquet"/>
        <s v="Richard Shepard"/>
        <s v="Fede Alvarez"/>
        <s v="Peter Billingsley"/>
        <s v="Nat Faxon"/>
        <s v="Stanley Tong"/>
        <s v="Michael Rymer"/>
        <s v="Adam Rifkin"/>
        <s v="Joseph Zito"/>
        <s v="Michael J. Bassett"/>
        <s v="Julian Schnabel"/>
        <s v="Colin Higgins"/>
        <s v="Wilson Yip"/>
        <s v="Efram Potelle"/>
        <s v="Salvador Carrasco"/>
        <s v="Chris Kentis"/>
        <s v="Shane Carruth"/>
        <s v="Akiva Goldsman"/>
        <s v="Luca Guadagnino"/>
        <s v="Steve Carver"/>
        <s v="David S. Ward"/>
        <s v="Ed Decter"/>
        <s v="Christophe Barratier"/>
        <s v="Fred Savage"/>
        <s v="Mike Figgis"/>
        <s v="Ti West"/>
        <s v="Albert Brooks"/>
        <s v="Joe Pytka"/>
        <s v="David Soren"/>
        <s v="Tony Maylam"/>
        <s v="George Cukor"/>
        <s v="Mark Mylod"/>
        <s v="Damien Dante Wayans"/>
        <s v="Jim Mickle"/>
        <s v="Carl Rinsch"/>
        <s v="Sue Corcoran"/>
        <s v="Stuart Gillard"/>
        <s v="Sylvain Chomet"/>
        <s v="Nathan Greno"/>
        <s v="Kevin Allen"/>
        <s v="Justin Kerrigan"/>
        <s v="Nelson McCormick"/>
        <s v="Ricki Stern"/>
        <s v="Kyle Balda"/>
        <s v="Josh Boone"/>
        <s v="Zal Batmanglij"/>
        <s v="Jerry Zaks"/>
        <s v="Scott Ziehl"/>
        <s v="Gary David Goldberg"/>
        <s v="Leigh Whannell"/>
        <s v="Peter Faiman"/>
        <s v="James Isaac"/>
        <s v="Morgan Neville"/>
        <s v="Dinesh D'Souza"/>
        <s v="James Gray"/>
        <s v="Jodie Foster"/>
        <s v="Niels Arden Oplev"/>
        <s v="Rebecca Miller"/>
        <s v="Hyung-rae Shim"/>
        <s v="Darren Grant"/>
        <s v="Steve Boyum"/>
        <s v="Agnieszka Wojtowicz-Vosloo"/>
        <s v="Lance Mungia"/>
        <s v="Philip G. Atwell"/>
        <s v="Jon Hess"/>
        <s v="Sylvester Stallone"/>
        <s v="Jamie Babbit"/>
        <s v="Leonard Nimoy"/>
        <s v="Justin Dillon"/>
        <s v="Anthony Powell"/>
        <s v="Kevin Brodie"/>
        <s v="Goran Dukic"/>
        <s v="Danny Leiner"/>
        <s v="Annabel Jankel"/>
        <s v="Chris Rock"/>
        <s v="Vincenzo Natali"/>
        <s v="Sean McNamara"/>
        <s v="David Gelb"/>
        <s v="Mennan Yapo"/>
        <s v="Ash Brannon"/>
        <s v="Igor Kovalyov"/>
        <s v="Mark Romanek"/>
        <s v="Luis Mandoki"/>
        <s v="Boris Rodriguez"/>
        <s v="Nick Hamm"/>
        <s v="Paul Bunnell"/>
        <s v="Ronan Chapalain"/>
        <s v="Paul Weiland"/>
        <s v="Molly Bernstein"/>
        <s v="John 'Bud' Cardos"/>
        <s v="Victor Nunez"/>
        <s v="Steve Box"/>
        <s v="Walter Salles"/>
        <s v="Jon Poll"/>
        <s v="Sylvio Tabet"/>
        <s v="Newt Arnold"/>
        <s v="Roger Christian"/>
        <s v="Orson Welles"/>
        <s v="Joan Chen"/>
        <s v="Michael Clancy"/>
        <s v="IstvÃn SzabÃ"/>
        <s v="Gabor Csupo"/>
        <s v="Jon Shear"/>
        <s v="Patrick Gilmore"/>
        <s v="Kurt Voss"/>
        <s v="Dean Wright"/>
        <s v="John Putch"/>
        <s v="Babak Najafi"/>
        <s v="Mark Andrews"/>
        <s v="Edward Norton"/>
        <s v="Mike Gabriel"/>
        <s v="Lorene Scafaria"/>
        <s v="Irvin Kershner"/>
        <s v="Sally Potter"/>
        <s v="Tuck Tucker"/>
        <s v="Don Hall"/>
        <s v="Wayne Kramer"/>
        <s v="Mars Callahan"/>
        <s v="Mike van Diem"/>
        <s v="Greg Berlanti"/>
        <s v="Terence Davies"/>
        <s v="Karyn Kusama"/>
        <s v="Alan Poul"/>
        <s v="Peter Stebbings"/>
        <s v="Michael O. Sajbel"/>
        <s v="Steven E. de Souza"/>
        <s v="Peter Care"/>
        <s v="Asger Leth"/>
        <s v="Peter Hastings"/>
        <s v="Fred Durst"/>
        <s v="Jay Levey"/>
        <s v="Adrian Lyne"/>
        <s v="Hsiao-Hsien Hou"/>
        <s v="Barry Cook"/>
        <s v="John Crowley"/>
        <s v="Michael Sucsy"/>
        <s v="Sterling Van Wagenen"/>
        <s v="Brian Klugman"/>
        <s v="Caroline Link"/>
        <s v="Rob Schmidt"/>
        <s v="Christian E. Christiansen"/>
        <s v="Hans Petter Moland"/>
        <s v="John Cameron Mitchell"/>
        <s v="Tim Blake Nelson"/>
        <s v="Robert Towne"/>
        <s v="Bernardo Bertolucci"/>
        <s v="Gilles Paquet-Brenner"/>
        <s v="Walt Becker"/>
        <s v="Paul Hunter"/>
        <s v="Nacho Vigalondo"/>
        <s v="Dwight H. Little"/>
        <s v="Meiert Avis"/>
        <s v="Jody Hill"/>
        <s v="Charles T. Kanganis"/>
        <s v="Eric Valette"/>
        <s v="Zak Penn"/>
        <s v="Miguel Sapochnik"/>
        <s v="Peter Webber"/>
        <s v="Siddharth Anand"/>
        <s v="Craig Brewer"/>
        <s v="Steve Gomer"/>
        <s v="Mikael Salomon"/>
        <s v="Todd Field"/>
        <s v="Li Zhang"/>
        <s v="Peter M. Cohen"/>
        <s v="Kirk Wong"/>
        <s v="Ricky Gervais"/>
        <s v="Fernando LeÃn de Aranoa"/>
        <s v="Chris Eyre"/>
        <s v="Jonathan Newman"/>
        <s v="Jason Moore"/>
        <s v="Rob Hedden"/>
        <s v="James Fargo"/>
        <s v="Jeb Stuart"/>
        <s v="JirÃ Menzel"/>
        <s v="GÃrard Krawczyk"/>
        <s v="Blair Hayes"/>
        <s v="Michael Spierig"/>
        <s v="Fritz Lang"/>
        <s v="J.A. Bayona"/>
        <s v="R.J. Cutler"/>
        <s v="Stephen Chow"/>
        <s v="Asghar Farhadi"/>
        <s v="Matt Maiellaro"/>
        <s v="Paul Gross"/>
        <s v="Jane Campion"/>
        <s v="Peter Lepeniotis"/>
        <s v="Don Siegel"/>
        <s v="Tom McGrath"/>
        <s v="Travis Cluff"/>
        <s v="Jennifer Flackett"/>
        <s v="Matt Piedmont"/>
        <s v="King Vidor"/>
        <s v="Sharon Maguire"/>
        <s v="Nicholas Fackler"/>
        <s v="Paul Tibbitt"/>
        <s v="Don Mancini"/>
        <s v="John Lafia"/>
        <s v="Susan Seidelman"/>
        <s v="Juan Carlos Fresnadillo"/>
        <s v="David Schwimmer"/>
        <s v="David Palmer"/>
        <s v="Antony Hoffman"/>
        <s v="Menno Meyjes"/>
        <s v="Anthony Bell"/>
        <s v="Christopher Leitch"/>
        <s v="Ira Sachs"/>
        <s v="Lenny Abrahamson"/>
        <s v="Drake Doremus"/>
        <s v="Jorge Blanco"/>
        <s v="Penelope Spheeris"/>
        <s v="Todd Strauss-Schulson"/>
        <s v="Cecil B. DeMille"/>
        <s v="Paul King"/>
        <s v="Ole Christian Madsen"/>
        <s v="Teddy Chan"/>
        <s v="Harry Beaumont"/>
        <s v="Tamara Jenkins"/>
        <s v="Ryan Murphy"/>
        <s v="Daniel Myrick"/>
        <s v="Wayne Beach"/>
        <s v="Dave McKean"/>
        <s v="Matt Dillon"/>
        <s v="Kinka Usher"/>
        <s v="Jennifer Yuh Nelson"/>
        <s v="Alessandro Carloni"/>
        <s v="Kelly Asbury"/>
        <s v="Elia Kazan"/>
        <s v="Jorge R. GutiÃrrez"/>
        <s v="Kelly Reichardt"/>
        <s v="Christophe Gans"/>
        <s v="Lee Unkrich"/>
        <s v="Jeannot Szwarc"/>
        <s v="Jim Fall"/>
        <s v="Charlie Kaufman"/>
        <s v="Thea Sharrock"/>
        <s v="Paul Schrader"/>
        <s v="James Mottern"/>
        <s v="Paul Michael Glaser"/>
        <s v="Ham Tran"/>
        <s v="Jim Abrahams"/>
        <s v="Jorma Taccone"/>
        <s v="Nigel Cole"/>
        <s v="Jeff Burr"/>
        <s v="Mike Marvin"/>
        <s v="Steve McQueen"/>
        <s v="Neema Barnette"/>
        <s v="Christian Ditter"/>
        <s v="Rowdy Herrington"/>
        <s v="James Dodson"/>
        <s v="Scott Marshall"/>
        <s v="Shane Meadows"/>
        <s v="Lloyd Kaufman"/>
        <s v="Wych Kaosayananda"/>
        <s v="Michael Herz"/>
        <s v="Hark Tsui"/>
        <s v="Michael Patrick Jann"/>
        <s v="Scott Alexander"/>
        <s v="Frank Whaley"/>
        <s v="Peter Medak"/>
        <s v="Michel Orion Scott"/>
        <s v="John Stainton"/>
        <s v="Kevin Tenney"/>
        <s v="Benjamin Dickinson"/>
        <s v="Aaron Schneider"/>
        <s v="Vincent Ward"/>
        <s v="Susan Stroman"/>
        <s v="Steve Barron"/>
        <s v="Joshua Oppenheimer"/>
        <s v="Saul Dibb"/>
        <s v="Gary Halvorson"/>
        <s v="Marcus Raboy"/>
        <s v="Rodrigo GarcÃa"/>
        <s v="Phil Alden Robinson"/>
        <s v="Ari Folman"/>
        <s v="Ava DuVernay"/>
        <s v="Liz Friedlander"/>
        <s v="Michael Pressman"/>
        <s v="George Stevens"/>
        <s v="Chuan Lu"/>
        <s v="Jacob Aaron Estes"/>
        <s v="Robert Eggers"/>
        <s v="Kent Alterman"/>
        <s v="Michael Roemer"/>
        <s v="Alex Garland"/>
        <s v="Karen Moncrieff"/>
        <s v="Willard Huyck"/>
      </sharedItems>
    </cacheField>
    <cacheField name="num_critic_for_reviews" numFmtId="0">
      <sharedItems containsSemiMixedTypes="0" containsString="0" containsNumber="1" containsInteger="1">
        <n v="83.0"/>
        <n v="163.0"/>
        <n v="129.0"/>
        <n v="122.0"/>
        <n v="168.0"/>
        <n v="117.0"/>
        <n v="215.0"/>
        <n v="92.0"/>
        <n v="158.0"/>
        <n v="61.0"/>
        <n v="200.0"/>
        <n v="68.0"/>
        <n v="321.0"/>
        <n v="13.0"/>
        <n v="108.0"/>
        <n v="65.0"/>
        <n v="54.0"/>
        <n v="152.0"/>
        <n v="41.0"/>
        <n v="87.0"/>
        <n v="285.0"/>
        <n v="34.0"/>
        <n v="45.0"/>
        <n v="60.0"/>
        <n v="256.0"/>
        <n v="98.0"/>
        <n v="29.0"/>
        <n v="156.0"/>
        <n v="339.0"/>
        <n v="153.0"/>
        <n v="250.0"/>
        <n v="140.0"/>
        <n v="195.0"/>
        <n v="226.0"/>
        <n v="135.0"/>
        <n v="40.0"/>
        <n v="56.0"/>
        <n v="283.0"/>
        <n v="17.0"/>
        <n v="141.0"/>
        <n v="58.0"/>
        <n v="116.0"/>
        <n v="464.0"/>
        <n v="52.0"/>
        <n v="167.0"/>
        <n v="293.0"/>
        <n v="8.0"/>
        <n v="133.0"/>
        <n v="75.0"/>
        <n v="265.0"/>
        <n v="159.0"/>
        <n v="16.0"/>
        <n v="227.0"/>
        <n v="371.0"/>
        <n v="253.0"/>
        <n v="238.0"/>
        <n v="66.0"/>
        <n v="197.0"/>
        <n v="421.0"/>
        <n v="144.0"/>
        <n v="131.0"/>
        <n v="258.0"/>
        <n v="31.0"/>
        <n v="292.0"/>
        <n v="99.0"/>
        <n v="100.0"/>
        <n v="119.0"/>
        <n v="97.0"/>
        <n v="147.0"/>
        <n v="211.0"/>
        <n v="151.0"/>
        <n v="26.0"/>
        <n v="81.0"/>
        <n v="170.0"/>
        <n v="101.0"/>
        <n v="43.0"/>
        <n v="345.0"/>
        <n v="240.0"/>
        <n v="71.0"/>
        <n v="130.0"/>
        <n v="280.0"/>
        <n v="171.0"/>
        <n v="179.0"/>
        <n v="104.0"/>
        <n v="349.0"/>
        <n v="37.0"/>
        <n v="57.0"/>
        <n v="143.0"/>
        <n v="370.0"/>
        <n v="189.0"/>
        <n v="70.0"/>
        <n v="149.0"/>
        <n v="287.0"/>
        <n v="90.0"/>
        <n v="205.0"/>
        <n v="84.0"/>
        <n v="190.0"/>
        <n v="454.0"/>
        <n v="154.0"/>
        <n v="411.0"/>
        <n v="6.0"/>
        <n v="136.0"/>
        <n v="145.0"/>
        <n v="103.0"/>
        <n v="261.0"/>
        <n v="330.0"/>
        <n v="114.0"/>
        <n v="126.0"/>
        <n v="358.0"/>
        <n v="72.0"/>
        <n v="25.0"/>
        <n v="82.0"/>
        <n v="148.0"/>
        <n v="150.0"/>
        <n v="213.0"/>
        <n v="86.0"/>
        <n v="242.0"/>
        <n v="105.0"/>
        <n v="96.0"/>
        <n v="107.0"/>
        <n v="388.0"/>
        <n v="27.0"/>
        <n v="50.0"/>
        <n v="111.0"/>
        <n v="479.0"/>
        <n v="110.0"/>
        <n v="94.0"/>
        <n v="69.0"/>
        <n v="78.0"/>
        <n v="21.0"/>
        <n v="80.0"/>
        <n v="492.0"/>
        <n v="459.0"/>
        <n v="219.0"/>
        <n v="32.0"/>
        <n v="22.0"/>
        <n v="351.0"/>
        <n v="51.0"/>
        <n v="279.0"/>
        <n v="106.0"/>
        <n v="320.0"/>
        <n v="138.0"/>
        <n v="109.0"/>
        <n v="401.0"/>
        <n v="275.0"/>
        <n v="30.0"/>
        <n v="191.0"/>
        <n v="188.0"/>
        <n v="118.0"/>
        <n v="230.0"/>
        <n v="184.0"/>
        <n v="10.0"/>
        <n v="164.0"/>
        <n v="235.0"/>
        <n v="576.0"/>
        <n v="53.0"/>
        <n v="125.0"/>
        <n v="231.0"/>
        <n v="73.0"/>
        <n v="236.0"/>
        <n v="112.0"/>
        <n v="310.0"/>
        <n v="74.0"/>
        <n v="59.0"/>
        <n v="327.0"/>
        <n v="15.0"/>
        <n v="113.0"/>
        <n v="28.0"/>
        <n v="446.0"/>
        <n v="193.0"/>
        <n v="12.0"/>
        <n v="198.0"/>
        <n v="375.0"/>
        <n v="294.0"/>
        <n v="186.0"/>
        <n v="36.0"/>
        <n v="157.0"/>
        <n v="62.0"/>
        <n v="55.0"/>
        <n v="217.0"/>
        <n v="142.0"/>
        <n v="183.0"/>
        <n v="336.0"/>
        <n v="79.0"/>
        <n v="465.0"/>
        <n v="286.0"/>
        <n v="201.0"/>
        <n v="161.0"/>
        <n v="335.0"/>
        <n v="181.0"/>
        <n v="207.0"/>
        <n v="19.0"/>
        <n v="134.0"/>
        <n v="308.0"/>
        <n v="387.0"/>
        <n v="173.0"/>
        <n v="270.0"/>
        <n v="165.0"/>
        <n v="77.0"/>
        <n v="49.0"/>
        <n v="234.0"/>
        <n v="137.0"/>
        <n v="251.0"/>
        <n v="14.0"/>
        <n v="35.0"/>
        <n v="155.0"/>
        <n v="42.0"/>
        <n v="169.0"/>
        <n v="120.0"/>
        <n v="282.0"/>
        <n v="88.0"/>
        <n v="76.0"/>
        <n v="146.0"/>
        <n v="127.0"/>
        <n v="162.0"/>
        <n v="466.0"/>
        <n v="23.0"/>
        <n v="160.0"/>
        <n v="392.0"/>
        <n v="642.0"/>
        <n v="20.0"/>
        <n v="297.0"/>
        <n v="348.0"/>
        <n v="91.0"/>
        <n v="360.0"/>
        <n v="355.0"/>
        <n v="187.0"/>
        <n v="315.0"/>
        <n v="132.0"/>
        <n v="289.0"/>
        <n v="192.0"/>
        <n v="123.0"/>
        <n v="196.0"/>
        <n v="239.0"/>
        <n v="222.0"/>
        <n v="365.0"/>
        <n v="276.0"/>
        <n v="271.0"/>
        <n v="369.0"/>
        <n v="400.0"/>
        <n v="102.0"/>
        <n v="178.0"/>
        <n v="423.0"/>
        <n v="233.0"/>
        <n v="47.0"/>
        <n v="635.0"/>
        <n v="260.0"/>
        <n v="89.0"/>
        <n v="38.0"/>
        <n v="274.0"/>
        <n v="272.0"/>
        <n v="556.0"/>
        <n v="427.0"/>
        <n v="212.0"/>
        <n v="180.0"/>
        <n v="204.0"/>
        <n v="487.0"/>
        <n v="194.0"/>
        <n v="323.0"/>
        <n v="216.0"/>
        <n v="264.0"/>
        <n v="85.0"/>
        <n v="228.0"/>
        <n v="121.0"/>
        <n v="139.0"/>
        <n v="174.0"/>
        <n v="128.0"/>
        <n v="175.0"/>
        <n v="364.0"/>
        <n v="63.0"/>
        <n v="64.0"/>
        <n v="599.0"/>
        <n v="398.0"/>
        <n v="518.0"/>
        <n v="367.0"/>
        <n v="254.0"/>
        <n v="813.0"/>
        <n v="352.0"/>
        <n v="24.0"/>
        <n v="414.0"/>
        <n v="124.0"/>
        <n v="262.0"/>
        <n v="176.0"/>
        <n v="415.0"/>
        <n v="248.0"/>
        <n v="653.0"/>
        <n v="115.0"/>
        <n v="313.0"/>
        <n v="267.0"/>
        <n v="93.0"/>
        <n v="304.0"/>
        <n v="5.0"/>
        <n v="223.0"/>
        <n v="67.0"/>
        <n v="408.0"/>
        <n v="491.0"/>
        <n v="225.0"/>
        <n v="208.0"/>
        <n v="344.0"/>
        <n v="534.0"/>
        <n v="46.0"/>
        <n v="1.0"/>
        <n v="450.0"/>
        <n v="232.0"/>
        <n v="252.0"/>
        <n v="362.0"/>
        <n v="357.0"/>
        <n v="203.0"/>
        <n v="224.0"/>
        <n v="419.0"/>
        <n v="451.0"/>
        <n v="377.0"/>
        <n v="447.0"/>
        <n v="48.0"/>
        <n v="376.0"/>
        <n v="525.0"/>
        <n v="291.0"/>
        <n v="218.0"/>
        <n v="535.0"/>
        <n v="249.0"/>
        <n v="290.0"/>
        <n v="166.0"/>
        <n v="432.0"/>
        <n v="342.0"/>
        <n v="363.0"/>
        <n v="18.0"/>
        <n v="220.0"/>
        <n v="474.0"/>
        <n v="172.0"/>
        <n v="673.0"/>
        <n v="471.0"/>
        <n v="257.0"/>
        <n v="385.0"/>
        <n v="206.0"/>
        <n v="269.0"/>
        <n v="517.0"/>
        <n v="325.0"/>
        <n v="361.0"/>
        <n v="44.0"/>
        <n v="596.0"/>
        <n v="199.0"/>
        <n v="185.0"/>
        <n v="644.0"/>
        <n v="295.0"/>
        <n v="241.0"/>
        <n v="470.0"/>
        <n v="209.0"/>
        <n v="202.0"/>
        <n v="221.0"/>
        <n v="300.0"/>
        <n v="229.0"/>
        <n v="263.0"/>
        <n v="750.0"/>
        <n v="309.0"/>
        <n v="765.0"/>
        <n v="340.0"/>
        <n v="359.0"/>
        <n v="214.0"/>
        <n v="177.0"/>
        <n v="237.0"/>
        <n v="417.0"/>
        <n v="314.0"/>
        <n v="284.0"/>
        <n v="486.0"/>
        <n v="406.0"/>
        <n v="318.0"/>
        <n v="396.0"/>
        <n v="350.0"/>
        <n v="372.0"/>
        <n v="33.0"/>
        <n v="11.0"/>
        <n v="526.0"/>
        <n v="273.0"/>
        <n v="298.0"/>
        <n v="433.0"/>
        <n v="266.0"/>
        <n v="366.0"/>
        <n v="278.0"/>
        <n v="389.0"/>
        <n v="394.0"/>
        <n v="95.0"/>
        <n v="405.0"/>
        <n v="245.0"/>
        <n v="288.0"/>
        <n v="39.0"/>
        <n v="299.0"/>
        <n v="579.0"/>
        <n v="354.0"/>
        <n v="2.0"/>
        <n v="368.0"/>
        <n v="319.0"/>
        <n v="703.0"/>
        <n v="733.0"/>
        <n v="426.0"/>
        <n v="546.0"/>
        <n v="210.0"/>
        <n v="346.0"/>
        <n v="329.0"/>
        <n v="305.0"/>
        <n v="182.0"/>
        <n v="418.0"/>
        <n v="608.0"/>
        <n v="246.0"/>
        <n v="373.0"/>
        <n v="378.0"/>
        <n v="589.0"/>
        <n v="511.0"/>
        <n v="9.0"/>
        <n v="337.0"/>
        <n v="462.0"/>
        <n v="449.0"/>
        <n v="277.0"/>
        <n v="391.0"/>
        <n v="440.0"/>
        <n v="317.0"/>
        <n v="656.0"/>
        <n v="529.0"/>
        <n v="333.0"/>
        <n v="536.0"/>
        <n v="338.0"/>
        <n v="326.0"/>
        <n v="548.0"/>
        <n v="539.0"/>
        <n v="399.0"/>
        <n v="7.0"/>
        <n v="558.0"/>
        <n v="301.0"/>
        <n v="443.0"/>
        <n v="343.0"/>
        <n v="490.0"/>
        <n v="328.0"/>
        <n v="420.0"/>
        <n v="409.0"/>
        <n v="311.0"/>
        <n v="322.0"/>
        <n v="469.0"/>
        <n v="393.0"/>
        <n v="331.0"/>
        <n v="302.0"/>
        <n v="584.0"/>
        <n v="247.0"/>
        <n v="410.0"/>
        <n v="516.0"/>
        <n v="538.0"/>
        <n v="383.0"/>
        <n v="436.0"/>
        <n v="259.0"/>
        <n v="4.0"/>
        <n v="413.0"/>
        <n v="481.0"/>
        <n v="645.0"/>
        <n v="488.0"/>
        <n v="738.0"/>
        <n v="669.0"/>
        <n v="493.0"/>
        <n v="460.0"/>
        <n v="663.0"/>
        <n v="428.0"/>
        <n v="575.0"/>
        <n v="435.0"/>
        <n v="445.0"/>
        <n v="244.0"/>
        <n v="739.0"/>
        <n v="509.0"/>
        <n v="424.0"/>
        <n v="416.0"/>
        <n v="382.0"/>
        <n v="374.0"/>
        <n v="386.0"/>
        <n v="775.0"/>
        <n v="634.0"/>
        <n v="281.0"/>
        <n v="476.0"/>
        <n v="307.0"/>
        <n v="723.0"/>
        <n v="590.0"/>
        <n v="453.0"/>
        <n v="434.0"/>
        <n v="521.0"/>
        <n v="682.0"/>
        <n v="316.0"/>
        <n v="568.0"/>
        <n v="448.0"/>
        <n v="502.0"/>
        <n v="303.0"/>
        <n v="306.0"/>
        <n v="549.0"/>
        <n v="543.0"/>
        <n v="403.0"/>
        <n v="510.0"/>
        <n v="324.0"/>
        <n v="588.0"/>
        <n v="268.0"/>
        <n v="422.0"/>
        <n v="384.0"/>
        <n v="500.0"/>
        <n v="585.0"/>
        <n v="255.0"/>
        <n v="341.0"/>
        <n v="397.0"/>
        <n v="334.0"/>
        <n v="676.0"/>
        <n v="390.0"/>
        <n v="3.0"/>
        <n v="522.0"/>
        <n v="552.0"/>
        <n v="412.0"/>
        <n v="602.0"/>
        <n v="452.0"/>
        <n v="478.0"/>
        <n v="597.0"/>
        <n v="654.0"/>
        <n v="712.0"/>
        <n v="437.0"/>
        <n v="472.0"/>
        <n v="425.0"/>
        <n v="489.0"/>
        <n v="495.0"/>
      </sharedItems>
    </cacheField>
    <cacheField name="gross" numFmtId="164">
      <sharedItems containsSemiMixedTypes="0" containsString="0" containsNumber="1" containsInteger="1">
        <n v="5.7011847E7"/>
        <n v="2.8772222E7"/>
        <n v="6.4371181E7"/>
        <n v="3500000.0"/>
        <n v="4.4983704E7"/>
        <n v="4.5860039E7"/>
        <n v="1.0793E8"/>
        <n v="4.6611204E7"/>
        <n v="1.8500966E7"/>
        <n v="4.8169908E7"/>
        <n v="1.08638745E8"/>
        <n v="1.3269963E7"/>
        <n v="6.7631157E7"/>
        <n v="428535.0"/>
        <n v="2.1468807E7"/>
        <n v="1.2189514E7"/>
        <n v="985341.0"/>
        <n v="3.1768374E7"/>
        <n v="7.1026631E7"/>
        <n v="2956000.0"/>
        <n v="5516708.0"/>
        <n v="2.3618786E7"/>
        <n v="1889522.0"/>
        <n v="8.12E7"/>
        <n v="1.7300889E7"/>
        <n v="2.6505E7"/>
        <n v="49413.0"/>
        <n v="3.021262E7"/>
        <n v="3.6049108E7"/>
        <n v="2.516727E7"/>
        <n v="7.3103784E7"/>
        <n v="1.62831698E8"/>
        <n v="8.52E7"/>
        <n v="4.7000485E7"/>
        <n v="6.0057639E7"/>
        <n v="5.1483949E7"/>
        <n v="2775593.0"/>
        <n v="4000000.0"/>
        <n v="1346503.0"/>
        <n v="7.6418654E7"/>
        <n v="13134.0"/>
        <n v="2.2160085E7"/>
        <n v="317125.0"/>
        <n v="2.2954968E7"/>
        <n v="4.0334024E7"/>
        <n v="1.18099659E8"/>
        <n v="3713002.0"/>
        <n v="1.79982968E8"/>
        <n v="3.00523113E8"/>
        <n v="2.9392418E7"/>
        <n v="7.4058698E7"/>
        <n v="3.2701088E7"/>
        <n v="5.131735E7"/>
        <n v="1.19219978E8"/>
        <n v="3.5794166E7"/>
        <n v="2.41437427E8"/>
        <n v="6706368.0"/>
        <n v="7680.0"/>
        <n v="3.20706665E8"/>
        <n v="6.506914E7"/>
        <n v="8.0050171E7"/>
        <n v="1.17144465E8"/>
        <n v="4881867.0"/>
        <n v="336456.0"/>
        <n v="3.9440655E7"/>
        <n v="4.0962534E7"/>
        <n v="2.74E7"/>
        <n v="7.9566871E7"/>
        <n v="1.41614023E8"/>
        <n v="1.0174663E7"/>
        <n v="1.01530738E8"/>
        <n v="4234040.0"/>
        <n v="1332.0"/>
        <n v="3.4098563E7"/>
        <n v="1.63214286E8"/>
        <n v="2.6284475E7"/>
        <n v="4.47E7"/>
        <n v="4.1797066E7"/>
        <n v="3.0259652E7"/>
        <n v="3.756623E7"/>
        <n v="53481.0"/>
        <n v="1.0166502E7"/>
        <n v="3.4543701E7"/>
        <n v="2.095082E7"/>
        <n v="20200.0"/>
        <n v="4360548.0"/>
        <n v="9.3771072E7"/>
        <n v="5702083.0"/>
        <n v="2.2518325E7"/>
        <n v="5.386803E7"/>
        <n v="403932.0"/>
        <n v="9353573.0"/>
        <n v="695229.0"/>
        <n v="1697956.0"/>
        <n v="2.5809813E7"/>
        <n v="4.874515E7"/>
        <n v="1.7096053E7"/>
        <n v="1.22012643E8"/>
        <n v="5.568207E7"/>
        <n v="326308.0"/>
        <n v="5199.0"/>
        <n v="1.1993873E8"/>
        <n v="4.8237389E7"/>
        <n v="8.1517441E7"/>
        <n v="3.62645141E8"/>
        <n v="3.0920167E7"/>
        <n v="6.8218041E7"/>
        <n v="2899970.0"/>
        <n v="1.2987647E7"/>
        <n v="6670712.0"/>
        <n v="1.84031112E8"/>
        <n v="1.2793213E7"/>
        <n v="8.2161969E7"/>
        <n v="5932060.0"/>
        <n v="4.36471036E8"/>
        <n v="1.26805112E8"/>
        <n v="2.6838389E7"/>
        <n v="9.1121452E7"/>
        <n v="5739376.0"/>
        <n v="4.805694E7"/>
        <n v="1000000.0"/>
        <n v="3.1874869E7"/>
        <n v="1.19420252E8"/>
        <n v="236266.0"/>
        <n v="5359774.0"/>
        <n v="1.91616238E8"/>
        <n v="9.3815117E7"/>
        <n v="7764027.0"/>
        <n v="1.39852971E8"/>
        <n v="5.0129186E7"/>
        <n v="3.9442871E7"/>
        <n v="4068087.0"/>
        <n v="2.683E7"/>
        <n v="5.4222E7"/>
        <n v="1.44731527E8"/>
        <n v="1.79870271E8"/>
        <n v="6.0652036E7"/>
        <n v="7.1423726E7"/>
        <n v="1.4983572E7"/>
        <n v="3.3201661E7"/>
        <n v="2.8133159E7"/>
        <n v="4.2919096E7"/>
        <n v="2921738.0"/>
        <n v="9.5860116E7"/>
        <n v="1.6991902E7"/>
        <n v="7.9883359E7"/>
        <n v="1420578.0"/>
        <n v="5.9068786E7"/>
        <n v="2.2294341E7"/>
        <n v="9795017.0"/>
        <n v="1.5361537E7"/>
        <n v="3193102.0"/>
        <n v="1.38795342E8"/>
        <n v="3.0199105E7"/>
        <n v="7.3000942E7"/>
        <n v="7.366101E7"/>
        <n v="4.0064955E7"/>
        <n v="9473382.0"/>
        <n v="1.717487E7"/>
        <n v="274299.0"/>
        <n v="1.7010646E7"/>
        <n v="1953732.0"/>
        <n v="3.8966057E7"/>
        <n v="4.1227069E7"/>
        <n v="1.664021E7"/>
        <n v="1.091175E7"/>
        <n v="1.9661987E7"/>
        <n v="5.8607007E7"/>
        <n v="1.50832203E8"/>
        <n v="2.16119491E8"/>
        <n v="2.92E7"/>
        <n v="2580.0"/>
        <n v="20218.0"/>
        <n v="1.22512052E8"/>
        <n v="8460990.0"/>
        <n v="3.3574332E7"/>
        <n v="1.8208078E7"/>
        <n v="106869.0"/>
        <n v="3.9292022E7"/>
        <n v="1705139.0"/>
        <n v="8.7704396E7"/>
        <n v="1.3101142E7"/>
        <n v="1060591.0"/>
        <n v="3.4667015E7"/>
        <n v="2.41407328E8"/>
        <n v="2.81492479E8"/>
        <n v="220234.0"/>
        <n v="1.50315155E8"/>
        <n v="1.98539855E8"/>
        <n v="665426.0"/>
        <n v="7.045E7"/>
        <n v="1294640.0"/>
        <n v="3335839.0"/>
        <n v="9929000.0"/>
        <n v="6615578.0"/>
        <n v="3.479316E7"/>
        <n v="2.5266129E7"/>
        <n v="1.5427192E7"/>
        <n v="3.8105077E7"/>
        <n v="4.4667095E7"/>
        <n v="1.0198766E7"/>
        <n v="1.1300688E8"/>
        <n v="6.1356221E7"/>
        <n v="6.0655503E7"/>
        <n v="1.9673424E7"/>
        <n v="4.4566004E7"/>
        <n v="1.44156464E8"/>
        <n v="2.6442251E7"/>
        <n v="6.003378E7"/>
        <n v="2.5590119E7"/>
        <n v="5.829783E7"/>
        <n v="1.5935068E7"/>
        <n v="7.0236496E7"/>
        <n v="8.4244877E7"/>
        <n v="186354.0"/>
        <n v="1.9118247E7"/>
        <n v="8.5463309E7"/>
        <n v="171988.0"/>
        <n v="3.7882551E7"/>
        <n v="1.02678089E8"/>
        <n v="3.8230435E7"/>
        <n v="12055.0"/>
        <n v="2.1805126E8"/>
        <n v="1.1529368E7"/>
        <n v="1.9281235E7"/>
        <n v="1.0556196E7"/>
        <n v="3.1691811E7"/>
        <n v="3.0195698E8"/>
        <n v="1.14195633E8"/>
        <n v="3.40478898E8"/>
        <n v="9094451.0"/>
        <n v="95016.0"/>
        <n v="6167817.0"/>
        <n v="5.1697449E7"/>
        <n v="6350058.0"/>
        <n v="4919896.0"/>
        <n v="306715.0"/>
        <n v="1.0197884E8"/>
        <n v="6643.0"/>
        <n v="8735529.0"/>
        <n v="2.2326247E7"/>
        <n v="532988.0"/>
        <n v="274661.0"/>
        <n v="2.8501651E7"/>
        <n v="3.5231365E7"/>
        <n v="1.17541E8"/>
        <n v="1.4817E8"/>
        <n v="229311.0"/>
        <n v="1.696939E7"/>
        <n v="4.8068396E7"/>
        <n v="1.95000874E8"/>
        <n v="1.02315545E8"/>
        <n v="4.9392095E7"/>
        <n v="6.1644321E7"/>
        <n v="4.0066497E7"/>
        <n v="2.0801344E7"/>
        <n v="2.0999103E7"/>
        <n v="1.5854988E7"/>
        <n v="5.7637485E7"/>
        <n v="1.0305534E7"/>
        <n v="1.58115031E8"/>
        <n v="4.016808E7"/>
        <n v="7659747.0"/>
        <n v="3.0659817E7"/>
        <n v="1.20618403E8"/>
        <n v="3.8037513E7"/>
        <n v="4.3982842E7"/>
        <n v="8.0033643E7"/>
        <n v="3.1179516E7"/>
        <n v="9.0353764E7"/>
        <n v="4.27E7"/>
        <n v="8.43E7"/>
        <n v="5.9889948E7"/>
        <n v="1.77343675E8"/>
        <n v="1.27175354E8"/>
        <n v="6.8642452E7"/>
        <n v="9402410.0"/>
        <n v="2.0566327E7"/>
        <n v="5.842265E7"/>
        <n v="1.2212417E7"/>
        <n v="4357000.0"/>
        <n v="2.93501675E8"/>
        <n v="1.0654581E7"/>
        <n v="3.3244684E7"/>
        <n v="5.1768623E7"/>
        <n v="442638.0"/>
        <n v="1.07285004E8"/>
        <n v="4.5489752E7"/>
        <n v="7.0083519E7"/>
        <n v="609042.0"/>
        <n v="2.0257E7"/>
        <n v="2711210.0"/>
        <n v="3.2055248E7"/>
        <n v="121972.0"/>
        <n v="1.19793567E8"/>
        <n v="4.38E7"/>
        <n v="4.60935665E8"/>
        <n v="1247453.0"/>
        <n v="3.1704416E7"/>
        <n v="3.7911876E7"/>
        <n v="5.0007168E7"/>
        <n v="2849142.0"/>
        <n v="2.6404753E7"/>
        <n v="3749061.0"/>
        <n v="3.022264E7"/>
        <n v="2.3272306E7"/>
        <n v="2.34277056E8"/>
        <n v="4884663.0"/>
        <n v="2.4104113E7"/>
        <n v="8026971.0"/>
        <n v="8855646.0"/>
        <n v="4.63E7"/>
        <n v="1011054.0"/>
        <n v="8070311.0"/>
        <n v="3.36530303E8"/>
        <n v="2.92568851E8"/>
        <n v="592014.0"/>
        <n v="5.6536016E7"/>
        <n v="1.8821279E7"/>
        <n v="63260.0"/>
        <n v="1.33382309E8"/>
        <n v="39852.0"/>
        <n v="1.02413606E8"/>
        <n v="8.0276912E7"/>
        <n v="1.9087124E8"/>
        <n v="8.824622E7"/>
        <n v="5.2008288E7"/>
        <n v="1.03E7"/>
        <n v="3.8509342E7"/>
        <n v="8.3552429E7"/>
        <n v="4.68E7"/>
        <n v="4.67E7"/>
        <n v="4.1300105E7"/>
        <n v="9.3307796E7"/>
        <n v="1.9076815E7"/>
        <n v="3.7023395E7"/>
        <n v="1.6667084E7"/>
        <n v="7156725.0"/>
        <n v="6.9688384E7"/>
        <n v="2.4985612E7"/>
        <n v="2.7758465E7"/>
        <n v="1.13330342E8"/>
        <n v="634277.0"/>
        <n v="1.28769345E8"/>
        <n v="3.3828318E7"/>
        <n v="5725.0"/>
        <n v="8279017.0"/>
        <n v="3.9989008E7"/>
        <n v="5.9035104E7"/>
        <n v="4.7396698E7"/>
        <n v="3.0028592E7"/>
        <n v="1.8252684E7"/>
        <n v="1.00241322E8"/>
        <n v="6531491.0"/>
        <n v="5409517.0"/>
        <n v="2.4407944E7"/>
        <n v="1.7797316E7"/>
        <n v="2.2717758E7"/>
        <n v="1.15802596E8"/>
        <n v="5.1676606E7"/>
        <n v="173066.0"/>
        <n v="2.1129348E7"/>
        <n v="3.05388685E8"/>
        <n v="439162.0"/>
        <n v="5.6114221E7"/>
        <n v="2.6183197E7"/>
        <n v="1.67007184E8"/>
        <n v="4.7474112E7"/>
        <n v="1689999.0"/>
        <n v="3.4604054E7"/>
        <n v="1.0068588E8"/>
        <n v="4.2638165E7"/>
        <n v="1.283E8"/>
        <n v="7267324.0"/>
        <n v="2.9997095E7"/>
        <n v="5.00033E7"/>
        <n v="3588432.0"/>
        <n v="3.9511038E7"/>
        <n v="6.3826569E7"/>
        <n v="6114237.0"/>
        <n v="7458269.0"/>
        <n v="2365931.0"/>
        <n v="36497.0"/>
        <n v="3.7899638E7"/>
        <n v="54606.0"/>
        <n v="669276.0"/>
        <n v="177840.0"/>
        <n v="144583.0"/>
        <n v="1.5818967E7"/>
        <n v="4.58991599E8"/>
        <n v="1865774.0"/>
        <n v="4.5542421E7"/>
        <n v="1.9170001E7"/>
        <n v="1.518E7"/>
        <n v="721.0"/>
        <n v="2.52447E7"/>
        <n v="2.56E7"/>
        <n v="7.7679638E7"/>
        <n v="5.2543632E7"/>
        <n v="6044618.0"/>
        <n v="101055.0"/>
        <n v="4170647.0"/>
        <n v="8.1593527E7"/>
        <n v="8.7856565E7"/>
        <n v="2.3219748E7"/>
        <n v="3.6447959E7"/>
        <n v="1.83635922E8"/>
        <n v="3.776008E7"/>
        <n v="1512815.0"/>
        <n v="9664316.0"/>
        <n v="2.6003149E7"/>
        <n v="1.11505642E8"/>
        <n v="5.082094E7"/>
        <n v="3.0993544E7"/>
        <n v="144431.0"/>
        <n v="9.08E7"/>
        <n v="1.0429707E7"/>
        <n v="2.0488579E7"/>
        <n v="5.8879132E7"/>
        <n v="5.6816662E7"/>
        <n v="3.2522352E7"/>
        <n v="1.3854E7"/>
        <n v="1309849.0"/>
        <n v="1.0494494E7"/>
        <n v="128486.0"/>
        <n v="1.41E7"/>
        <n v="6409206.0"/>
        <n v="5.5585389E7"/>
        <n v="1.64435221E8"/>
        <n v="1.2784713E7"/>
        <n v="2.0803237E7"/>
        <n v="1.1546543E7"/>
        <n v="7.0011073E7"/>
        <n v="298110.0"/>
        <n v="2.0101861E7"/>
        <n v="8.2528097E7"/>
        <n v="1.20776832E8"/>
        <n v="5.2700832E7"/>
        <n v="8324748.0"/>
        <n v="1.61317423E8"/>
        <n v="7.5370763E7"/>
        <n v="3.744218E7"/>
        <n v="3074838.0"/>
        <n v="9.3375151E7"/>
        <n v="4771000.0"/>
        <n v="480314.0"/>
        <n v="1.02176165E8"/>
        <n v="1.6779636E7"/>
        <n v="6201757.0"/>
        <n v="6.72663E7"/>
        <n v="568695.0"/>
        <n v="1.00169068E8"/>
        <n v="1.7266505E7"/>
        <n v="1.6027866E7"/>
        <n v="2.26138454E8"/>
        <n v="1.9480739E7"/>
        <n v="1.40015224E8"/>
        <n v="1.721808E7"/>
        <n v="1.25548685E8"/>
        <n v="6200756.0"/>
        <n v="3.8048637E7"/>
        <n v="5709616.0"/>
        <n v="1.4131298E7"/>
        <n v="1641788.0"/>
        <n v="8.8658172E7"/>
        <n v="1.768367E7"/>
        <n v="4.036353E7"/>
        <n v="2.5871834E7"/>
        <n v="5887457.0"/>
        <n v="3.56784E8"/>
        <n v="19539.0"/>
        <n v="1.34218018E8"/>
        <n v="1.01087161E8"/>
        <n v="3000000.0"/>
        <n v="4.159783E7"/>
        <n v="1.3630226E7"/>
        <n v="7605668.0"/>
        <n v="1.4370421E8"/>
        <n v="3.4014398E7"/>
        <n v="9975684.0"/>
        <n v="1.1694528E7"/>
        <n v="1.0028969E8"/>
        <n v="9.5308367E7"/>
        <n v="3.1155435E7"/>
        <n v="2.50863268E8"/>
        <n v="7.6270454E7"/>
        <n v="1.5171475E7"/>
        <n v="2.42765E7"/>
        <n v="6543194.0"/>
        <n v="3.4963967E7"/>
        <n v="1.5549702E7"/>
        <n v="3.0157016E7"/>
        <n v="3058380.0"/>
        <n v="3.3631221E7"/>
        <n v="3.4507079E7"/>
        <n v="1.773857E7"/>
        <n v="3093491.0"/>
        <n v="3609278.0"/>
        <n v="1276984.0"/>
        <n v="1.4989761E7"/>
        <n v="8.334892E7"/>
        <n v="3.4636443E7"/>
        <n v="2.0763013E7"/>
        <n v="127144.0"/>
        <n v="3.4350553E7"/>
        <n v="3.0324946E7"/>
        <n v="1.596E8"/>
        <n v="1.84208848E8"/>
        <n v="1.44833357E8"/>
        <n v="2.62030663E8"/>
        <n v="1357042.0"/>
        <n v="8378141.0"/>
        <n v="8.8625922E7"/>
        <n v="5.9847242E7"/>
        <n v="1.34006721E8"/>
        <n v="464655.0"/>
        <n v="3.9008741E7"/>
        <n v="6.4685359E7"/>
        <n v="1.33668525E8"/>
        <n v="2.57704099E8"/>
        <n v="322157.0"/>
        <n v="1.043122E7"/>
        <n v="1.66112167E8"/>
        <n v="1.2560336E8"/>
        <n v="1.4348123E7"/>
        <n v="1.00468793E8"/>
        <n v="2.2531698E7"/>
        <n v="1.97171806E8"/>
        <n v="2246000.0"/>
        <n v="4.5802315E7"/>
        <n v="1.0014234E7"/>
        <n v="1.0955425E7"/>
        <n v="4.48130642E8"/>
        <n v="1.0114315E7"/>
        <n v="6.354002E7"/>
        <n v="1.32373442E8"/>
        <n v="5383834.0"/>
        <n v="1.6102927E8"/>
        <n v="1.9548064E7"/>
        <n v="3.13837577E8"/>
        <n v="13751.0"/>
        <n v="5.9573085E7"/>
        <n v="1.5045676E7"/>
        <n v="5.1758599E7"/>
        <n v="2938208.0"/>
        <n v="6.4572496E7"/>
        <n v="1.17559438E8"/>
        <n v="6.0154431E7"/>
        <n v="3.8432823E7"/>
        <n v="5.0041732E7"/>
        <n v="3047539.0"/>
        <n v="1.6459004E7"/>
        <n v="7.88E7"/>
        <n v="5.8336565E7"/>
        <n v="7837632.0"/>
        <n v="1.0499968E7"/>
        <n v="2.0167424E7"/>
        <n v="352786.0"/>
        <n v="4.5207112E7"/>
        <n v="2.4343673E7"/>
        <n v="8.0E7"/>
        <n v="1.00328194E8"/>
        <n v="7382993.0"/>
        <n v="7.0224196E7"/>
        <n v="4.5996718E7"/>
        <n v="1.1169531E7"/>
        <n v="6.4001297E7"/>
        <n v="1.29734803E8"/>
        <n v="1474508.0"/>
        <n v="3.33130696E8"/>
        <n v="1056102.0"/>
        <n v="1.72620724E8"/>
        <n v="1.62792677E8"/>
        <n v="4.7536959E7"/>
        <n v="4.1482207E7"/>
        <n v="3.8916903E7"/>
        <n v="2601847.0"/>
        <n v="5.9617068E7"/>
        <n v="145540.0"/>
        <n v="2.3225911E7"/>
        <n v="7.0906973E7"/>
        <n v="1430185.0"/>
        <n v="2.8064226E7"/>
        <n v="3752725.0"/>
        <n v="4063859.0"/>
        <n v="2.0259297E7"/>
        <n v="5.3133888E7"/>
        <n v="1.5408822E7"/>
        <n v="9.0567722E7"/>
        <n v="3.6985501E7"/>
        <n v="1.9976073E7"/>
        <n v="28870.0"/>
        <n v="1.96573705E8"/>
        <n v="418953.0"/>
        <n v="9.0356857E7"/>
        <n v="2331318.0"/>
        <n v="2.4103594E7"/>
        <n v="4.3601508E7"/>
        <n v="7.251536E7"/>
        <n v="1.6168741E7"/>
        <n v="1.3376506E7"/>
        <n v="3100650.0"/>
        <n v="1.08521835E8"/>
        <n v="2.4881E7"/>
        <n v="4.3532294E7"/>
        <n v="1.91450875E8"/>
        <n v="5.6715371E7"/>
        <n v="3.95526E7"/>
        <n v="2.7277055E7"/>
        <n v="1.0139254E7"/>
        <n v="4.020302E7"/>
        <n v="4.774861E7"/>
        <n v="1.4567883E7"/>
        <n v="3.1836745E7"/>
        <n v="399879.0"/>
        <n v="2.92979556E8"/>
        <n v="1.07100855E8"/>
        <n v="1.3337299E7"/>
        <n v="6.0328558E7"/>
        <n v="5.3245055E7"/>
        <n v="2203641.0"/>
        <n v="3.3592415E7"/>
        <n v="2.6421314E7"/>
        <n v="237301.0"/>
        <n v="5.0752337E7"/>
        <n v="515005.0"/>
        <n v="1.4018364E7"/>
        <n v="4.6978995E7"/>
        <n v="1.06593296E8"/>
        <n v="4.140747E7"/>
        <n v="1.9057024E7"/>
        <n v="6.3536011E7"/>
        <n v="2208939.0"/>
        <n v="2474000.0"/>
        <n v="3.4964818E7"/>
        <n v="1.10332737E8"/>
        <n v="1.22815E7"/>
        <n v="3.2279955E7"/>
        <n v="4.730755E7"/>
        <n v="1.27214072E8"/>
        <n v="1.6115878E7"/>
        <n v="2207975.0"/>
        <n v="673780.0"/>
        <n v="3.2885565E7"/>
        <n v="9.1457688E7"/>
        <n v="1.8967571E7"/>
        <n v="5.2000688E7"/>
        <n v="6.3143812E7"/>
        <n v="3.4017854E7"/>
        <n v="2.8734552E7"/>
        <n v="3.606491E7"/>
        <n v="2.600061E7"/>
        <n v="2.292739E7"/>
        <n v="5333658.0"/>
        <n v="3.215441E7"/>
        <n v="1789892.0"/>
        <n v="3.4912982E7"/>
        <n v="686383.0"/>
        <n v="2.34729E7"/>
        <n v="1.5655665E7"/>
        <n v="1523883.0"/>
        <n v="2.2525921E7"/>
        <n v="9437933.0"/>
        <n v="7993039.0"/>
        <n v="1.4218868E7"/>
        <n v="1.50350192E8"/>
        <n v="7.4787599E7"/>
        <n v="5.1185897E7"/>
        <n v="6.6808615E7"/>
        <n v="7.7324422E7"/>
        <n v="1.76483808E8"/>
        <n v="3.1141074E7"/>
        <n v="3.001299E7"/>
        <n v="8.5416609E7"/>
        <n v="8786715.0"/>
        <n v="6.1693523E7"/>
        <n v="4435083.0"/>
        <n v="1.32014112E8"/>
        <n v="1.45E7"/>
        <n v="6.820819E7"/>
        <n v="2.19613391E8"/>
        <n v="1229197.0"/>
        <n v="9123834.0"/>
        <n v="8586376.0"/>
        <n v="5.822912E7"/>
        <n v="2848578.0"/>
        <n v="9.7030725E7"/>
        <n v="45250.0"/>
        <n v="126387.0"/>
        <n v="395592.0"/>
        <n v="4.2044321E7"/>
        <n v="1.4451231E8"/>
        <n v="1.7609982E7"/>
        <n v="3.2645546E7"/>
        <n v="8.1159365E7"/>
        <n v="4.23032628E8"/>
        <n v="1.37963328E8"/>
        <n v="7.5605492E7"/>
        <n v="4.7811275E7"/>
        <n v="26345.0"/>
        <n v="1.79020854E8"/>
        <n v="1.89412677E8"/>
        <n v="1.5369573E7"/>
        <n v="8828771.0"/>
        <n v="4.8043505E7"/>
        <n v="6.5010106E7"/>
        <n v="3.2101E7"/>
        <n v="3.3000377E7"/>
        <n v="2.5031037E7"/>
        <n v="511920.0"/>
        <n v="9652000.0"/>
        <n v="1.48313048E8"/>
        <n v="1.7474107E7"/>
        <n v="1687311.0"/>
        <n v="4741987.0"/>
        <n v="6239558.0"/>
        <n v="4956401.0"/>
        <n v="6.6489425E7"/>
        <n v="99147.0"/>
        <n v="263365.0"/>
        <n v="2.68488329E8"/>
        <n v="2.34903076E8"/>
        <n v="2.0241395E7"/>
        <n v="1.7237244E7"/>
        <n v="1.33E7"/>
        <n v="9.4175854E7"/>
        <n v="7.320934E7"/>
        <n v="7.6846624E7"/>
        <n v="1.3214255E7"/>
        <n v="2.7154426E7"/>
        <n v="4350774.0"/>
        <n v="4.7034272E7"/>
        <n v="8119205.0"/>
        <n v="5.03E7"/>
        <n v="3.2E7"/>
        <n v="6047856.0"/>
        <n v="3.3685268E7"/>
        <n v="3.1501218E7"/>
        <n v="2.5240988E7"/>
        <n v="49526.0"/>
        <n v="3.213183E7"/>
        <n v="1.3401683E7"/>
        <n v="1.63192114E8"/>
        <n v="3.7371385E7"/>
        <n v="5.252833E7"/>
        <n v="3895664.0"/>
        <n v="2.6082914E7"/>
        <n v="1028658.0"/>
        <n v="4.7105085E7"/>
        <n v="3.8176108E7"/>
        <n v="20186.0"/>
        <n v="30084.0"/>
        <n v="3.2453345E7"/>
        <n v="1064277.0"/>
        <n v="8.5911262E7"/>
        <n v="1.38614544E8"/>
        <n v="1666262.0"/>
        <n v="8.9732035E7"/>
        <n v="1.6964743E7"/>
        <n v="3.34185206E8"/>
        <n v="375723.0"/>
        <n v="8.2931301E7"/>
        <n v="2.4397469E7"/>
        <n v="1.3008928E7"/>
        <n v="273420.0"/>
        <n v="2.4475416E7"/>
        <n v="1.1284657E7"/>
        <n v="12667.0"/>
        <n v="4.07999255E8"/>
        <n v="2.7515786E7"/>
        <n v="5.181419E7"/>
        <n v="4064333.0"/>
        <n v="1.6702864E7"/>
        <n v="1089445.0"/>
        <n v="2.1176322E7"/>
        <n v="1.21248145E8"/>
        <n v="2.0422207E7"/>
        <n v="8888355.0"/>
        <n v="3.4531832E7"/>
        <n v="5.017319E7"/>
        <n v="1.4888028E7"/>
        <n v="2344847.0"/>
        <n v="3.4293771E7"/>
        <n v="3.2774834E7"/>
        <n v="6.7962333E7"/>
        <n v="2.85761243E8"/>
        <n v="5.7469179E7"/>
        <n v="5.0016394E7"/>
        <n v="3.939975E7"/>
        <n v="5923044.0"/>
        <n v="2.7296514E7"/>
        <n v="1.45771527E8"/>
        <n v="225377.0"/>
        <n v="5.4215416E7"/>
        <n v="75078.0"/>
        <n v="1.5527125E7"/>
        <n v="7262288.0"/>
        <n v="1.7843379E7"/>
        <n v="1040879.0"/>
        <n v="7825820.0"/>
        <n v="1.14053579E8"/>
        <n v="4040588.0"/>
        <n v="1.0397365E7"/>
        <n v="2.3292105E7"/>
        <n v="5792822.0"/>
        <n v="1.4838378E8"/>
        <n v="1.3350177E7"/>
        <n v="1.7803796E7"/>
        <n v="2.5178165E7"/>
        <n v="5731103.0"/>
        <n v="1.87165546E8"/>
        <n v="727883.0"/>
        <n v="5.7366262E7"/>
        <n v="8.9706988E7"/>
        <n v="7.4608545E7"/>
        <n v="3.5927406E7"/>
        <n v="4.7887943E7"/>
        <n v="2.6E8"/>
        <n v="3.756744E7"/>
        <n v="4859475.0"/>
        <n v="3.0651422E7"/>
        <n v="3.5143332E7"/>
        <n v="1.493857E7"/>
        <n v="7.6806312E7"/>
        <n v="700000.0"/>
        <n v="6.6636385E7"/>
        <n v="1.63947053E8"/>
        <n v="1.47637474E8"/>
        <n v="1.6901126E7"/>
        <n v="2.874757E7"/>
        <n v="2035566.0"/>
        <n v="1500000.0"/>
        <n v="4.2168445E7"/>
        <n v="2.4430272E7"/>
        <n v="6.0874615E7"/>
        <n v="5.7176582E7"/>
        <n v="5.8700247E7"/>
        <n v="8326035.0"/>
        <n v="1.2620332E8"/>
        <n v="4.365E7"/>
        <n v="4.7553512E7"/>
        <n v="1.16724075E8"/>
        <n v="1.02515793E8"/>
        <n v="2.09019489E8"/>
        <n v="1.6300302E7"/>
        <n v="1.61536E7"/>
        <n v="8.2226474E7"/>
        <n v="6.442365E7"/>
        <n v="2.2551E7"/>
        <n v="1.4114488E7"/>
        <n v="379643.0"/>
        <n v="4.9121934E7"/>
        <n v="8.3906114E7"/>
        <n v="8355815.0"/>
        <n v="2.7663982E7"/>
        <n v="3.2598931E7"/>
        <n v="3.6696761E7"/>
        <n v="19959.0"/>
        <n v="1.0137502E7"/>
        <n v="2.48E7"/>
        <n v="5018450.0"/>
        <n v="1.06807667E8"/>
        <n v="4.9875589E7"/>
        <n v="7.8745923E7"/>
        <n v="1.28067808E8"/>
        <n v="1.09243478E8"/>
        <n v="133778.0"/>
        <n v="8129455.0"/>
        <n v="3.2694788E7"/>
        <n v="4.4134898E7"/>
        <n v="623374.0"/>
        <n v="1.03001286E8"/>
        <n v="1.06793915E8"/>
        <n v="8.002174E7"/>
        <n v="3.051394E7"/>
        <n v="610991.0"/>
        <n v="1.04007828E8"/>
        <n v="9.7360069E7"/>
        <n v="1.727898E7"/>
        <n v="5.5747724E7"/>
        <n v="3885134.0"/>
        <n v="2.0113965E7"/>
        <n v="3.3E7"/>
        <n v="2.5052E7"/>
        <n v="2.4138847E7"/>
        <n v="277233.0"/>
        <n v="47329.0"/>
        <n v="5.4116191E7"/>
        <n v="1.1538204E7"/>
        <n v="6.7823573E7"/>
        <n v="9286314.0"/>
        <n v="1.3596911E7"/>
        <n v="1.3998282E7"/>
        <n v="6.7061228E7"/>
        <n v="7.575467E7"/>
        <n v="1.364E7"/>
        <n v="6.026934E7"/>
        <n v="5.0668906E7"/>
        <n v="2315683.0"/>
        <n v="3.06124059E8"/>
        <n v="2.0998709E7"/>
        <n v="1.8081626E7"/>
        <n v="2.4127895E7"/>
        <n v="2.5571351E7"/>
        <n v="1.76781728E8"/>
        <n v="6.1094903E7"/>
        <n v="3.8624E7"/>
        <n v="4476235.0"/>
        <n v="1.1030963E7"/>
        <n v="671240.0"/>
        <n v="6.6941559E7"/>
        <n v="6.52177271E8"/>
        <n v="3.1054924E7"/>
        <n v="2.320944E7"/>
        <n v="6.3231524E7"/>
        <n v="2.365E7"/>
        <n v="7.3343413E7"/>
        <n v="2.2264487E7"/>
        <n v="9.3607673E7"/>
        <n v="1.9406406E7"/>
        <n v="2.4375436E7"/>
        <n v="1.1631245E7"/>
        <n v="8.12575E7"/>
        <n v="5.3574088E7"/>
        <n v="1.971993E7"/>
        <n v="1.9316646E7"/>
        <n v="1.628436E7"/>
        <n v="8.0014842E7"/>
        <n v="3.32E7"/>
        <n v="7.0360285E7"/>
        <n v="3.2721635E7"/>
        <n v="1.1956207E7"/>
        <n v="453079.0"/>
        <n v="1.10175871E8"/>
        <n v="3.3386128E7"/>
        <n v="1.6930884E7"/>
        <n v="447750.0"/>
        <n v="1.9421271E7"/>
        <n v="1.2181484E7"/>
        <n v="3076425.0"/>
        <n v="8.876172E7"/>
        <n v="6.0008303E7"/>
        <n v="1.87670866E8"/>
        <n v="2.100918E7"/>
        <n v="1891821.0"/>
        <n v="2.661659E7"/>
        <n v="1.6247775E7"/>
        <n v="9.14E7"/>
        <n v="1.71769E7"/>
        <n v="1071240.0"/>
        <n v="1.2282677E7"/>
        <n v="4.03706375E8"/>
        <n v="4273372.0"/>
        <n v="4.47932E7"/>
        <n v="598645.0"/>
        <n v="3.3643461E7"/>
        <n v="2.2734486E7"/>
        <n v="1.548354E7"/>
        <n v="1325073.0"/>
        <n v="7417210.0"/>
        <n v="8.7666629E7"/>
        <n v="3.17011114E8"/>
        <n v="6.5948711E7"/>
        <n v="3325638.0"/>
        <n v="6.66E7"/>
        <n v="2.7457409E7"/>
        <n v="6.3910583E7"/>
        <n v="2.899545E7"/>
        <n v="175370.0"/>
        <n v="1.6264475E7"/>
        <n v="195888.0"/>
        <n v="2.33630478E8"/>
        <n v="7.2266306E7"/>
        <n v="1.8001174E8"/>
        <n v="349618.0"/>
        <n v="7.1148699E7"/>
        <n v="2.7796042E7"/>
        <n v="5.1396781E7"/>
        <n v="1.6699684E7"/>
        <n v="1.0134754E7"/>
        <n v="1.3012762E8"/>
        <n v="1.0539414E7"/>
        <n v="7.66E7"/>
        <n v="5.4557348E7"/>
        <n v="1821983.0"/>
        <n v="4535117.0"/>
        <n v="1.01334374E8"/>
        <n v="5.3955614E7"/>
        <n v="7.803162E7"/>
        <n v="2600000.0"/>
        <n v="4.4469602E7"/>
        <n v="3073392.0"/>
        <n v="7881335.0"/>
        <n v="4.0041683E7"/>
        <n v="1.082E8"/>
        <n v="11835.0"/>
        <n v="8.4518155E7"/>
        <n v="8.9296573E7"/>
        <n v="7.9948113E7"/>
        <n v="1.53620822E8"/>
        <n v="20380.0"/>
        <n v="1.3092E7"/>
        <n v="1.7544812E7"/>
        <n v="4.4606335E7"/>
        <n v="1.29995817E8"/>
        <n v="6.6950483E7"/>
        <n v="5005.0"/>
        <n v="860002.0"/>
        <n v="6.4255243E7"/>
        <n v="5.0189179E7"/>
        <n v="1.91796233E8"/>
        <n v="10696.0"/>
        <n v="3.04360277E8"/>
        <n v="6.620792E7"/>
        <n v="1602466.0"/>
        <n v="2.5E7"/>
        <n v="1.86564E7"/>
        <n v="8.6049418E7"/>
        <n v="1.1466088E7"/>
        <n v="1.6929123E7"/>
        <n v="1.62804648E8"/>
        <n v="2360184.0"/>
        <n v="1.3903262E7"/>
        <n v="7.130976E7"/>
        <n v="3.0063805E7"/>
        <n v="2223990.0"/>
        <n v="7.5072454E7"/>
        <n v="1.2469811E7"/>
        <n v="1.17528646E8"/>
        <n v="7059537.0"/>
        <n v="800000.0"/>
        <n v="1.4479776E7"/>
        <n v="4.5063889E7"/>
        <n v="6448817.0"/>
        <n v="1.6323969E7"/>
        <n v="7.0836296E7"/>
        <n v="1729969.0"/>
        <n v="5.7386369E7"/>
        <n v="5217498.0"/>
        <n v="1.00768056E8"/>
        <n v="3.5183792E7"/>
        <n v="9528092.0"/>
        <n v="3.4872293E7"/>
        <n v="5.4257433E7"/>
        <n v="9821335.0"/>
        <n v="5.5291815E7"/>
        <n v="2.15397307E8"/>
        <n v="7826.0"/>
        <n v="6.8525609E7"/>
        <n v="4.0247512E7"/>
        <n v="333658.0"/>
        <n v="6.5007045E7"/>
        <n v="1.3264986E7"/>
        <n v="4.2272747E7"/>
        <n v="1.5062898E7"/>
        <n v="198407.0"/>
        <n v="2.1197315E7"/>
        <n v="1.6684352E7"/>
        <n v="2.6583369E7"/>
        <n v="92401.0"/>
        <n v="7.4484168E7"/>
        <n v="5.88E7"/>
        <n v="4681503.0"/>
        <n v="1.6248701E7"/>
        <n v="5.0549107E7"/>
        <n v="8.4749884E7"/>
        <n v="3.6581633E7"/>
        <n v="1.0555348E7"/>
        <n v="1.18153533E8"/>
        <n v="2.09364921E8"/>
        <n v="1508689.0"/>
        <n v="1.5738632E7"/>
        <n v="1.76387405E8"/>
        <n v="7.865143E7"/>
        <n v="304124.0"/>
        <n v="2.06360018E8"/>
        <n v="5.2580895E7"/>
        <n v="6.049156E7"/>
        <n v="4.007366E8"/>
        <n v="1.9472057E7"/>
        <n v="5.9696176E7"/>
        <n v="77231.0"/>
        <n v="6.526901E7"/>
        <n v="261481.0"/>
        <n v="206400.0"/>
        <n v="1.3555988E7"/>
        <n v="7.9363785E7"/>
        <n v="1943649.0"/>
        <n v="6000000.0"/>
        <n v="2800000.0"/>
        <n v="6109075.0"/>
        <n v="3.0857814E7"/>
        <n v="258113.0"/>
        <n v="4.7E7"/>
        <n v="3.18759914E8"/>
        <n v="1.08244774E8"/>
        <n v="3.7101011E7"/>
        <n v="2926565.0"/>
        <n v="1.2693621E7"/>
        <n v="2221994.0"/>
        <n v="4.9851591E7"/>
        <n v="1.1663131E8"/>
        <n v="1.7292381E7"/>
        <n v="2.7854896E7"/>
        <n v="71904.0"/>
        <n v="3.0306281E7"/>
        <n v="15278.0"/>
        <n v="1.91449475E8"/>
        <n v="3064356.0"/>
        <n v="1.0836E8"/>
        <n v="3.5286428E7"/>
        <n v="2.1370057E7"/>
        <n v="1.4469428E7"/>
        <n v="14873.0"/>
        <n v="4584.0"/>
        <n v="7.56E7"/>
        <n v="6.6676062E7"/>
        <n v="6.6466372E7"/>
        <n v="4443403.0"/>
        <n v="4692814.0"/>
        <n v="1.280119E7"/>
        <n v="3.3328051E7"/>
        <n v="4.6836394E7"/>
        <n v="5654777.0"/>
        <n v="212285.0"/>
        <n v="5.1097664E7"/>
        <n v="6.5623128E7"/>
        <n v="6.9772969E7"/>
        <n v="4700361.0"/>
        <n v="7.9711678E7"/>
        <n v="5.594283E7"/>
        <n v="3904982.0"/>
        <n v="4157491.0"/>
        <n v="4.8423368E7"/>
        <n v="1.26149655E8"/>
        <n v="4.1609593E7"/>
        <n v="4.6338728E7"/>
        <n v="2.9302097E7"/>
        <n v="19348.0"/>
        <n v="3071947.0"/>
        <n v="9.5149435E7"/>
        <n v="611709.0"/>
        <n v="1.37340146E8"/>
        <n v="6.7286731E7"/>
        <n v="75727.0"/>
        <n v="3.6976367E7"/>
        <n v="12996.0"/>
        <n v="3.1397498E7"/>
        <n v="1339152.0"/>
        <n v="5.293713E7"/>
        <n v="1.26546825E8"/>
        <n v="3.409964E7"/>
        <n v="2.15395021E8"/>
        <n v="5.1533608E7"/>
        <n v="2.5117498E7"/>
        <n v="226792.0"/>
        <n v="1.8387576E8"/>
        <n v="8.63E7"/>
        <n v="2.0275446E7"/>
        <n v="4.02076689E8"/>
        <n v="4.5670855E7"/>
        <n v="5600000.0"/>
        <n v="1.122794E7"/>
        <n v="8535575.0"/>
        <n v="4734235.0"/>
        <n v="6601079.0"/>
        <n v="23091.0"/>
        <n v="2.3089926E7"/>
        <n v="6.0507228E7"/>
        <n v="3.1829818E8"/>
        <n v="1.31564731E8"/>
        <n v="1738692.0"/>
        <n v="1647780.0"/>
        <n v="4.745645E7"/>
        <n v="6002756.0"/>
        <n v="2222647.0"/>
        <n v="703002.0"/>
        <n v="3.6874745E7"/>
        <n v="5.6437947E7"/>
        <n v="1.80191634E8"/>
        <n v="5.143116E7"/>
        <n v="1.8934858E7"/>
        <n v="5.8220776E7"/>
        <n v="4554569.0"/>
        <n v="7455447.0"/>
        <n v="4.5856732E7"/>
        <n v="3287435.0"/>
        <n v="1.7951431E7"/>
        <n v="2.1569041E7"/>
        <n v="6.3319509E7"/>
        <n v="3.4746109E7"/>
        <n v="3.9462438E7"/>
        <n v="3.7652565E7"/>
        <n v="2.13079163E8"/>
        <n v="4958.0"/>
        <n v="1818681.0"/>
        <n v="1.0580752E8"/>
        <n v="8.3299761E7"/>
        <n v="3.9737645E7"/>
        <n v="4.30956E7"/>
        <n v="652526.0"/>
        <n v="1.07515297E8"/>
        <n v="548934.0"/>
        <n v="4.9551662E7"/>
        <n v="1.11544445E8"/>
        <n v="4857376.0"/>
        <n v="768045.0"/>
        <n v="3.1655091E7"/>
        <n v="1.2995673E7"/>
        <n v="7.1069884E7"/>
        <n v="100675.0"/>
        <n v="112935.0"/>
        <n v="117190.0"/>
        <n v="5.999276E7"/>
        <n v="1.2055108E7"/>
        <n v="4.9122319E7"/>
        <n v="2557668.0"/>
        <n v="2.16366733E8"/>
        <n v="3.2230907E7"/>
        <n v="1.0640645E7"/>
        <n v="4.1067398E7"/>
        <n v="1.01111837E8"/>
        <n v="72413.0"/>
        <n v="7.0496802E7"/>
        <n v="1.8313237E8"/>
        <n v="269061.0"/>
        <n v="8742261.0"/>
        <n v="1.39259759E8"/>
        <n v="1186957.0"/>
        <n v="3.80262555E8"/>
        <n v="26871.0"/>
        <n v="4.2019483E7"/>
        <n v="398420.0"/>
        <n v="5.2474616E7"/>
        <n v="6373693.0"/>
        <n v="3.04E7"/>
        <n v="1.5519841E7"/>
        <n v="3.63024263E8"/>
        <n v="1.2459096E8"/>
        <n v="1.17235247E8"/>
        <n v="3.7707719E7"/>
        <n v="96734.0"/>
        <n v="4.1777564E7"/>
        <n v="7757130.0"/>
        <n v="1.43151473E8"/>
        <n v="2000000.0"/>
        <n v="231417.0"/>
        <n v="5.6044241E7"/>
        <n v="85433.0"/>
        <n v="2.2452209E7"/>
        <n v="2.1589307E7"/>
        <n v="1.38339411E8"/>
        <n v="1134049.0"/>
        <n v="4.8814909E7"/>
        <n v="5660084.0"/>
        <n v="7.1844424E7"/>
        <n v="2706659.0"/>
        <n v="5.16E7"/>
        <n v="2694973.0"/>
        <n v="3.62E7"/>
        <n v="2.2526144E7"/>
        <n v="1.3060843E7"/>
        <n v="2300000.0"/>
        <n v="2.803125E7"/>
        <n v="1.2693066E8"/>
        <n v="4.3426961E7"/>
        <n v="3.0306268E7"/>
        <n v="1.34520804E8"/>
        <n v="1.25069696E8"/>
        <n v="1.15648585E8"/>
        <n v="3.6833473E7"/>
        <n v="1050445.0"/>
        <n v="7.4329966E7"/>
        <n v="7.2660029E7"/>
        <n v="3.4126138E7"/>
        <n v="2.5482931E7"/>
        <n v="4930798.0"/>
        <n v="1.70684505E8"/>
        <n v="6.9148997E7"/>
        <n v="371897.0"/>
        <n v="1.6118077E7"/>
        <n v="2.06456431E8"/>
        <n v="1.7120019E7"/>
        <n v="6.23279547E8"/>
        <n v="4.3905746E7"/>
        <n v="2.404249E7"/>
        <n v="5.1019112E7"/>
        <n v="2.0981633E7"/>
        <n v="1.3558739E7"/>
        <n v="2.96623634E8"/>
        <n v="2.91021565E8"/>
        <n v="1.9783777E7"/>
        <n v="7.0235322E7"/>
        <n v="1.37748063E8"/>
        <n v="2.3393765E7"/>
        <n v="1.25332007E8"/>
        <n v="5.6684819E7"/>
        <n v="6.27E7"/>
        <n v="594904.0"/>
        <n v="1.27083765E8"/>
        <n v="4.091183E7"/>
        <n v="1.9059018E7"/>
        <n v="7.6501438E7"/>
        <n v="1.83405771E8"/>
        <n v="2073984.0"/>
        <n v="3.6037909E7"/>
        <n v="2.0315324E7"/>
        <n v="5.302156E7"/>
        <n v="2.2877808E7"/>
        <n v="9.1443253E7"/>
        <n v="1.6377274E7"/>
        <n v="4.1895491E7"/>
        <n v="3.84E7"/>
        <n v="5.0E7"/>
        <n v="2.79794E7"/>
        <n v="3432342.0"/>
        <n v="4109095.0"/>
        <n v="1.79883016E8"/>
        <n v="2.5842E7"/>
        <n v="1.321403E7"/>
        <n v="128978.0"/>
        <n v="8.0034302E7"/>
        <n v="4.0983001E7"/>
        <n v="2.7736779E7"/>
        <n v="1.608861E7"/>
        <n v="6262942.0"/>
        <n v="105943.0"/>
        <n v="2.92000866E8"/>
        <n v="8.9808372E7"/>
        <n v="2.2913677E7"/>
        <n v="5.2418902E7"/>
        <n v="2.7281507E7"/>
        <n v="6.3939454E7"/>
        <n v="7.884513E7"/>
        <n v="7.7862546E7"/>
        <n v="6.5E7"/>
        <n v="1.1560259E7"/>
        <n v="3519627.0"/>
        <n v="5542025.0"/>
        <n v="5664251.0"/>
        <n v="4.8546578E7"/>
        <n v="1.11E7"/>
        <n v="1.41319195E8"/>
        <n v="1.750867E7"/>
        <n v="4.08992272E8"/>
        <n v="5.9699513E7"/>
        <n v="1.6097842E7"/>
        <n v="5.2320979E7"/>
        <n v="9.4822707E7"/>
        <n v="3.47E7"/>
        <n v="2.5040293E7"/>
        <n v="6.7155742E7"/>
        <n v="5.5845943E7"/>
        <n v="7.1897215E7"/>
        <n v="3.1990064E7"/>
        <n v="5.9475623E7"/>
        <n v="2353728.0"/>
        <n v="6712241.0"/>
        <n v="3.200362E7"/>
        <n v="1183354.0"/>
        <n v="4463292.0"/>
        <n v="3468572.0"/>
        <n v="7017178.0"/>
        <n v="3.8119483E7"/>
        <n v="2301777.0"/>
        <n v="4301331.0"/>
        <n v="1.38447667E8"/>
        <n v="1.30313314E8"/>
        <n v="4814244.0"/>
        <n v="3707794.0"/>
        <n v="1.8653615E7"/>
        <n v="2.0400913E7"/>
        <n v="2.1564616E7"/>
        <n v="2.4268828E7"/>
        <n v="2.7829874E7"/>
        <n v="3273588.0"/>
        <n v="2.56386216E8"/>
        <n v="1.0049886E7"/>
        <n v="4.71244E7"/>
        <n v="5.7010853E7"/>
        <n v="3.5799026E7"/>
        <n v="1.5501934E8"/>
        <n v="6144806.0"/>
        <n v="7496522.0"/>
        <n v="7.8009155E7"/>
        <n v="2712293.0"/>
        <n v="3.3583175E7"/>
        <n v="389804.0"/>
        <n v="406035.0"/>
        <n v="5.509283E7"/>
        <n v="8596914.0"/>
        <n v="1.6033556E7"/>
        <n v="4.1543207E7"/>
        <n v="8.238956E7"/>
        <n v="3.7470017E7"/>
        <n v="1.69705587E8"/>
        <n v="1.8381787E7"/>
        <n v="4720371.0"/>
        <n v="1.30512915E8"/>
        <n v="4.5507053E7"/>
        <n v="2.03E7"/>
        <n v="2957978.0"/>
        <n v="94596.0"/>
        <n v="2.6761283E7"/>
        <n v="1.30174897E8"/>
        <n v="2.1378E7"/>
        <n v="3.3422556E7"/>
        <n v="334041.0"/>
        <n v="2.6494611E7"/>
        <n v="2.09805005E8"/>
        <n v="2.4332324E7"/>
        <n v="3607.0"/>
        <n v="1.4793904E7"/>
        <n v="5128124.0"/>
        <n v="1.5712072E7"/>
        <n v="1.2146896E8"/>
        <n v="2.79E7"/>
        <n v="2.45428137E8"/>
        <n v="73548.0"/>
        <n v="2869369.0"/>
        <n v="2.50147615E8"/>
        <n v="3.5537564E7"/>
        <n v="136007.0"/>
        <n v="6.2321039E7"/>
        <n v="16066.0"/>
        <n v="1.69692572E8"/>
        <n v="1.91E7"/>
        <n v="3.9177215E7"/>
        <n v="5.2397389E7"/>
        <n v="1.01470202E8"/>
        <n v="1.6671505E7"/>
        <n v="2.128344E7"/>
        <n v="1.4967182E7"/>
        <n v="4.22783777E8"/>
        <n v="197148.0"/>
        <n v="8.3640426E7"/>
        <n v="1.51E7"/>
        <n v="9.1188905E7"/>
        <n v="4777007.0"/>
        <n v="410388.0"/>
        <n v="6.6468315E7"/>
        <n v="1.3E7"/>
        <n v="1.44E7"/>
        <n v="1.429157E7"/>
        <n v="4131640.0"/>
        <n v="1.37387272E8"/>
        <n v="1.7655201E7"/>
        <n v="902835.0"/>
        <n v="2.17387997E8"/>
        <n v="5005883.0"/>
        <n v="3590010.0"/>
        <n v="1.05264608E8"/>
        <n v="1.1703287E7"/>
        <n v="2.1383298E7"/>
        <n v="7009668.0"/>
        <n v="7689458.0"/>
        <n v="3950029.0"/>
        <n v="3.9532308E7"/>
        <n v="1.32541238E8"/>
        <n v="3.627923E7"/>
        <n v="1.24732962E8"/>
        <n v="252652.0"/>
        <n v="7.4158157E7"/>
        <n v="5.1053787E7"/>
        <n v="7.134693E7"/>
        <n v="41229.0"/>
        <n v="2.0302961E7"/>
        <n v="1.04E7"/>
        <n v="9430988.0"/>
        <n v="1.3052741E7"/>
        <n v="763044.0"/>
        <n v="1.0326062E7"/>
        <n v="6.9304264E7"/>
        <n v="1.8621249E7"/>
        <n v="1.8004225E7"/>
        <n v="1.10222438E8"/>
        <n v="3.236896E7"/>
        <n v="1.0562387E7"/>
        <n v="146072.0"/>
        <n v="5.4322273E7"/>
        <n v="4.3929341E7"/>
        <n v="1.68E7"/>
        <n v="2.8965197E7"/>
        <n v="418268.0"/>
        <n v="9.3749203E7"/>
        <n v="2.804554E7"/>
        <n v="1900725.0"/>
        <n v="1.4375181E7"/>
        <n v="5100000.0"/>
        <n v="2.7053815E7"/>
        <n v="3247816.0"/>
        <n v="3.8232624E7"/>
        <n v="3650677.0"/>
        <n v="454255.0"/>
        <n v="1.4349284E8"/>
        <n v="2.45823397E8"/>
        <n v="3.1670931E7"/>
        <n v="2.1800302E7"/>
        <n v="1.7804273E7"/>
        <n v="3.1569268E7"/>
        <n v="4.23656E7"/>
        <n v="1.02310175E8"/>
        <n v="7.6081498E7"/>
        <n v="1.00292856E8"/>
        <n v="1.16643346E8"/>
        <n v="4.5290318E7"/>
        <n v="4.0137776E7"/>
        <n v="6.5452312E7"/>
        <n v="3799339.0"/>
        <n v="2.6539321E7"/>
        <n v="40557.0"/>
        <n v="9109322.0"/>
        <n v="6.0984028E7"/>
        <n v="1.7605861E7"/>
        <n v="4.2575718E7"/>
        <n v="6301131.0"/>
        <n v="6.2563543E7"/>
        <n v="6842058.0"/>
        <n v="1.5081783E7"/>
        <n v="1.02E7"/>
        <n v="778565.0"/>
        <n v="6.4172251E7"/>
        <n v="1.3651662E7"/>
        <n v="3.7877959E7"/>
        <n v="5.48E7"/>
        <n v="3.3682273E7"/>
        <n v="2.8014536E7"/>
        <n v="1.527968E7"/>
        <n v="1221261.0"/>
        <n v="1.4509682E8"/>
        <n v="617840.0"/>
        <n v="7001720.0"/>
        <n v="3.0E7"/>
        <n v="2.2858926E7"/>
        <n v="532190.0"/>
        <n v="4.4665963E7"/>
        <n v="1.73005002E8"/>
        <n v="1631839.0"/>
        <n v="3060858.0"/>
        <n v="3.5422828E7"/>
        <n v="2.8535768E7"/>
        <n v="1.36019448E8"/>
        <n v="798341.0"/>
        <n v="154077.0"/>
        <n v="9.8895417E7"/>
        <n v="1.2870569E7"/>
        <n v="1.00614858E8"/>
        <n v="8.2670733E7"/>
        <n v="5844929.0"/>
        <n v="8.1687587E7"/>
        <n v="1.49234747E8"/>
        <n v="2.42374454E8"/>
        <n v="5009677.0"/>
        <n v="1.2626905E7"/>
        <n v="1.7674065E8"/>
        <n v="3.5596227E7"/>
        <n v="1.4587732E7"/>
        <n v="1.196549E8"/>
        <n v="2.2450975E7"/>
        <n v="1.4268533E7"/>
        <n v="3.56454367E8"/>
        <n v="1282084.0"/>
        <n v="529766.0"/>
        <n v="7556708.0"/>
        <n v="1.202667E7"/>
        <n v="6.517186E7"/>
        <n v="2.3527955E7"/>
        <n v="617172.0"/>
        <n v="3.5635046E7"/>
        <n v="3.5168677E7"/>
        <n v="7.5305995E7"/>
        <n v="9.0454043E7"/>
        <n v="1.4174654E7"/>
        <n v="3.111126E7"/>
        <n v="5.6729973E7"/>
        <n v="1.31144183E8"/>
        <n v="4496583.0"/>
        <n v="8.6930411E7"/>
        <n v="7434726.0"/>
        <n v="318622.0"/>
        <n v="2040920.0"/>
        <n v="6.1656849E7"/>
        <n v="2.53592E7"/>
        <n v="1.5962471E7"/>
        <n v="6.0400856E7"/>
        <n v="3.1743332E7"/>
        <n v="6.4459316E7"/>
        <n v="2.9781453E7"/>
        <n v="8.1350242E7"/>
        <n v="143000.0"/>
        <n v="295468.0"/>
        <n v="5.3215979E7"/>
        <n v="7.2455275E7"/>
        <n v="906666.0"/>
        <n v="6.7253092E7"/>
        <n v="4.7285499E7"/>
        <n v="2.6896744E7"/>
        <n v="4.445E7"/>
        <n v="1.34821952E8"/>
        <n v="1.26975169E8"/>
        <n v="64286.0"/>
        <n v="7.0327868E7"/>
        <n v="3.09125409E8"/>
        <n v="46495.0"/>
        <n v="48430.0"/>
        <n v="2.5335935E7"/>
        <n v="1.04374107E8"/>
        <n v="1.1041228E7"/>
        <n v="2.8751715E7"/>
        <n v="1.4095303E7"/>
        <n v="9.5632614E7"/>
        <n v="6.3224849E7"/>
        <n v="1.0762178E7"/>
        <n v="1024175.0"/>
        <n v="1.04383624E8"/>
        <n v="3517797.0"/>
        <n v="1.5214959E8"/>
        <n v="3.9778599E7"/>
        <n v="1.1860839E7"/>
        <n v="2.0627372E7"/>
        <n v="2104000.0"/>
        <n v="1.6067035E7"/>
        <n v="3.3037754E7"/>
        <n v="1098224.0"/>
        <n v="1.9067631E7"/>
        <n v="3.368763E7"/>
        <n v="3.255321E7"/>
        <n v="4710455.0"/>
        <n v="1.568102E7"/>
        <n v="6498000.0"/>
        <n v="4.1382841E7"/>
        <n v="1.00446895E8"/>
        <n v="1954202.0"/>
        <n v="1.3362308E7"/>
        <n v="8.7025093E7"/>
        <n v="5.1527787E7"/>
        <n v="2.12E7"/>
        <n v="5.0740078E7"/>
        <n v="2.1784432E7"/>
        <n v="1.1501093E7"/>
        <n v="9170214.0"/>
        <n v="2.7087695E7"/>
        <n v="2.0047715E7"/>
        <n v="7.708603E7"/>
        <n v="3.4334256E7"/>
        <n v="9.5720716E7"/>
        <n v="5.6083966E7"/>
        <n v="2.38371987E8"/>
        <n v="2.6781723E7"/>
        <n v="3.0523568E7"/>
        <n v="5.6607223E7"/>
        <n v="2.6049082E7"/>
        <n v="1.0297897E7"/>
        <n v="1.0544143E7"/>
        <n v="3.0079316E7"/>
        <n v="5.5973336E7"/>
        <n v="119841.0"/>
        <n v="3.5324232E7"/>
        <n v="5.2293982E7"/>
        <n v="9.7680195E7"/>
        <n v="2.0246959E7"/>
        <n v="3.4580635E7"/>
        <n v="1.07225164E8"/>
        <n v="3.2416109E7"/>
        <n v="4426297.0"/>
        <n v="3902679.0"/>
        <n v="1768416.0"/>
        <n v="2.15E7"/>
        <n v="1.12692062E8"/>
        <n v="2.0916309E7"/>
        <n v="2.13E7"/>
        <n v="3.0688364E7"/>
        <n v="3275443.0"/>
        <n v="5204007.0"/>
        <n v="2859955.0"/>
        <n v="1.54985087E8"/>
        <n v="1.03738726E8"/>
        <n v="9.3417865E7"/>
        <n v="5.4967359E7"/>
        <n v="1.5294553E7"/>
        <n v="3.3305037E7"/>
        <n v="2.6096584E7"/>
        <n v="1.05219735E8"/>
        <n v="3.85905E7"/>
        <n v="1.5608545E7"/>
        <n v="2.6525834E7"/>
        <n v="6768055.0"/>
        <n v="5.1432423E7"/>
        <n v="9000000.0"/>
        <n v="2955039.0"/>
        <n v="4.34949459E8"/>
        <n v="5974653.0"/>
        <n v="4.4867349E7"/>
        <n v="228524.0"/>
        <n v="1.44812796E8"/>
        <n v="2.28E7"/>
        <n v="4.261E7"/>
        <n v="3.6385763E7"/>
        <n v="4.9968653E7"/>
        <n v="2.3078294E7"/>
        <n v="6.648809E7"/>
        <n v="3773863.0"/>
        <n v="1281176.0"/>
        <n v="6.7128202E7"/>
        <n v="3.9177541E7"/>
        <n v="2.5863915E7"/>
        <n v="6387.0"/>
        <n v="2.64E7"/>
        <n v="1.3034417E7"/>
        <n v="1277257.0"/>
        <n v="3.77019252E8"/>
        <n v="1.62001186E8"/>
        <n v="96793.0"/>
        <n v="1.53665036E8"/>
        <n v="3.30249062E8"/>
        <n v="31937.0"/>
        <n v="3.8176892E7"/>
        <n v="4.0485039E7"/>
        <n v="1.48734225E8"/>
        <n v="1.28505958E8"/>
        <n v="3.4180954E7"/>
        <n v="1.02466E7"/>
        <n v="2.192E8"/>
        <n v="1.07917283E8"/>
        <n v="4.0990055E7"/>
        <n v="8.2301521E7"/>
        <n v="5.775E7"/>
        <n v="3.77384E7"/>
        <n v="1.72051787E8"/>
        <n v="6.58672302E8"/>
        <n v="7.158822E7"/>
        <n v="3.6E7"/>
        <n v="3.5287788E7"/>
        <n v="4231500.0"/>
        <n v="4394936.0"/>
        <n v="1.05444419E8"/>
        <n v="2.4362501E7"/>
        <n v="125169.0"/>
        <n v="1.21463226E8"/>
        <n v="4.0846082E7"/>
        <n v="6.3071133E7"/>
        <n v="1646664.0"/>
        <n v="5.4414716E7"/>
        <n v="1.5464026E7"/>
        <n v="1.09993847E8"/>
        <n v="117560.0"/>
        <n v="8406264.0"/>
        <n v="1686429.0"/>
        <n v="71442.0"/>
        <n v="3.4468224E7"/>
        <n v="1.31536019E8"/>
        <n v="1.023E8"/>
        <n v="101228.0"/>
        <n v="5.6932305E7"/>
        <n v="5.3302314E7"/>
        <n v="3.2391374E7"/>
        <n v="5.3680848E7"/>
        <n v="7.1017784E7"/>
        <n v="3.09404152E8"/>
        <n v="1.3303319E7"/>
        <n v="1.3395939E7"/>
        <n v="2.8328132E7"/>
        <n v="3386698.0"/>
        <n v="1677838.0"/>
        <n v="1.8472363E7"/>
        <n v="1227324.0"/>
        <n v="1292119.0"/>
        <n v="1.1797927E7"/>
        <n v="1.77243721E8"/>
        <n v="3.4308901E7"/>
        <n v="1.4545844E7"/>
        <n v="1.5561627E7"/>
        <n v="4.5089048E7"/>
        <n v="3.1584722E7"/>
        <n v="1.4448589E7"/>
        <n v="3.2350554E8"/>
        <n v="2.7441122E7"/>
        <n v="9.8711404E7"/>
        <n v="8.1638674E7"/>
        <n v="1.6574731E7"/>
        <n v="1.04148781E8"/>
        <n v="1.03400692E8"/>
        <n v="7518876.0"/>
        <n v="6061759.0"/>
        <n v="5900000.0"/>
        <n v="1.6123851E7"/>
        <n v="5755286.0"/>
        <n v="4.1954997E7"/>
        <n v="3.5057332E7"/>
        <n v="1190018.0"/>
        <n v="1.3592872E7"/>
        <n v="6.5535067E7"/>
        <n v="1.1905519E7"/>
        <n v="9.3571803E7"/>
        <n v="5.0807639E7"/>
        <n v="7.5817994E7"/>
        <n v="7.8120196E7"/>
        <n v="6.98E7"/>
        <n v="26893.0"/>
        <n v="1.8136E8"/>
        <n v="5.5461307E7"/>
        <n v="1.51562E7"/>
        <n v="4.4540956E7"/>
        <n v="1.81015141E8"/>
        <n v="1.19518352E8"/>
        <n v="2.1371425E7"/>
        <n v="3.3404871E7"/>
        <n v="6.4955956E7"/>
        <n v="1.894763E7"/>
        <n v="7948159.0"/>
        <n v="1.8220444E8"/>
        <n v="3.5565975E7"/>
        <n v="3.2095318E7"/>
        <n v="5.6127162E7"/>
        <n v="8060.0"/>
        <n v="630779.0"/>
        <n v="7.5280058E7"/>
        <n v="4.4455658E7"/>
        <n v="6291602.0"/>
        <n v="5532301.0"/>
        <n v="1.8636537E7"/>
        <n v="3347439.0"/>
        <n v="1.76997107E8"/>
        <n v="3.0628981E7"/>
        <n v="1.0097096E7"/>
        <n v="3.3508922E7"/>
        <n v="7918283.0"/>
        <n v="1.2065985E7"/>
        <n v="4.8430355E7"/>
        <n v="8.5017401E7"/>
        <n v="8508843.0"/>
        <n v="6830957.0"/>
        <n v="7.5638743E7"/>
        <n v="3571735.0"/>
        <n v="3.0059386E7"/>
        <n v="3.3422806E7"/>
        <n v="1.270188E7"/>
        <n v="183088.0"/>
        <n v="49000.0"/>
        <n v="2468.0"/>
        <n v="6.4505912E7"/>
        <n v="2.546448E7"/>
        <n v="1.5071514E7"/>
        <n v="56129.0"/>
        <n v="18195.0"/>
        <n v="70071.0"/>
        <n v="2.2331028E7"/>
        <n v="3.6283504E7"/>
        <n v="5.7859105E7"/>
        <n v="4.7781388E7"/>
        <n v="2.17536138E8"/>
        <n v="1.33375846E8"/>
        <n v="1.55E7"/>
        <n v="4.3771291E7"/>
        <n v="6.2453315E7"/>
        <n v="7.9568E7"/>
        <n v="1.5523168E7"/>
        <n v="5.1475962E7"/>
        <n v="4.14E7"/>
        <n v="23947.0"/>
        <n v="6100000.0"/>
        <n v="2.5530884E7"/>
        <n v="2.7E7"/>
        <n v="1.27968405E8"/>
        <n v="3.7553932E7"/>
        <n v="3.9235088E7"/>
        <n v="4105123.0"/>
        <n v="1.2610552E7"/>
        <n v="353743.0"/>
        <n v="7.3023275E7"/>
        <n v="5.0213619E7"/>
        <n v="1.069621E7"/>
        <n v="3.7432299E7"/>
        <n v="1039869.0"/>
        <n v="1.8438149E7"/>
        <n v="1.8761993E7"/>
        <n v="4.1523271E7"/>
        <n v="3.0226144E7"/>
        <n v="3.8372662E7"/>
        <n v="5.33316061E8"/>
        <n v="3.5228696E7"/>
        <n v="883887.0"/>
        <n v="1.04632573E8"/>
        <n v="1.3208023E7"/>
        <n v="3.5168395E7"/>
        <n v="5881504.0"/>
        <n v="5132655.0"/>
        <n v="41709.0"/>
        <n v="5.2822418E7"/>
        <n v="3.9880476E7"/>
        <n v="6491350.0"/>
        <n v="4.7860214E7"/>
        <n v="6165429.0"/>
        <n v="143653.0"/>
        <n v="8.4037039E7"/>
        <n v="5.4540525E7"/>
        <n v="4563029.0"/>
        <n v="2.9247405E7"/>
        <n v="3254172.0"/>
        <n v="2.74084951E8"/>
        <n v="5.5210049E7"/>
        <n v="4.7095453E7"/>
        <n v="1.0763469E7"/>
        <n v="1.06952327E8"/>
        <n v="3.03001229E8"/>
        <n v="1.71031347E8"/>
        <n v="5205343.0"/>
        <n v="111300.0"/>
        <n v="4.3060566E7"/>
        <n v="1.1043445E7"/>
        <n v="9.6067179E7"/>
        <n v="2.303139E7"/>
        <n v="37440.0"/>
        <n v="2.1059259E8"/>
        <n v="6.3270259E7"/>
        <n v="1.05263257E8"/>
        <n v="1.7757087E7"/>
        <n v="190562.0"/>
        <n v="1.2784397E7"/>
        <n v="1.003739E7"/>
        <n v="1.9158074E7"/>
        <n v="3.52358779E8"/>
        <n v="5.5808744E7"/>
        <n v="1.03338338E8"/>
        <n v="6.835355E7"/>
        <n v="3.153732E7"/>
        <n v="542860.0"/>
        <n v="1.8860403E7"/>
        <n v="66637.0"/>
        <n v="1.0443316E7"/>
        <n v="1.5785632E7"/>
        <n v="1.761346E7"/>
        <n v="4.2652003E7"/>
        <n v="8.620801E7"/>
        <n v="638476.0"/>
        <n v="499263.0"/>
        <n v="7.2219395E7"/>
        <n v="4.5434443E7"/>
        <n v="2.3014504E7"/>
        <n v="505295.0"/>
        <n v="163245.0"/>
        <n v="6851636.0"/>
        <n v="8.2163317E7"/>
        <n v="99462.0"/>
        <n v="7.6261036E7"/>
        <n v="1.1854694E7"/>
        <n v="6857096.0"/>
        <n v="1.01785482E8"/>
        <n v="2.8341469E7"/>
        <n v="2.1426805E7"/>
        <n v="7292175.0"/>
        <n v="6.8856263E7"/>
        <n v="1082044.0"/>
        <n v="5.8918501E7"/>
        <n v="9.5328937E7"/>
        <n v="1.8112929E7"/>
        <n v="1.8329466E7"/>
        <n v="1.3255096E8"/>
        <n v="1.076996E7"/>
        <n v="2.5093607E7"/>
        <n v="4.5857453E7"/>
        <n v="1.3876974E7"/>
        <n v="5.9365105E7"/>
        <n v="2.57756197E8"/>
        <n v="8025872.0"/>
        <n v="1.023089E8"/>
        <n v="7.5590286E7"/>
        <n v="4.4726644E7"/>
        <n v="3.3864342E7"/>
        <n v="475000.0"/>
        <n v="7.7222184E7"/>
        <n v="252726.0"/>
        <n v="1.0268846E7"/>
        <n v="10508.0"/>
        <n v="4411102.0"/>
        <n v="7000000.0"/>
        <n v="4186931.0"/>
        <n v="5.4132596E7"/>
        <n v="7.0098138E7"/>
        <n v="2.2202612E7"/>
        <n v="100240.0"/>
        <n v="1.1533945E7"/>
        <n v="2.5003072E7"/>
        <n v="199228.0"/>
        <n v="6.5703412E7"/>
        <n v="7.91E7"/>
        <n v="5.871551E7"/>
        <n v="2.7689474E7"/>
        <n v="1330827.0"/>
        <n v="6401336.0"/>
        <n v="3.9514713E7"/>
        <n v="1.1675178E7"/>
        <n v="5.9073773E7"/>
        <n v="2.49358727E8"/>
        <n v="2.3070045E7"/>
        <n v="2338695.0"/>
        <n v="1.33228348E8"/>
        <n v="927107.0"/>
        <n v="1.9692608E7"/>
        <n v="373967.0"/>
        <n v="1.6290976E7"/>
        <n v="4693919.0"/>
        <n v="2.0384136E7"/>
        <n v="2.6199517E7"/>
        <n v="1.57E7"/>
        <n v="5.0728E7"/>
        <n v="3.1607598E7"/>
        <n v="2.23625E7"/>
        <n v="3958500.0"/>
        <n v="5308707.0"/>
        <n v="52850.0"/>
        <n v="2.0772796E7"/>
        <n v="3.4522221E7"/>
        <n v="5.185345E7"/>
        <n v="1.0106233E7"/>
        <n v="1.15731542E8"/>
        <n v="1.3491653E7"/>
        <n v="265107.0"/>
        <n v="5.6876365E7"/>
        <n v="301305.0"/>
        <n v="4.8114556E7"/>
        <n v="1.55181732E8"/>
        <n v="476270.0"/>
        <n v="2.9136626E7"/>
        <n v="2.3978402E7"/>
        <n v="5.0024083E7"/>
        <n v="4.8092846E7"/>
        <n v="2.1483154E7"/>
        <n v="1.1326836E7"/>
        <n v="399611.0"/>
        <n v="9.2001027E7"/>
        <n v="7.1975611E7"/>
        <n v="1.3414153E8"/>
        <n v="2.6687172E7"/>
        <n v="4.8154732E7"/>
        <n v="8000000.0"/>
        <n v="6.9951824E7"/>
        <n v="3.730495E7"/>
        <n v="3.2178777E7"/>
        <n v="4.019871E7"/>
        <n v="1.23307945E8"/>
        <n v="1.4E7"/>
        <n v="2298191.0"/>
        <n v="1.8593156E7"/>
        <n v="3.2741596E7"/>
        <n v="1.35381507E8"/>
        <n v="1068392.0"/>
        <n v="1.655E8"/>
        <n v="1.53629485E8"/>
        <n v="3050934.0"/>
        <n v="7.3058679E7"/>
        <n v="2.0668843E7"/>
        <n v="5.081875E7"/>
        <n v="2.7285953E7"/>
        <n v="3219029.0"/>
        <n v="196067.0"/>
        <n v="626809.0"/>
        <n v="978908.0"/>
        <n v="449558.0"/>
        <n v="2.4520892E7"/>
        <n v="2.58355354E8"/>
        <n v="2122561.0"/>
        <n v="92191.0"/>
        <n v="4922166.0"/>
        <n v="1950218.0"/>
        <n v="4.737909E7"/>
        <n v="317040.0"/>
        <n v="1.16593191E8"/>
        <n v="2.2905674E7"/>
        <n v="3.3048353E7"/>
        <n v="2832826.0"/>
        <n v="8.5707116E7"/>
        <n v="1.1576087E7"/>
        <n v="3.0691439E7"/>
        <n v="6592103.0"/>
        <n v="6.4604977E7"/>
        <n v="4.2776259E7"/>
        <n v="5.4724272E7"/>
        <n v="2.2359293E7"/>
        <n v="1.000125E8"/>
        <n v="2807854.0"/>
        <n v="183662.0"/>
        <n v="8579684.0"/>
        <n v="2840417.0"/>
        <n v="1.3451839E8"/>
        <n v="3.5003411E8"/>
        <n v="1.55111815E8"/>
        <n v="1.71383253E8"/>
        <n v="23838.0"/>
        <n v="3169424.0"/>
        <n v="5.3991137E7"/>
        <n v="6739141.0"/>
        <n v="6.14E7"/>
        <n v="1.4208384E7"/>
        <n v="1.0170206E8"/>
        <n v="6755271.0"/>
        <n v="1.24051759E8"/>
        <n v="3.15853E7"/>
        <n v="4.3568507E7"/>
        <n v="7.1502303E7"/>
        <n v="4.324714E7"/>
        <n v="5.4235441E7"/>
        <n v="6852144.0"/>
        <n v="1.7427926E7"/>
        <n v="5.6702901E7"/>
        <n v="1.00003492E8"/>
        <n v="1.04354205E8"/>
        <n v="1.2194572E8"/>
        <n v="6.0E7"/>
        <n v="7871693.0"/>
        <n v="9525276.0"/>
        <n v="8.928991E7"/>
        <n v="1075288.0"/>
        <n v="536767.0"/>
        <n v="8.734138E7"/>
        <n v="11278.0"/>
        <n v="4.199779E7"/>
        <n v="1.00018837E8"/>
        <n v="9059588.0"/>
        <n v="4992159.0"/>
        <n v="2.2108977E7"/>
        <n v="1172769.0"/>
        <n v="4.1102171E7"/>
        <n v="6.493367E7"/>
        <n v="2.2494487E7"/>
        <n v="1.13733726E8"/>
        <n v="830210.0"/>
        <n v="5.0693162E7"/>
        <n v="1250798.0"/>
        <n v="1.2392237E8"/>
        <n v="4235837.0"/>
        <n v="194568.0"/>
        <n v="4.38481E7"/>
        <n v="5228617.0"/>
        <n v="6.4267897E7"/>
        <n v="1.4792779E7"/>
        <n v="5348317.0"/>
        <n v="1.39225854E8"/>
        <n v="2060953.0"/>
        <n v="2.17631306E8"/>
        <n v="1.6005978E7"/>
        <n v="2.4006726E7"/>
        <n v="48856.0"/>
        <n v="2.01148159E8"/>
        <n v="5.0648679E7"/>
        <n v="3.386001E7"/>
        <n v="4651977.0"/>
        <n v="4.5162741E7"/>
        <n v="9172810.0"/>
        <n v="7.4098862E7"/>
        <n v="1.6311763E7"/>
        <n v="7.2077E7"/>
        <n v="2.347605E8"/>
        <n v="5.2353636E7"/>
        <n v="7830611.0"/>
        <n v="7.3326666E7"/>
        <n v="1227508.0"/>
        <n v="9180275.0"/>
        <n v="5032496.0"/>
        <n v="1.4597405E7"/>
        <n v="5.5153403E7"/>
        <n v="5.1045801E7"/>
        <n v="444044.0"/>
        <n v="3.10675583E8"/>
        <n v="3.29691196E8"/>
        <n v="2.4792061E7"/>
        <n v="1.8272447E7"/>
        <n v="4.74544677E8"/>
        <n v="1.1642254E7"/>
        <n v="1.7281832E7"/>
        <n v="1.20136047E8"/>
        <n v="1.02608827E8"/>
        <n v="6.3034755E7"/>
        <n v="4.795202E7"/>
        <n v="7.2306065E7"/>
        <n v="1.5152879E7"/>
        <n v="3.6830057E7"/>
        <n v="1.04054514E8"/>
        <n v="1.2549485E7"/>
        <n v="2.3159305E7"/>
        <n v="65087.0"/>
        <n v="9.2173235E7"/>
        <n v="1.0725228E7"/>
        <n v="8.1257845E7"/>
        <n v="5.8401464E7"/>
        <n v="5.9588068E7"/>
        <n v="3.509619E7"/>
        <n v="5.8255287E7"/>
        <n v="6851969.0"/>
        <n v="100503.0"/>
        <n v="2.27946274E8"/>
        <n v="2.892772E7"/>
        <n v="582024.0"/>
        <n v="6.6002004E7"/>
        <n v="5000000.0"/>
        <n v="4.0905277E7"/>
        <n v="5871603.0"/>
        <n v="9.14394E7"/>
        <n v="1.84925485E8"/>
        <n v="1.19412921E8"/>
        <n v="183125.0"/>
        <n v="6517198.0"/>
        <n v="2.1994911E7"/>
        <n v="1.383813E7"/>
        <n v="7.4540762E7"/>
        <n v="3.7617947E7"/>
        <n v="8080116.0"/>
        <n v="3.8087756E7"/>
        <n v="1.59578352E8"/>
        <n v="1530535.0"/>
        <n v="1.3766014E7"/>
        <n v="2.575384E7"/>
        <n v="982214.0"/>
        <n v="7.5668868E7"/>
        <n v="3.3071558E7"/>
        <n v="2.2713709E8"/>
        <n v="3.2051917E7"/>
        <n v="241816.0"/>
        <n v="5.0815288E7"/>
        <n v="3.7754208E7"/>
        <n v="5.6398162E7"/>
        <n v="2.5926543E7"/>
        <n v="900926.0"/>
        <n v="1.32122995E8"/>
        <n v="2.709858E7"/>
        <n v="1.0269307E7"/>
        <n v="9.2969824E7"/>
        <n v="1.50415432E8"/>
        <n v="2.3179303E7"/>
        <n v="2319187.0"/>
        <n v="6.1355436E7"/>
        <n v="8.0270227E7"/>
        <n v="371081.0"/>
        <n v="2.797241E7"/>
        <n v="1.11110575E8"/>
        <n v="4.1814863E7"/>
        <n v="2.8876924E7"/>
        <n v="4.3337279E7"/>
        <n v="102055.0"/>
        <n v="7362100.0"/>
        <n v="8.0920948E7"/>
        <n v="2.2245861E7"/>
        <n v="126247.0"/>
        <n v="5.3884821E7"/>
        <n v="3.28E7"/>
        <n v="92900.0"/>
        <n v="1127331.0"/>
        <n v="3.8087366E7"/>
        <n v="3.0093107E7"/>
        <n v="1.57299717E8"/>
        <n v="6.517316E7"/>
        <n v="108662.0"/>
        <n v="2.5078937E7"/>
        <n v="1.26464904E8"/>
        <n v="9694105.0"/>
        <n v="9.4497271E7"/>
        <n v="1.1802056E7"/>
        <n v="22770.0"/>
        <n v="7563670.0"/>
        <n v="1.9294901E7"/>
        <n v="2.6589953E7"/>
        <n v="1.95329763E8"/>
        <n v="5354039.0"/>
        <n v="8114507.0"/>
        <n v="2.51188924E8"/>
        <n v="8.381346E7"/>
        <n v="578527.0"/>
        <n v="4.2043633E7"/>
        <n v="1.61087183E8"/>
        <n v="7.8616689E7"/>
        <n v="3.6381716E7"/>
        <n v="1.33103929E8"/>
        <n v="2.01573391E8"/>
        <n v="3.0102717E7"/>
        <n v="1.62586036E8"/>
        <n v="3.7295394E7"/>
        <n v="766487.0"/>
        <n v="3.9103378E7"/>
        <n v="6462576.0"/>
        <n v="1.2201271E8"/>
        <n v="3.50123553E8"/>
        <n v="2.51501645E8"/>
        <n v="9.3050117E7"/>
        <n v="46451.0"/>
        <n v="56692.0"/>
        <n v="1.26597121E8"/>
        <n v="1.23207194E8"/>
        <n v="1.5281286E7"/>
        <n v="3.5266619E7"/>
        <n v="274385.0"/>
        <n v="1.0907291E7"/>
        <n v="1.7439163E7"/>
        <n v="3.7623143E7"/>
        <n v="1316074.0"/>
        <n v="5.3789313E7"/>
        <n v="1.0149779E7"/>
        <n v="1754319.0"/>
        <n v="5.4997476E7"/>
        <n v="2.8831145E7"/>
        <n v="1997807.0"/>
        <n v="1.13165635E8"/>
        <n v="1.1008432E7"/>
        <n v="1.70708996E8"/>
        <n v="5306447.0"/>
        <n v="131175.0"/>
        <n v="1.6501785E7"/>
        <n v="2964.0"/>
        <n v="2.077307E7"/>
        <n v="1141829.0"/>
        <n v="4.3119879E7"/>
        <n v="1310270.0"/>
        <n v="3.8201895E7"/>
        <n v="1.4249005E7"/>
        <n v="6594136.0"/>
        <n v="3.4290142E7"/>
        <n v="610968.0"/>
        <n v="9030581.0"/>
        <n v="1.00448498E8"/>
        <n v="3447339.0"/>
        <n v="5.1872378E7"/>
        <n v="2.5977365E7"/>
        <n v="1.71E7"/>
        <n v="7.60505847E8"/>
        <n v="1.86830669E8"/>
        <n v="2.0218921E7"/>
        <n v="6.36E7"/>
        <n v="2483955.0"/>
        <n v="9628751.0"/>
        <n v="1.6831505E7"/>
        <n v="1.0012534E8"/>
        <n v="2.9106737E7"/>
        <n v="1089365.0"/>
        <n v="1.7382982E7"/>
        <n v="6.7263182E7"/>
        <n v="1.3019253E7"/>
        <n v="9.034167E7"/>
        <n v="7.9817937E7"/>
        <n v="4835968.0"/>
        <n v="1.60762022E8"/>
        <n v="1.50117807E8"/>
        <n v="3798532.0"/>
        <n v="1.1883495E7"/>
        <n v="1.30468626E8"/>
        <n v="1.8595716E7"/>
        <n v="2.28756232E8"/>
        <n v="4.5500797E7"/>
        <n v="4.259253E7"/>
        <n v="233103.0"/>
        <n v="1197786.0"/>
        <n v="3.1051126E7"/>
        <n v="42880.0"/>
        <n v="1.19E7"/>
        <n v="1.3829734E7"/>
        <n v="3.12057433E8"/>
        <n v="5.6505065E7"/>
        <n v="5.2929168E7"/>
        <n v="2119994.0"/>
        <n v="6.6009973E7"/>
        <n v="27445.0"/>
        <n v="2.22E7"/>
        <n v="6.0128566E7"/>
        <n v="1.2712093E7"/>
        <n v="1.01160529E8"/>
        <n v="110029.0"/>
        <n v="7.5530832E7"/>
        <n v="354704.0"/>
        <n v="7574066.0"/>
        <n v="2.0389967E7"/>
        <n v="2508841.0"/>
        <n v="27024.0"/>
        <n v="1.14324072E8"/>
        <n v="3.4074895E7"/>
        <n v="4.6975183E7"/>
        <n v="21199.0"/>
        <n v="3.2662299E7"/>
        <n v="15447.0"/>
        <n v="1.8990542E7"/>
        <n v="5.11E7"/>
        <n v="2.003531E7"/>
        <n v="1.8663911E7"/>
        <n v="110720.0"/>
        <n v="1.3367101E7"/>
        <n v="7.5274748E7"/>
        <n v="5.832868E7"/>
        <n v="1.3082288E7"/>
        <n v="2.0733485E7"/>
        <n v="4.4456509E7"/>
        <n v="1.6930185E7"/>
        <n v="2.8435406E7"/>
        <n v="1110186.0"/>
        <n v="8.850464E7"/>
        <n v="1.6938179E7"/>
        <n v="5.491056E7"/>
        <n v="4046737.0"/>
        <n v="382946.0"/>
        <n v="4.6440491E7"/>
        <n v="4.24383E7"/>
        <n v="1487477.0"/>
        <n v="8.71E7"/>
        <n v="882290.0"/>
        <n v="1.303866E7"/>
        <n v="5.2277485E7"/>
        <n v="1.3464388E7"/>
        <n v="4006906.0"/>
        <n v="795126.0"/>
        <n v="1.6346122E7"/>
        <n v="3.3565375E7"/>
        <n v="2.6906039E7"/>
        <n v="1702277.0"/>
        <n v="5.7362581E7"/>
        <n v="1304837.0"/>
        <n v="3.4566746E7"/>
        <n v="5.73E7"/>
        <n v="9910.0"/>
        <n v="1.9283782E7"/>
        <n v="3478.0"/>
        <n v="7268659.0"/>
        <n v="1.8843314E7"/>
        <n v="6.79E7"/>
        <n v="2.59746958E8"/>
        <n v="17580.0"/>
        <n v="110536.0"/>
        <n v="6.6734992E7"/>
        <n v="2.6236603E7"/>
        <n v="9.3452056E7"/>
        <n v="1.2006514E7"/>
        <n v="1.3005485E7"/>
        <n v="2.08543795E8"/>
        <n v="668171.0"/>
        <n v="3.9251128E7"/>
        <n v="7.3820094E7"/>
        <n v="8.925334E7"/>
        <n v="5776314.0"/>
        <n v="1.9445217E7"/>
        <n v="3.3771174E7"/>
        <n v="1.4373825E7"/>
        <n v="3.149427E7"/>
        <n v="4.9185998E7"/>
        <n v="1.18823091E8"/>
        <n v="17149.0"/>
        <n v="1.1405825E7"/>
        <n v="3.6733909E7"/>
        <n v="8.1557479E7"/>
        <n v="4600000.0"/>
        <n v="1.77575142E8"/>
        <n v="7.5597042E7"/>
        <n v="1114943.0"/>
        <n v="191309.0"/>
        <n v="925402.0"/>
        <n v="1.0494147E7"/>
        <n v="1.8573791E7"/>
        <n v="200803.0"/>
        <n v="4190530.0"/>
        <n v="375474.0"/>
        <n v="3.7600435E7"/>
        <n v="2708188.0"/>
        <n v="6.7325559E7"/>
        <n v="2.9077547E7"/>
        <n v="8.4049211E7"/>
        <n v="5.5994557E7"/>
        <n v="1.9389454E7"/>
        <n v="1.01157447E8"/>
        <n v="1.0930621E8"/>
        <n v="3.114657E7"/>
        <n v="2326407.0"/>
        <n v="2.6814957E7"/>
        <n v="7.103819E7"/>
        <n v="2.2770864E7"/>
        <n v="9.2930005E7"/>
        <n v="4.011842E7"/>
        <n v="9203192.0"/>
        <n v="1.9184015E7"/>
        <n v="2.28430993E8"/>
        <n v="4356743.0"/>
        <n v="39659.0"/>
        <n v="1.3103828E7"/>
        <n v="2.41063875E8"/>
        <n v="8.3574831E7"/>
        <n v="9714482.0"/>
        <n v="3.5811509E7"/>
        <n v="4.24645577E8"/>
        <n v="7.4888996E7"/>
        <n v="1.0719367E7"/>
        <n v="8093318.0"/>
        <n v="2.61970615E8"/>
        <n v="6.64626E7"/>
        <n v="3.1899E7"/>
        <n v="1.5911333E7"/>
        <n v="4.2615685E7"/>
        <n v="64359.0"/>
        <n v="5899797.0"/>
        <n v="2428241.0"/>
        <n v="7.127742E7"/>
        <n v="1.4479535E8"/>
        <n v="1.7848322E7"/>
        <n v="8108247.0"/>
        <n v="2.2168359E7"/>
        <n v="5.5673333E7"/>
        <n v="1.425283E7"/>
        <n v="5.2691009E7"/>
        <n v="3.9692139E7"/>
        <n v="4.0270895E7"/>
        <n v="5.3715611E7"/>
        <n v="1260917.0"/>
        <n v="1796024.0"/>
        <n v="4.2478175E7"/>
        <n v="1.8318E7"/>
        <n v="7.227969E7"/>
        <n v="1.0572742E7"/>
        <n v="2047570.0"/>
        <n v="4.0932372E7"/>
        <n v="548712.0"/>
        <n v="3.7479778E7"/>
        <n v="7186670.0"/>
        <n v="2428883.0"/>
        <n v="1.36801374E8"/>
        <n v="174682.0"/>
        <n v="1027749.0"/>
        <n v="4.055993E7"/>
        <n v="3.7053924E7"/>
        <n v="99851.0"/>
        <n v="3.3313582E7"/>
        <n v="1.37850096E8"/>
        <n v="2.6415649E7"/>
        <n v="1.7411331E7"/>
        <n v="5701643.0"/>
        <n v="7.7564037E7"/>
        <n v="4.6280507E7"/>
        <n v="2.23806889E8"/>
        <n v="178739.0"/>
        <n v="1.258351E7"/>
        <n v="2.2406362E7"/>
        <n v="1.9447478E7"/>
        <n v="3.4300771E7"/>
        <n v="7.5030163E7"/>
        <n v="1.1204499E7"/>
        <n v="173783.0"/>
        <n v="4.9002815E7"/>
        <n v="302204.0"/>
        <n v="98017.0"/>
        <n v="8500000.0"/>
        <n v="2.1244913E7"/>
        <n v="1.45000989E8"/>
        <n v="1.2947763E7"/>
        <n v="8.4303558E7"/>
        <n v="2.3360779E7"/>
        <n v="1.97992827E8"/>
        <n v="7.7413017E7"/>
        <n v="3.2541719E7"/>
        <n v="1.25305545E8"/>
        <n v="1.73381405E8"/>
        <n v="1.43618384E8"/>
        <n v="4.6363118E7"/>
        <n v="1.0161099E7"/>
        <n v="7.4273505E7"/>
        <n v="7.89E7"/>
        <n v="1.2570442E7"/>
        <n v="8.2624961E7"/>
        <n v="1.2188642E7"/>
        <n v="4.5645204E7"/>
        <n v="9.3926386E7"/>
        <n v="3.8360195E7"/>
        <n v="5.4239856E7"/>
        <n v="4250320.0"/>
        <n v="2.8687835E7"/>
        <n v="85222.0"/>
        <n v="2.653612E7"/>
        <n v="3.767235E7"/>
        <n v="5.0628009E7"/>
        <n v="1.68368427E8"/>
        <n v="2.72E7"/>
        <n v="2.91709845E8"/>
        <n v="1.46282411E8"/>
        <n v="1.09176215E8"/>
        <n v="2.9113588E7"/>
        <n v="84961.0"/>
        <n v="1.08706165E8"/>
        <n v="2.1501098E7"/>
        <n v="3.233386E7"/>
        <n v="3.0307804E7"/>
        <n v="6.2933793E7"/>
        <n v="3.8083887E8"/>
        <n v="1.416E8"/>
        <n v="4193025.0"/>
        <n v="1.0965209E7"/>
        <n v="5.0026353E7"/>
        <n v="7.3701902E7"/>
        <n v="2.0338609E7"/>
        <n v="3.26E7"/>
        <n v="1.707123E7"/>
        <n v="1.7529157E7"/>
        <n v="2961991.0"/>
        <n v="1.4015786E7"/>
        <n v="1.27997349E8"/>
        <n v="9.1030827E7"/>
        <n v="5.5762229E7"/>
        <n v="6.97E7"/>
        <n v="4.6563158E7"/>
        <n v="2.7338033E7"/>
        <n v="4244155.0"/>
        <n v="3.0695227E7"/>
        <n v="2975649.0"/>
        <n v="3.8747385E7"/>
        <n v="1.0122812E8"/>
        <n v="3.7339525E7"/>
        <n v="2126511.0"/>
        <n v="6.5807024E7"/>
        <n v="214966.0"/>
        <n v="3.147143E7"/>
        <n v="4.9024969E7"/>
        <n v="279282.0"/>
        <n v="9.8780042E7"/>
        <n v="3.2616869E7"/>
        <n v="9483821.0"/>
        <n v="6.55E7"/>
        <n v="866778.0"/>
        <n v="1.81166115E8"/>
        <n v="4.7806295E7"/>
        <n v="2.6384919E7"/>
        <n v="8396942.0"/>
        <n v="886410.0"/>
        <n v="1.255523E7"/>
        <n v="424760.0"/>
        <n v="5.3146E7"/>
        <n v="5501940.0"/>
        <n v="1.888288E7"/>
        <n v="6.8558662E7"/>
        <n v="22451.0"/>
        <n v="5.2287414E7"/>
        <n v="5004648.0"/>
        <n v="1.22E7"/>
        <n v="4.9797148E7"/>
        <n v="2.8972187E7"/>
        <n v="3629758.0"/>
        <n v="1.3235267E7"/>
        <n v="399793.0"/>
        <n v="3.9647595E7"/>
        <n v="7.0001065E7"/>
        <n v="1.18683135E8"/>
        <n v="192467.0"/>
        <n v="100659.0"/>
        <n v="6712451.0"/>
        <n v="8.8915214E7"/>
        <n v="1.1614236E7"/>
        <n v="9.0443603E7"/>
        <n v="8.30249E7"/>
        <n v="1.0515579E7"/>
        <n v="4280577.0"/>
        <n v="5430822.0"/>
        <n v="2.2189039E7"/>
        <n v="7156933.0"/>
        <n v="7.2E7"/>
        <n v="1.3987482E7"/>
        <n v="2.5615792E7"/>
        <n v="9.5001351E7"/>
        <n v="18469.0"/>
        <n v="9.0556401E7"/>
        <n v="3.8297305E7"/>
        <n v="1.27490802E8"/>
        <n v="11798.0"/>
        <n v="4.266E7"/>
        <n v="1163508.0"/>
        <n v="1.356096E7"/>
        <n v="2856622.0"/>
        <n v="1.76636816E8"/>
        <n v="7002255.0"/>
        <n v="2.00807262E8"/>
        <n v="4.2335698E7"/>
        <n v="4.93699E7"/>
        <n v="3.776635E7"/>
        <n v="1029017.0"/>
        <n v="23106.0"/>
        <n v="1.7536788E7"/>
        <n v="1.78406268E8"/>
        <n v="2.3222861E7"/>
        <n v="1.099644E7"/>
        <n v="4.3575716E7"/>
        <n v="104257.0"/>
        <n v="4.3818159E7"/>
        <n v="1111.0"/>
        <n v="3.3602956E8"/>
        <n v="7.7264926E7"/>
        <n v="1.34568845E8"/>
        <n v="1.24868837E8"/>
        <n v="1.2232937E7"/>
        <n v="7.0001698E7"/>
        <n v="1.513133E7"/>
        <n v="2268296.0"/>
        <n v="1.48085755E8"/>
        <n v="6.6528842E7"/>
        <n v="1.55370362E8"/>
        <n v="2.55950375E8"/>
        <n v="2.9580087E7"/>
        <n v="4.07197282E8"/>
        <n v="8.4185387E7"/>
        <n v="4.0566655E7"/>
        <n v="1.2782508E7"/>
        <n v="3.31056E7"/>
        <n v="1.03812241E8"/>
        <n v="1.07458785E8"/>
        <n v="13493.0"/>
        <n v="4.0048332E7"/>
        <n v="4.3894863E7"/>
        <n v="2.5121291E7"/>
        <n v="9.1038276E7"/>
        <n v="5.2200504E7"/>
        <n v="2.8837115E7"/>
        <n v="1.74635E8"/>
        <n v="2912363.0"/>
        <n v="1.2610731E7"/>
        <n v="2.6616999E7"/>
        <n v="6.0573641E7"/>
        <n v="6.3408614E7"/>
        <n v="4946250.0"/>
        <n v="1.19078393E8"/>
        <n v="1.06694016E8"/>
        <n v="5.1774002E7"/>
        <n v="4.4737059E7"/>
        <n v="1.01736215E8"/>
        <n v="2.5450527E7"/>
        <n v="3.3349949E7"/>
        <n v="140244.0"/>
        <n v="6.636529E7"/>
        <n v="1.61487252E8"/>
        <n v="3148482.0"/>
        <n v="4.1008532E7"/>
        <n v="5.4228104E7"/>
        <n v="5.9735548E7"/>
        <n v="2.887119E7"/>
        <n v="7.507495E7"/>
        <n v="1.0880926E7"/>
        <n v="4.238552E7"/>
        <n v="2.67652016E8"/>
        <n v="2.1494878E8"/>
        <n v="712294.0"/>
        <n v="2.5296447E7"/>
        <n v="1.0956379E7"/>
        <n v="5.0382128E7"/>
        <n v="4308981.0"/>
        <n v="1.4891E7"/>
        <n v="6.149E7"/>
        <n v="6.4149837E7"/>
        <n v="1.8535191E7"/>
        <n v="108229.0"/>
        <n v="1980338.0"/>
        <n v="124494.0"/>
        <n v="1.6235293E7"/>
        <n v="2.5510837E8"/>
        <n v="2.2466994E7"/>
        <n v="1200000.0"/>
        <n v="7.0269171E7"/>
        <n v="381186.0"/>
        <n v="5.8571513E7"/>
        <n v="5.1225796E7"/>
        <n v="1.6298046E7"/>
        <n v="3.0105968E7"/>
        <n v="1.6778096E8"/>
        <n v="1.00117603E8"/>
        <n v="5.774472E7"/>
        <n v="215185.0"/>
        <n v="5.8183966E7"/>
        <n v="8.4136909E7"/>
        <n v="287761.0"/>
        <n v="2148212.0"/>
        <n v="4.9994804E7"/>
        <n v="3.113695E7"/>
        <n v="5.7981889E7"/>
        <n v="1.0569071E7"/>
        <n v="2.3324666E7"/>
        <n v="104077.0"/>
        <n v="9.6917897E7"/>
        <n v="1.9693891E7"/>
        <n v="1.8225165E7"/>
        <n v="2.0915465E7"/>
        <n v="2.29074524E8"/>
        <n v="3.7788228E7"/>
        <n v="1.82618434E8"/>
        <n v="1.24870275E8"/>
        <n v="1.10476776E8"/>
        <n v="489220.0"/>
        <n v="4.0076438E7"/>
        <n v="4.3853424E7"/>
        <n v="4001121.0"/>
        <n v="4.3490057E7"/>
        <n v="2.5799043E7"/>
        <n v="6.047022E7"/>
        <n v="1.0801217E8"/>
        <n v="77501.0"/>
        <n v="4.7852604E7"/>
        <n v="5.8867694E7"/>
        <n v="4.31E7"/>
        <n v="4.6815748E7"/>
        <n v="1.8317151E7"/>
        <n v="8.2569532E7"/>
        <n v="1.00491683E8"/>
        <n v="1.3650738E7"/>
        <n v="1.06635996E8"/>
        <n v="3.1597131E7"/>
        <n v="3.2940507E7"/>
        <n v="4007792.0"/>
        <n v="3.7486138E7"/>
        <n v="5.54736E7"/>
        <n v="6.369576E7"/>
        <n v="1987287.0"/>
        <n v="6.5012E7"/>
        <n v="2.4044532E7"/>
        <n v="1521.0"/>
        <n v="1.4334645E7"/>
        <n v="2436.0"/>
        <n v="5.7887882E7"/>
        <n v="1.3782838E7"/>
        <n v="3.8553833E7"/>
        <n v="4.5506619E7"/>
        <n v="4074023.0"/>
        <n v="4.6012734E7"/>
        <n v="1752214.0"/>
        <n v="1.06126012E8"/>
        <n v="151389.0"/>
        <n v="6.3992328E7"/>
        <n v="1.01643008E8"/>
        <n v="7204138.0"/>
        <n v="3.3927476E7"/>
        <n v="1.119364E8"/>
        <n v="3.285364E7"/>
        <n v="1.7E7"/>
        <n v="9054736.0"/>
        <n v="3.3987757E7"/>
        <n v="5.6068547E7"/>
        <n v="1.67735396E8"/>
        <n v="3.1199215E7"/>
        <n v="5595428.0"/>
        <n v="3950294.0"/>
        <n v="303439.0"/>
        <n v="1.2339633E7"/>
        <n v="4.7375327E7"/>
        <n v="12561.0"/>
        <n v="1.25531634E8"/>
        <n v="3.8120554E7"/>
        <n v="8.3503161E7"/>
        <n v="3.6883539E7"/>
        <n v="1.499807E7"/>
        <n v="869325.0"/>
        <n v="1.10000082E8"/>
        <n v="2.0991497E7"/>
        <n v="3034181.0"/>
        <n v="2882062.0"/>
        <n v="1.1806119E7"/>
        <n v="2.1471685E7"/>
        <n v="1.46405371E8"/>
        <n v="7.7032279E7"/>
        <n v="4.8265581E7"/>
        <n v="7927.0"/>
        <n v="1.20523073E8"/>
        <n v="1.09713132E8"/>
        <n v="3562749.0"/>
        <n v="6.2318875E7"/>
        <n v="3.7752931E7"/>
        <n v="4.4175394E7"/>
        <n v="5.4758461E7"/>
        <n v="70527.0"/>
        <n v="2.33914986E8"/>
        <n v="7739049.0"/>
        <n v="8.2234139E7"/>
        <n v="9.2115211E7"/>
        <n v="3.9825798E7"/>
        <n v="8662318.0"/>
        <n v="1027119.0"/>
        <n v="7.8747585E7"/>
        <n v="1712111.0"/>
        <n v="2.5677801E7"/>
        <n v="8600000.0"/>
        <n v="5.8006147E7"/>
        <n v="5480996.0"/>
        <n v="3.5617599E7"/>
        <n v="2.628832E7"/>
        <n v="58936.0"/>
        <n v="4.3792641E7"/>
        <n v="4398392.0"/>
        <n v="7.3648142E7"/>
        <n v="5773519.0"/>
        <n v="3.5887263E7"/>
        <n v="5669081.0"/>
        <n v="3.37103873E8"/>
        <n v="3333823.0"/>
        <n v="3.0669413E7"/>
        <n v="6.2401264E7"/>
        <n v="8047690.0"/>
        <n v="2.37282182E8"/>
        <n v="8712564.0"/>
        <n v="3.7036404E7"/>
        <n v="3.7901509E7"/>
        <n v="717753.0"/>
        <n v="3.7879996E7"/>
        <n v="6619173.0"/>
        <n v="2.90158751E8"/>
        <n v="8.9138076E7"/>
        <n v="2.60031035E8"/>
        <n v="396035.0"/>
        <n v="1.3684949E7"/>
        <n v="3.8168022E7"/>
        <n v="6998324.0"/>
        <n v="1.0460089E7"/>
        <n v="2.22487711E8"/>
        <n v="6855137.0"/>
        <n v="562059.0"/>
        <n v="2077046.0"/>
        <n v="1.8090181E7"/>
        <n v="2.4185781E7"/>
        <n v="713413.0"/>
        <n v="6.6002193E7"/>
        <n v="4.3290977E7"/>
        <n v="2.9959436E7"/>
        <n v="1.8298649E7"/>
        <n v="8.0360866E7"/>
        <n v="3.8536376E7"/>
        <n v="1744858.0"/>
        <n v="1.3753931E7"/>
        <n v="4.0219708E7"/>
        <n v="8.53E7"/>
        <n v="1.00189501E8"/>
        <n v="4018695.0"/>
        <n v="3041803.0"/>
        <n v="2.5857987E7"/>
        <n v="6.1112916E7"/>
        <n v="2850263.0"/>
        <n v="1.34455175E8"/>
        <n v="2.1E7"/>
        <n v="3.7481242E7"/>
        <n v="37606.0"/>
        <n v="2.7141959E7"/>
        <n v="1.3391174E7"/>
        <n v="3.3423521E7"/>
        <n v="1779284.0"/>
        <n v="3.1598308E7"/>
        <n v="5.1178893E7"/>
        <n v="1.8600911E7"/>
        <n v="4.1256277E7"/>
        <n v="2892582.0"/>
        <n v="8.6897182E7"/>
        <n v="1.6988996E7"/>
        <n v="1.5709385E7"/>
        <n v="3.73377893E8"/>
        <n v="2.06435493E8"/>
        <n v="3.7516013E7"/>
        <n v="1.1508423E7"/>
        <n v="2.0200764E8"/>
        <n v="4291965.0"/>
        <n v="1.48213377E8"/>
        <n v="2086345.0"/>
        <n v="6.0338891E7"/>
        <n v="1.12950721E8"/>
        <n v="1.31920333E8"/>
        <n v="1.185E8"/>
        <n v="4.205734E7"/>
        <n v="6157157.0"/>
        <n v="4599680.0"/>
        <n v="1.8343638E8"/>
        <n v="3.7188667E7"/>
        <n v="6197866.0"/>
        <n v="9.49E7"/>
        <n v="3.9025E7"/>
        <n v="7.2601713E7"/>
        <n v="1150403.0"/>
        <n v="613556.0"/>
        <n v="3.6073232E7"/>
        <n v="2.5339117E7"/>
        <n v="2.0285518E7"/>
        <n v="5.8156435E7"/>
        <n v="3.0859E7"/>
        <n v="6.264754E7"/>
        <n v="3151130.0"/>
        <n v="3.8317535E7"/>
        <n v="2.95E7"/>
        <n v="5.6631572E7"/>
        <n v="5023275.0"/>
        <n v="1.2501403E8"/>
        <n v="115862.0"/>
        <n v="8.5570368E7"/>
        <n v="2024854.0"/>
        <n v="4505922.0"/>
        <n v="1.1434867E7"/>
        <n v="6173485.0"/>
        <n v="1.56645693E8"/>
        <n v="1.5417771E7"/>
        <n v="163591.0"/>
        <n v="4.0687294E7"/>
        <n v="1.1270347E8"/>
        <n v="2.4788807E7"/>
        <n v="4.5356386E7"/>
        <n v="3.7300107E7"/>
        <n v="7.5764085E7"/>
        <n v="64148.0"/>
        <n v="3.92E7"/>
        <n v="1.1146409E7"/>
        <n v="5.3337608E7"/>
        <n v="2.4944213E7"/>
        <n v="2221809.0"/>
        <n v="3.3357476E7"/>
        <n v="1.36448821E8"/>
        <n v="1.6017403E7"/>
        <n v="777423.0"/>
        <n v="2.00069408E8"/>
        <n v="4.398423E7"/>
        <n v="7691700.0"/>
        <n v="8.5884815E7"/>
        <n v="5.7504069E7"/>
        <n v="2.4258958E8"/>
        <n v="3.1838002E7"/>
        <n v="1.1433134E7"/>
        <n v="5.08E7"/>
        <n v="2.3020488E7"/>
        <n v="9589875.0"/>
        <n v="6563357.0"/>
        <n v="6.5182182E7"/>
        <n v="38108.0"/>
        <n v="1.28200012E8"/>
        <n v="1.7768E7"/>
        <n v="1046166.0"/>
        <n v="2.4004159E7"/>
        <n v="2.3993605E7"/>
        <n v="1.1784E7"/>
        <n v="3049135.0"/>
        <n v="7022940.0"/>
        <n v="2.0550712E7"/>
        <n v="1.80965237E8"/>
        <n v="1.1E7"/>
        <n v="6.5557989E7"/>
        <n v="2.6876529E7"/>
        <n v="36830.0"/>
        <n v="6241697.0"/>
        <n v="2.2843047E7"/>
        <n v="1.376313E7"/>
        <n v="2.7667947E7"/>
        <n v="5.3854588E7"/>
        <n v="8.1022333E7"/>
        <n v="1.27706877E8"/>
        <n v="5749134.0"/>
        <n v="4.2071069E7"/>
        <n v="872643.0"/>
        <n v="2.043394E7"/>
        <n v="1.406095E7"/>
        <n v="2.34360014E8"/>
        <n v="4.2877165E7"/>
        <n v="4.8291624E7"/>
        <n v="1.03028109E8"/>
        <n v="1.0824921E7"/>
        <n v="2.2201636E7"/>
        <n v="1.1144518E7"/>
        <n v="1.9819494E7"/>
        <n v="4.9874933E7"/>
        <n v="3.5990505E7"/>
        <n v="3.5918429E7"/>
        <n v="4.186796E7"/>
        <n v="5.0859889E7"/>
        <n v="1.4108518E7"/>
        <n v="127437.0"/>
        <n v="4142507.0"/>
        <n v="2.7052167E7"/>
        <n v="1.8439082E7"/>
        <n v="3.1487293E7"/>
        <n v="2.8563926E7"/>
        <n v="3.1165421E7"/>
        <n v="1.9179969E7"/>
        <n v="2.7545445E7"/>
        <n v="3.54E7"/>
        <n v="7.64E7"/>
        <n v="146402.0"/>
        <n v="6719300.0"/>
        <n v="1.2574715E7"/>
        <n v="2181290.0"/>
        <n v="1.0814185E7"/>
        <n v="3216970.0"/>
        <n v="1.5797907E7"/>
        <n v="2.155724E7"/>
        <n v="4756.0"/>
        <n v="4.3022524E7"/>
        <n v="1.20147445E8"/>
        <n v="8.23E7"/>
        <n v="6.4998368E7"/>
        <n v="1.4343976E7"/>
        <n v="9701559.0"/>
        <n v="5.42E7"/>
        <n v="1.227681E7"/>
        <n v="6482195.0"/>
        <n v="6.4736114E7"/>
        <n v="3.5054909E7"/>
        <n v="617228.0"/>
        <n v="1569918.0"/>
        <n v="2.17350219E8"/>
        <n v="1.5988876E7"/>
        <n v="81525.0"/>
        <n v="5.6362352E7"/>
        <n v="1.7593391E7"/>
        <n v="5002310.0"/>
        <n v="1.86336103E8"/>
        <n v="2.9975979E7"/>
        <n v="26435.0"/>
        <n v="7159147.0"/>
        <n v="1.86739919E8"/>
        <n v="5.0461335E7"/>
        <n v="488872.0"/>
        <n v="1.5016763E8"/>
        <n v="1.170209E7"/>
        <n v="12836.0"/>
        <n v="7098492.0"/>
        <n v="3.6658108E7"/>
        <n v="5518918.0"/>
        <n v="1.98332128E8"/>
        <n v="8054280.0"/>
        <n v="3.2131483E7"/>
        <n v="4239767.0"/>
        <n v="2412045.0"/>
        <n v="8.0281096E7"/>
        <n v="4440055.0"/>
        <n v="3.7035515E7"/>
        <n v="1.6204793E7"/>
        <n v="1.53288182E8"/>
        <n v="6.423877E7"/>
        <n v="6.1937495E7"/>
        <n v="2.44052771E8"/>
        <n v="8.1645152E7"/>
        <n v="3.65E7"/>
        <n v="1.48337537E8"/>
        <n v="2.2757819E7"/>
        <n v="4.8006503E7"/>
        <n v="5400000.0"/>
        <n v="1.35014968E8"/>
        <n v="5895238.0"/>
        <n v="5132222.0"/>
        <n v="1.8488314E7"/>
        <n v="2426851.0"/>
        <n v="3.1526393E7"/>
        <n v="2.2751979E7"/>
        <n v="7.0492685E7"/>
        <n v="2.04E7"/>
        <n v="7.1500556E7"/>
        <n v="2.10609762E8"/>
        <n v="124720.0"/>
        <n v="1.62495848E8"/>
        <n v="1.701619E7"/>
        <n v="2275557.0"/>
        <n v="7.0117571E7"/>
        <n v="3.6020063E7"/>
        <n v="2.8501605E7"/>
        <n v="5.3082743E7"/>
        <n v="4.7592825E7"/>
        <n v="3123749.0"/>
        <n v="537580.0"/>
        <n v="9.0636983E7"/>
        <n v="1.41204016E8"/>
        <n v="2.8637507E7"/>
        <n v="1055654.0"/>
        <n v="58214.0"/>
        <n v="4.4886089E7"/>
        <n v="1.10416702E8"/>
        <n v="1.73585516E8"/>
        <n v="1.195E8"/>
        <n v="1.90418803E8"/>
        <n v="5.2799004E7"/>
        <n v="1.374655E7"/>
        <n v="3675072.0"/>
        <n v="2.7669413E7"/>
        <n v="1.7473245E7"/>
        <n v="1.4008085E8"/>
        <n v="9.083503E7"/>
        <n v="2.61437578E8"/>
        <n v="1.3622333E7"/>
        <n v="6.0522097E7"/>
        <n v="21210.0"/>
        <n v="2.81666058E8"/>
        <n v="6.9586544E7"/>
        <n v="9190525.0"/>
        <n v="1.041198E7"/>
        <n v="7486906.0"/>
        <n v="8.4263837E7"/>
        <n v="4414535.0"/>
        <n v="1.5155772E7"/>
        <n v="6.6790248E7"/>
        <n v="2.5077977E7"/>
        <n v="7888703.0"/>
        <n v="1506998.0"/>
        <n v="1.4677654E7"/>
        <n v="7060876.0"/>
        <n v="3388210.0"/>
        <n v="4.219406E7"/>
        <n v="8373585.0"/>
        <n v="1939441.0"/>
        <n v="2.540725E7"/>
        <n v="1.7324744E7"/>
        <n v="183490.0"/>
        <n v="2954405.0"/>
        <n v="1.2169735E8"/>
        <n v="1.213442E7"/>
        <n v="1111615.0"/>
        <n v="3.5033759E7"/>
        <n v="4.6455802E7"/>
        <n v="1.15E8"/>
        <n v="5.4696902E7"/>
        <n v="1.3383737E7"/>
        <n v="7.6137505E7"/>
        <n v="145109.0"/>
        <n v="2.6161406E7"/>
        <n v="1.38396624E8"/>
        <n v="1.11722E8"/>
        <n v="1.1034436E7"/>
        <n v="129115.0"/>
        <n v="9801782.0"/>
        <n v="5.5865715E7"/>
        <n v="7916887.0"/>
        <n v="4.8472213E7"/>
        <n v="3.9143839E7"/>
        <n v="9.0646554E7"/>
        <n v="2808000.0"/>
        <n v="8.307747E7"/>
        <n v="5480318.0"/>
        <n v="7.0163652E7"/>
        <n v="1.959374E7"/>
        <n v="1.24976634E8"/>
        <n v="8.057401E7"/>
        <n v="6.1280963E7"/>
        <n v="2.89907418E8"/>
        <n v="5694308.0"/>
        <n v="8111360.0"/>
        <n v="2.4848292E7"/>
        <n v="7.0960517E7"/>
        <n v="1.40530114E8"/>
        <n v="6.5653758E7"/>
        <n v="6.910291E7"/>
        <n v="1181197.0"/>
        <n v="3.68049635E8"/>
        <n v="6.7344392E7"/>
        <n v="1.60201106E8"/>
        <n v="8.8200225E7"/>
        <n v="22723.0"/>
        <n v="3.2519322E7"/>
        <n v="864959.0"/>
        <n v="325491.0"/>
        <n v="1.13502246E8"/>
        <n v="2.965559E7"/>
        <n v="1.24107476E8"/>
        <n v="1.65230261E8"/>
        <n v="1001437.0"/>
        <n v="6.6257002E7"/>
        <n v="9639242.0"/>
        <n v="6754898.0"/>
        <n v="1.43523463E8"/>
        <n v="1.7596256E7"/>
        <n v="7097125.0"/>
        <n v="6105175.0"/>
        <n v="3753806.0"/>
        <n v="3.8542418E7"/>
        <n v="7.321531E7"/>
        <n v="2.8873374E7"/>
        <n v="952620.0"/>
        <n v="1.72825435E8"/>
        <n v="2.1413502E7"/>
        <n v="9600000.0"/>
        <n v="1.3801755E7"/>
        <n v="5.0150619E7"/>
        <n v="856942.0"/>
        <n v="2.00074175E8"/>
        <n v="32645.0"/>
        <n v="5300000.0"/>
        <n v="7.151923E7"/>
        <n v="4.6982632E7"/>
        <n v="4.14984497E8"/>
        <n v="4.3097652E7"/>
        <n v="1.02922376E8"/>
        <n v="1550000.0"/>
        <n v="4.267263E7"/>
        <n v="1.17698894E8"/>
        <n v="9.5001343E7"/>
        <n v="2154540.0"/>
        <n v="3081925.0"/>
        <n v="5.6154094E7"/>
        <n v="8.0197993E7"/>
        <n v="4.2345531E7"/>
        <n v="1.25320003E8"/>
        <n v="1.0991381E7"/>
        <n v="1100000.0"/>
        <n v="9.4999143E7"/>
        <n v="1.2985267E7"/>
        <n v="52166.0"/>
        <n v="2.4629916E7"/>
        <n v="1.3208891E8"/>
        <n v="3.8122105E7"/>
        <n v="1.2398628E7"/>
        <n v="3.3451479E7"/>
        <n v="4306697.0"/>
        <n v="3645438.0"/>
        <n v="638951.0"/>
        <n v="2.17326336E8"/>
        <n v="1.02981571E8"/>
        <n v="3.4238611E7"/>
        <n v="4.4484065E7"/>
        <n v="4.0218903E7"/>
        <n v="5.2885587E7"/>
        <n v="5.3846915E7"/>
        <n v="6.6359959E7"/>
        <n v="8.34E7"/>
        <n v="2.41688385E8"/>
        <n v="5.4098051E7"/>
        <n v="8460995.0"/>
        <n v="1.72071312E8"/>
        <n v="1.41340178E8"/>
        <n v="2.1835784E7"/>
        <n v="1.6647384E7"/>
        <n v="1.18311368E8"/>
        <n v="6565495.0"/>
        <n v="2.2796569E8"/>
        <n v="4.9474048E7"/>
        <n v="3.5707327E7"/>
        <n v="2812029.0"/>
        <n v="2.5592632E7"/>
        <n v="1.772E8"/>
        <n v="1400000.0"/>
        <n v="1.4378353E7"/>
        <n v="1.30727E8"/>
        <n v="6.2494975E7"/>
        <n v="1.00422786E8"/>
        <n v="4.6377022E7"/>
        <n v="2.1005329E7"/>
        <n v="56007.0"/>
        <n v="1.6622504E8"/>
        <n v="1.40459099E8"/>
        <n v="1.99E7"/>
        <n v="4839383.0"/>
        <n v="2.2433915E7"/>
        <n v="1.12225777E8"/>
        <n v="1.7750583E7"/>
        <n v="1.4358033E7"/>
        <n v="141853.0"/>
        <n v="6.875E7"/>
        <n v="2445646.0"/>
        <n v="1.007E7"/>
        <n v="2.05343774E8"/>
        <n v="7.5367693E7"/>
        <n v="2.1133087E7"/>
        <n v="2.8563179E7"/>
        <n v="5.2792307E7"/>
        <n v="5.666787E7"/>
        <n v="243347.0"/>
        <n v="4.6813366E7"/>
        <n v="5.2752475E7"/>
        <n v="3.0050028E7"/>
        <n v="5.6443482E7"/>
        <n v="2.02351611E8"/>
        <n v="3.9568996E7"/>
        <n v="1.11760631E8"/>
        <n v="4584886.0"/>
        <n v="2.4530513E7"/>
        <n v="115504.0"/>
        <n v="9.3952276E7"/>
        <n v="1.2831121E7"/>
        <n v="3.2014289E7"/>
        <n v="6.0443237E7"/>
        <n v="1.4879556E7"/>
        <n v="1984743.0"/>
        <n v="8.1150692E7"/>
        <n v="5561.0"/>
        <n v="8.0170146E7"/>
        <n v="1.4877546E8"/>
        <n v="131617.0"/>
        <n v="4.6875468E7"/>
        <n v="327919.0"/>
        <n v="871577.0"/>
        <n v="23000.0"/>
        <n v="5.4700065E7"/>
        <n v="1.4294842E7"/>
        <n v="792966.0"/>
        <n v="3.17557891E8"/>
        <n v="6.847336E7"/>
        <n v="8434601.0"/>
        <n v="1.0076136E7"/>
        <n v="2.1078145E7"/>
        <n v="1.3248477E7"/>
        <n v="2.5200412E7"/>
        <n v="7.0625986E7"/>
        <n v="7.560432E7"/>
        <n v="1.0561238E7"/>
        <n v="3.8413606E7"/>
        <n v="1.7986E7"/>
        <n v="2.6005908E7"/>
        <n v="2.735609E7"/>
        <n v="6982680.0"/>
        <n v="3205244.0"/>
        <n v="1.14968774E8"/>
        <n v="1.42614158E8"/>
        <n v="703.0"/>
        <n v="3275585.0"/>
        <n v="9003011.0"/>
        <n v="1.8139538E8"/>
        <n v="2.92298923E8"/>
        <n v="155984.0"/>
        <n v="958319.0"/>
        <n v="2.5528495E7"/>
        <n v="9.0755643E7"/>
        <n v="1.87991439E8"/>
        <n v="5.5184721E7"/>
        <n v="2.8399192E7"/>
        <n v="5.4E7"/>
        <n v="7369373.0"/>
        <n v="6.0072596E7"/>
        <n v="1.7604913E8"/>
        <n v="4.7277326E7"/>
        <n v="1.09712885E8"/>
        <n v="62480.0"/>
        <n v="3.500718E7"/>
        <n v="5484375.0"/>
        <n v="2.5584685E7"/>
        <n v="9176553.0"/>
        <n v="5.5350897E7"/>
        <n v="6.23E7"/>
        <n v="8.3892374E7"/>
        <n v="1.15646235E8"/>
        <n v="2185266.0"/>
        <n v="1.1600608E8"/>
        <n v="9.6471845E7"/>
        <n v="1.9377727E7"/>
        <n v="1.4337579E7"/>
        <n v="2.9802761E7"/>
        <n v="3.2122249E7"/>
        <n v="2.04565E8"/>
        <n v="1.13745408E8"/>
        <n v="1.0042266E7"/>
        <n v="2.55175E7"/>
        <n v="2.89994397E8"/>
        <n v="1.5091542E7"/>
        <n v="1.93136719E8"/>
        <n v="484221.0"/>
        <n v="1.3823741E7"/>
        <n v="1.1634458E7"/>
        <n v="1.00853835E8"/>
        <n v="3.2983713E7"/>
        <n v="3014541.0"/>
        <n v="8.3287363E7"/>
        <n v="1.1847132E8"/>
        <n v="3.0127963E7"/>
        <n v="8104069.0"/>
        <n v="1066555.0"/>
        <n v="7221458.0"/>
        <n v="9.4125426E7"/>
        <n v="1.4821531E7"/>
        <n v="2283276.0"/>
        <n v="3.9380442E7"/>
        <n v="876671.0"/>
        <n v="2.5472967E7"/>
        <n v="5.2066E7"/>
        <n v="3.4703228E7"/>
        <n v="7.8656813E7"/>
        <n v="2.4048E7"/>
        <n v="2.1413105E7"/>
        <n v="119922.0"/>
        <n v="603943.0"/>
        <n v="5.7651794E7"/>
        <n v="1.463749E7"/>
        <n v="2.5138292E7"/>
        <n v="1.7104669E7"/>
        <n v="3.347285E7"/>
        <n v="3.5024475E7"/>
        <n v="12438.0"/>
        <n v="2.9374178E7"/>
        <n v="1.26088877E8"/>
        <n v="2.5675765E7"/>
        <n v="2.7362712E7"/>
        <n v="2.5440971E7"/>
        <n v="3.8345403E7"/>
        <n v="1.8996755E7"/>
        <n v="2.02853933E8"/>
        <n v="464126.0"/>
        <n v="1.583484E8"/>
        <n v="2.0819129E7"/>
        <n v="1.6295774E7"/>
      </sharedItems>
    </cacheField>
    <cacheField name="genres" numFmtId="0">
      <sharedItems>
        <s v="Adventure|Animation|Comedy|Family|Sci-Fi"/>
        <s v="Action|Crime|Sport|Thriller"/>
        <s v="Biography|Drama|History|Sport"/>
        <s v="Action|Drama|Western"/>
        <s v="Crime|Drama|Mystery|Sci-Fi|Thriller"/>
        <s v="Action|Crime"/>
        <s v="Crime|Drama"/>
        <s v="Comedy|Drama|Fantasy|Romance"/>
        <s v="Action|Horror|Sci-Fi|Thriller"/>
        <s v="Biography|Drama|History|Romance"/>
        <s v="Drama|History|War"/>
        <s v="Drama|Mystery"/>
        <s v="Action|Romance|Thriller"/>
        <s v="Comedy|Romance"/>
        <s v="Horror|Mystery|Thriller"/>
        <s v="Drama"/>
        <s v="Action|Comedy|Horror"/>
        <s v="Crime|Drama|Thriller"/>
        <s v="Adventure|Comedy|Musical|Romance"/>
        <s v="Action|Comedy|Mystery"/>
        <s v="Drama|Sport"/>
        <s v="Comedy"/>
        <s v="Action|Adventure|Comedy|Fantasy"/>
        <s v="Horror"/>
        <s v="Action|Crime|Thriller"/>
        <s v="Comedy|Drama|Romance"/>
        <s v="Action|Crime|Drama|Romance|Thriller"/>
        <s v="Comedy|Crime|Drama"/>
        <s v="Action|Drama|Thriller"/>
        <s v="Action"/>
        <s v="Action|Adventure|Sci-Fi"/>
        <s v="Action|Comedy|Romance|Thriller"/>
        <s v="Action|Fantasy|Thriller"/>
        <s v="Action|Drama"/>
        <s v="Drama|History"/>
        <s v="Action|Comedy|Romance"/>
        <s v="Drama|Romance"/>
        <s v="Comedy|Crime|Romance"/>
        <s v="Action|Comedy|Fantasy|Sci-Fi"/>
        <s v="Documentary"/>
        <s v="Action|Adventure|Animation|Comedy|Family"/>
        <s v="Adventure|Drama|Fantasy|Romance"/>
        <s v="Action|Comedy|Crime"/>
        <s v="Drama|Family|Sport"/>
        <s v="Action|Adventure|Fantasy"/>
        <s v="Comedy|Family|Romance"/>
        <s v="Adventure|Animation|Comedy|Family|Fantasy"/>
        <s v="Horror|Thriller"/>
        <s v="Drama|Mystery|Thriller"/>
        <s v="Crime|Thriller"/>
        <s v="Comedy|Music"/>
        <s v="Comedy|Crime|Musical|Mystery"/>
        <s v="Drama|Music|Musical|Romance"/>
        <s v="Comedy|Drama|Family|Music|Romance"/>
        <s v="Action|Adventure|Family|Fantasy"/>
        <s v="Biography|Drama"/>
        <s v="Comedy|Horror"/>
        <s v="Drama|Thriller"/>
        <s v="Biography|Drama|Family|Musical|Romance"/>
        <s v="Comedy|Horror|Thriller"/>
        <s v="Comedy|Drama|Family|Fantasy|Sci-Fi"/>
        <s v="Action|Drama|War"/>
        <s v="Action|Mystery|Sci-Fi|Thriller"/>
        <s v="Adventure|Animation|Comedy|Family|Fantasy|Sci-Fi"/>
        <s v="Drama|Music"/>
        <s v="Action|Adventure|Comedy|Romance|Thriller|Western"/>
        <s v="Biography|Drama|Thriller"/>
        <s v="Crime|Drama|Mystery|Thriller"/>
        <s v="Comedy|Crime"/>
        <s v="Drama|Romance|Western"/>
        <s v="Action|Adventure|Fantasy|Sci-Fi|Thriller"/>
        <s v="Comedy|Drama"/>
        <s v="Comedy|Drama|Music"/>
        <s v="Action|Adventure|Thriller"/>
        <s v="Action|Fantasy|Horror"/>
        <s v="Action|Comedy|Crime|Fantasy"/>
        <s v="Action|Crime|Drama|Thriller"/>
        <s v="Adventure|Drama|Family|Fantasy"/>
        <s v="Comedy|Family|Fantasy"/>
        <s v="Drama|Mystery|Romance|Thriller|War"/>
        <s v="Action|Adventure|Animation|Fantasy"/>
        <s v="Action|Adventure|Fantasy|War"/>
        <s v="Adventure|Animation|Comedy|Family|Fantasy|Romance"/>
        <s v="Biography|Drama|Thriller|War"/>
        <s v="Horror|Mystery"/>
        <s v="Adventure|Drama|Romance|War"/>
        <s v="Crime|Mystery|Thriller"/>
        <s v="Action|Adventure|Animation|Comedy|Family|Fantasy|Sci-Fi"/>
        <s v="Adventure|Drama|Mystery"/>
        <s v="Comedy|Crime|Thriller"/>
        <s v="Action|Crime|Drama|Mystery|Thriller"/>
        <s v="Comedy|Fantasy"/>
        <s v="Biography|Drama|History"/>
        <s v="Adventure|Drama|Sci-Fi|Thriller"/>
        <s v="Action|Adventure"/>
        <s v="Action|Adventure|Comedy|Drama|War"/>
        <s v="Adventure|Comedy|Sci-Fi"/>
        <s v="Drama|Musical|Romance"/>
        <s v="Drama|War"/>
        <s v="Drama|Fantasy"/>
        <s v="Action|Drama|Thriller|War"/>
        <s v="Adventure|Comedy"/>
        <s v="Action|Adventure|Crime|Thriller"/>
        <s v="Documentary|Music"/>
        <s v="Animation|Comedy|Family|Fantasy|Mystery"/>
        <s v="Horror|Mystery|Sci-Fi"/>
        <s v="Drama|Music|Mystery|Romance"/>
        <s v="Drama|Music|Romance"/>
        <s v="Biography|Crime|Drama|War"/>
        <s v="Adventure|Drama|Fantasy"/>
        <s v="Action|Crime|Sci-Fi|Thriller"/>
        <s v="Adventure|Mystery|Sci-Fi"/>
        <s v="Action|Comedy|Crime|Thriller"/>
        <s v="Action|Adventure|Sci-Fi|Thriller"/>
        <s v="Adventure|Animation|Family|Fantasy|Musical"/>
        <s v="Crime|Drama|Romance|Thriller"/>
        <s v="Fantasy|Horror|Mystery|Thriller"/>
        <s v="Action|Crime|Romance|Thriller"/>
        <s v="Comedy|Romance|Sport"/>
        <s v="Action|Adventure|Family|Fantasy|Romance"/>
        <s v="Action|Sci-Fi"/>
        <s v="Comedy|Family"/>
        <s v="Action|Drama|History|Romance|War"/>
        <s v="Adventure|Animation|Family|Fantasy"/>
        <s v="Crime|Drama|Horror|Thriller"/>
        <s v="Drama|Sci-Fi"/>
        <s v="Biography|Drama|Romance"/>
        <s v="Adventure|Drama"/>
        <s v="Comedy|Crime|Mystery"/>
        <s v="Action|Comedy|Drama|Family|Thriller"/>
        <s v="Action|Adventure|Drama|Thriller"/>
        <s v="Adventure|Comedy|Crime"/>
        <s v="Adventure|Animation|Drama|Family|Fantasy|Musical|Mystery|Romance"/>
        <s v="Fantasy|Horror|Thriller"/>
        <s v="Drama|History|Thriller"/>
        <s v="Action|Comedy"/>
        <s v="Action|Drama|Sci-Fi|Sport"/>
        <s v="Action|Crime|Drama"/>
        <s v="Action|Adventure|Drama|Romance"/>
        <s v="Comedy|Documentary|Drama"/>
        <s v="Comedy|Drama|Music|Romance"/>
        <s v="Horror|Sci-Fi|Thriller"/>
        <s v="Adventure|Family|Fantasy|Mystery"/>
        <s v="Drama|Mystery|Romance|Thriller"/>
        <s v="Action|Adventure|Drama|Fantasy"/>
        <s v="Action|Fantasy|Horror|Thriller"/>
        <s v="Comedy|Drama|Romance|Sport"/>
        <s v="Drama|Mystery|Romance|War"/>
        <s v="Comedy|Fantasy|Thriller"/>
        <s v="Crime|Documentary|War"/>
        <s v="Comedy|Family|Romance|Sci-Fi"/>
        <s v="Action|Thriller"/>
        <s v="Comedy|Fantasy|Horror"/>
        <s v="Action|Drama|History|Romance|War|Western"/>
        <s v="Biography|Drama|Sport"/>
        <s v="Adventure|Animation|Comedy|Crime|Family"/>
        <s v="Comedy|Crime|Sport"/>
        <s v="Action|Mystery|Thriller"/>
        <s v="Adventure|Animation|Family|Fantasy|Musical|War"/>
        <s v="Adventure|Comedy|Fantasy|Music|Sci-Fi"/>
        <s v="Drama|Fantasy|Thriller"/>
        <s v="Action|Crime|Mystery|Thriller"/>
        <s v="Animation|Family|Fantasy|Musical"/>
        <s v="Action|Adventure|Comedy|Thriller"/>
        <s v="Drama|Sci-Fi|Thriller"/>
        <s v="Fantasy|Horror"/>
        <s v="Adventure|Family|Fantasy"/>
        <s v="Action|Adventure|Crime|Fantasy|Mystery|Thriller"/>
        <s v="Crime|Drama|Mystery"/>
        <s v="Animation|Comedy|Family|Fantasy|Sci-Fi"/>
        <s v="Action|Adventure|Fantasy|Sci-Fi"/>
        <s v="Action|Comedy|Crime|Romance|Thriller"/>
        <s v="Adventure|Sci-Fi|Thriller"/>
        <s v="Horror|Sci-Fi"/>
        <s v="Action|Adventure|Comedy|Crime"/>
        <s v="Action|Adventure|Romance"/>
        <s v="Biography|Documentary"/>
        <s v="Action|Animation|Sci-Fi|Thriller"/>
        <s v="Action|Adventure|Comedy|Sci-Fi"/>
        <s v="Animation|Comedy|Fantasy|Musical"/>
        <s v="Comedy|Drama|Musical|Romance"/>
        <s v="Comedy|Horror|Sci-Fi"/>
        <s v="Action|Adventure|Biography|Drama|History|Thriller"/>
        <s v="Action|Drama|History|War"/>
        <s v="Comedy|History"/>
        <s v="Comedy|Romance|Sci-Fi"/>
        <s v="Drama|Horror"/>
        <s v="Action|Fantasy|Horror|Sci-Fi"/>
        <s v="Action|Adventure|Drama|History|War"/>
        <s v="Comedy|Drama|Family"/>
        <s v="Animation|Comedy|Fantasy"/>
        <s v="Action|Crime|Fantasy|Thriller"/>
        <s v="Adventure|Animation|Comedy|Drama|Family|Fantasy|Musical"/>
        <s v="Biography|Drama|Family"/>
        <s v="Action|Animation|Sci-Fi"/>
        <s v="Action|Drama|Sci-Fi|Thriller"/>
        <s v="Drama|Fantasy|Horror|Mystery|Thriller"/>
        <s v="Comedy|Mystery"/>
        <s v="Drama|Family|Romance"/>
        <s v="Drama|Mystery|Sci-Fi|Thriller"/>
        <s v="Comedy|Crime|Drama|Romance"/>
        <s v="Action|Adventure|Comedy|Fantasy|Thriller"/>
        <s v="Action|Adventure|Animation|Comedy|Fantasy"/>
        <s v="Biography|Crime|Drama|History|Thriller"/>
        <s v="Animation|Comedy|Drama|Family|Musical"/>
        <s v="Adventure|Drama|Family"/>
        <s v="Action|Adventure|Drama|History|Romance"/>
        <s v="Adventure|Drama|Thriller|Western"/>
        <s v="Action|Adventure|Mystery|Sci-Fi|Thriller"/>
        <s v="Action|Comedy|Sci-Fi"/>
        <s v="Documentary|Sport"/>
        <s v="Action|Drama|Family|Sport"/>
        <s v="Action|Sci-Fi|Thriller"/>
        <s v="Comedy|Fantasy|Romance"/>
        <s v="Adventure|Comedy|Drama|Music"/>
        <s v="Action|Adventure|Comedy|Western"/>
        <s v="Biography|Crime|Drama"/>
        <s v="Action|Adventure|Drama|Thriller|War"/>
        <s v="Comedy|Drama|Horror|Sci-Fi"/>
        <s v="Adventure|Animation|Comedy|Family"/>
        <s v="Comedy|Drama|Romance|Thriller"/>
        <s v="Action|Comedy|Family|Fantasy"/>
        <s v="Action|Adventure|Fantasy|Horror|Thriller"/>
        <s v="Drama|Horror|Thriller"/>
        <s v="Biography|Comedy|Drama|History|Music|Musical"/>
        <s v="Drama|Romance|Thriller"/>
        <s v="Adventure|Comedy|Family|Fantasy"/>
        <s v="Action|Adventure|Comedy"/>
        <s v="Adventure|Biography|Drama|History|War"/>
        <s v="Horror|Mystery|Sci-Fi|Thriller"/>
        <s v="Action|Comedy|Sci-Fi|Thriller"/>
        <s v="Biography|Comedy|Drama"/>
        <s v="Action|Adventure|Drama|Romance|Sci-Fi"/>
        <s v="Comedy|Musical|Romance"/>
        <s v="Action|Comedy|Mystery|Romance"/>
        <s v="Comedy|Family|Musical|Romance"/>
        <s v="Action|Adventure|Crime|Drama|Thriller"/>
        <s v="Comedy|Documentary|Music"/>
        <s v="Action|Adventure|Comedy|Family|Fantasy"/>
        <s v="Adventure|Drama|Romance"/>
        <s v="Adventure|Horror|Thriller"/>
        <s v="Comedy|Music|Romance"/>
        <s v="Adventure|Drama|Western"/>
        <s v="Comedy|Drama|Family|Fantasy"/>
        <s v="Adventure|Comedy|Family|Musical"/>
        <s v="Comedy|Drama|Family|Romance"/>
        <s v="Action|Adventure|Comedy|Crime|Mystery|Thriller"/>
        <s v="Comedy|Drama|Sci-Fi"/>
        <s v="Comedy|Drama|War"/>
        <s v="Biography|Crime|Drama|History|Music"/>
        <s v="Action|Animation|Comedy|Family|Sci-Fi"/>
        <s v="Drama|Family"/>
        <s v="Drama|Fantasy|Mystery|Thriller"/>
        <s v="Action|Comedy|Crime|Drama|Thriller"/>
        <s v="Comedy|Drama|Thriller"/>
        <s v="Crime|Drama|Sport"/>
        <s v="Biography|Drama|Music"/>
        <s v="Drama|Fantasy|Musical|Romance"/>
        <s v="Action|Adventure|Comedy|Romance|Thriller"/>
        <s v="Adventure|Family|Sci-Fi"/>
        <s v="Documentary|War"/>
        <s v="Drama|Horror|Sci-Fi|Thriller"/>
        <s v="Comedy|Fantasy|Horror|Thriller"/>
        <s v="Action|Adventure|Comedy|Sci-Fi|Thriller"/>
        <s v="Adventure|Comedy|Drama|Family"/>
        <s v="Drama|Horror|Mystery|Thriller"/>
        <s v="Drama|Fantasy|Horror|Thriller"/>
        <s v="Adventure|Animation|Comedy|Family|Sport"/>
        <s v="Adventure|Family|Romance"/>
        <s v="Action|Horror|Sci-Fi"/>
        <s v="Action|Drama|Sci-Fi"/>
        <s v="Biography|Drama|Music|Musical"/>
        <s v="Comedy|Drama|Fantasy"/>
        <s v="Action|Comedy|Fantasy"/>
        <s v="Adventure|Fantasy|Horror|Mystery|Thriller"/>
        <s v="Comedy|Drama|Family|Sport"/>
        <s v="Comedy|Musical"/>
        <s v="Comedy|Crime|Family|Romance"/>
        <s v="Crime|Drama|Fantasy"/>
        <s v="Action|Fantasy|Horror|Mystery|Thriller"/>
        <s v="Adventure|Comedy|Crime|Romance"/>
        <s v="Biography|Drama|Romance|War"/>
        <s v="Animation|Comedy|Family|Fantasy|Music"/>
        <s v="Adventure|Comedy|Fantasy"/>
        <s v="Adventure|Comedy|Drama|Fantasy|Romance"/>
        <s v="Biography|Crime|Drama|History|Romance"/>
        <s v="Adventure|Comedy|Family"/>
        <s v="Action|Adventure|Comedy|Family|Fantasy|Sci-Fi"/>
        <s v="Action|Horror|Thriller"/>
        <s v="Adventure|Animation|Comedy|Fantasy|Romance"/>
        <s v="Animation|Comedy|Family|Fantasy"/>
        <s v="Drama|Musical"/>
        <s v="Documentary|History|Music"/>
        <s v="Action|Adventure|Animation|Fantasy|Romance|Sci-Fi"/>
        <s v="Adventure|Family|Fantasy|Musical"/>
        <s v="Comedy|Drama|Family|Musical"/>
        <s v="Drama|History|Romance|War"/>
        <s v="Comedy|Mystery|Sci-Fi|Thriller"/>
        <s v="Drama|Mystery|Sci-Fi"/>
        <s v="Action|Adventure|Biography|Drama|History|Romance|War"/>
        <s v="Adventure|Animation|Comedy|Family|Fantasy|Musical"/>
        <s v="Adventure|Animation|Comedy|Drama|Family|Fantasy|Sci-Fi"/>
        <s v="Adventure|Animation|Comedy|Drama|Family"/>
        <s v="Comedy|Mystery|Romance"/>
        <s v="Adventure|Drama|Thriller"/>
        <s v="Adventure|Animation|Family|Musical"/>
        <s v="Adventure|Fantasy"/>
        <s v="Adventure|Comedy|Drama|Fantasy"/>
        <s v="Comedy|Fantasy|Sci-Fi"/>
        <s v="Biography|Comedy|Drama|History"/>
        <s v="Crime|Horror"/>
        <s v="Biography|Comedy|Crime|Drama|Romance"/>
        <s v="Crime|Drama|Musical|Romance|Thriller"/>
        <s v="Action|Adventure|Crime|Mystery|Thriller"/>
        <s v="Adventure|Comedy|Crime|Family|Mystery"/>
        <s v="Comedy|Crime|Drama|Thriller"/>
        <s v="Animation|Comedy|Family|Mystery|Sci-Fi"/>
        <s v="Adventure|Biography|Drama|Thriller"/>
        <s v="Action|Comedy|Crime|Romance"/>
        <s v="Drama|Fantasy|Romance"/>
        <s v="Action|Drama|Romance"/>
        <s v="Action|Adventure|History"/>
        <s v="Action|Adventure|Drama|Thriller|Western"/>
        <s v="Adventure|Comedy|Family|Fantasy|Horror"/>
        <s v="Action|Adventure|Comedy|Family|Sci-Fi"/>
        <s v="Action|Comedy|Drama|Music"/>
        <s v="Adventure|Biography|Crime|Drama|Western"/>
        <s v="Crime|Drama|Mystery|Thriller|Western"/>
        <s v="Crime|Drama|History"/>
        <s v="Action|Adventure|Animation|Comedy|Crime|Family|Fantasy"/>
        <s v="Action|Drama|Fantasy|Mystery|Thriller"/>
        <s v="Action|Adventure|Fantasy|Horror|Sci-Fi"/>
        <s v="Adventure|Crime|Drama|Romance"/>
        <s v="Animation|Family|Fantasy|Mystery"/>
        <s v="Adventure|Animation|Comedy|Drama|Family|Musical"/>
        <s v="Comedy|Sport"/>
        <s v="Crime|Horror|Mystery|Thriller"/>
        <s v="Drama|Mystery|Romance"/>
        <s v="Drama|Romance|War"/>
        <s v="Documentary|Drama"/>
        <s v="Action|Adventure|Family|Sci-Fi"/>
        <s v="Adventure|Crime|Drama|Western"/>
        <s v="Action|Crime|Drama|Western"/>
        <s v="Crime|Horror|Thriller"/>
        <s v="Animation|Comedy|Family"/>
        <s v="Comedy|Crime|Musical|Romance"/>
        <s v="Action|Adventure|Horror|Sci-Fi|Thriller"/>
        <s v="Comedy|Sci-Fi"/>
        <s v="Action|Adventure|Fantasy|Romance"/>
        <s v="Adventure|Mystery|Thriller"/>
        <s v="Adventure|Comedy|Sci-Fi|Western"/>
        <s v="Comedy|Crime|Drama|Sci-Fi"/>
        <s v="Biography|Drama|History|War"/>
        <s v="Action|Drama|Fantasy|Thriller|Western"/>
        <s v="Comedy|Drama|Horror"/>
        <s v="Action|Adventure|Fantasy|Thriller"/>
        <s v="Action|Adventure|Romance|Sci-Fi"/>
        <s v="Comedy|Drama|Fantasy|Music|Romance"/>
        <s v="Action|Drama|Romance|Thriller"/>
        <s v="Drama|Western"/>
        <s v="Drama|Fantasy|Mystery|Romance|Thriller"/>
        <s v="Comedy|Documentary"/>
        <s v="Biography|Crime|Drama|Romance"/>
        <s v="Comedy|Family|Musical|Romance|Short"/>
        <s v="Action|Adventure|Drama"/>
        <s v="Action|Western"/>
        <s v="Comedy|Family|Romance|Sport"/>
        <s v="Crime|Drama|Music|Romance"/>
        <s v="Drama|Romance|Sci-Fi"/>
        <s v="Comedy|Crime|Drama|Romance|Thriller"/>
        <s v="Adventure|Family|Fantasy|Romance"/>
        <s v="Comedy|Crime|Family"/>
        <s v="Drama|Fantasy|Sci-Fi"/>
        <s v="Adventure|War|Western"/>
        <s v="Animation|Biography|Drama|War"/>
        <s v="Action|Drama|Fantasy|Horror|War"/>
        <s v="Biography|Crime|Drama|History|Western"/>
        <s v="Crime|Drama|Musical"/>
        <s v="Comedy|Family|Music|Romance"/>
        <s v="Action|Adventure|Western"/>
        <s v="Drama|Romance|Sci-Fi|Thriller"/>
        <s v="Adventure|Animation|Drama|Family|Fantasy"/>
        <s v="Action|Comedy|Drama"/>
        <s v="Action|Adventure|Crime|Drama|Mystery|Thriller"/>
        <s v="Drama|Horror|Romance|Thriller"/>
        <s v="Action|Adventure|Comedy|Drama|Thriller"/>
        <s v="Animation|Family|Fantasy|Music"/>
        <s v="Action|Comedy|Thriller"/>
        <s v="Action|Adventure|Drama|Mystery"/>
        <s v="Biography|Comedy|Drama|History|Music"/>
        <s v="Action|Adventure|Family|Thriller"/>
        <s v="Comedy|Documentary|War"/>
        <s v="Action|Adventure|Drama|History"/>
        <s v="Adventure|Animation|Comedy"/>
        <s v="Action|Adventure|Comedy|Romance|Sci-Fi"/>
        <s v="Crime|Drama|Mystery|Romance"/>
        <s v="Documentary|History"/>
        <s v="Biography|Drama|History|Music"/>
        <s v="Action|Adventure|Horror|Sci-Fi"/>
        <s v="Action|Biography|Drama|Thriller|War"/>
        <s v="Drama|History|Music|Romance|War"/>
        <s v="Action|Adventure|Comedy|Romance"/>
        <s v="Drama|Fantasy|Romance|Sci-Fi"/>
        <s v="Comedy|Crime|Musical"/>
        <s v="Adventure|Animation|Family|Thriller"/>
        <s v="Action|Fantasy|Sci-Fi|Thriller"/>
        <s v="Adventure|Animation|Comedy|Family|Romance"/>
        <s v="Drama|Family|Musical|Romance"/>
        <s v="Comedy|Crime|Drama|Mystery|Romance"/>
        <s v="Crime|Drama|History|Romance"/>
        <s v="Comedy|Family|Fantasy|Romance"/>
        <s v="Comedy|Drama|Family|Fantasy|Musical"/>
        <s v="Adventure|Comedy|Family|Sci-Fi"/>
        <s v="Adventure|Comedy|Drama|Romance"/>
        <s v="Action|Fantasy|Western"/>
        <s v="Biography|Drama|Family|History|Sport"/>
        <s v="Drama|Horror|Mystery|Sci-Fi|Thriller"/>
        <s v="Comedy|Sci-Fi|Thriller"/>
        <s v="Comedy|Drama|Mystery|Romance|Thriller|War"/>
        <s v="Action|Comedy|Crime|Fantasy|Horror|Mystery|Sci-Fi|Thriller"/>
        <s v="Drama|Family|Music|Musical"/>
        <s v="Action|Comedy|Family"/>
        <s v="Drama|Horror|Sci-Fi"/>
        <s v="Action|Adventure|Romance|Sci-Fi|Thriller"/>
        <s v="Comedy|Crime|Mystery|Romance"/>
        <s v="Adventure|Biography|Drama"/>
        <s v="Biography|Crime|Documentary|History|Thriller"/>
        <s v="Crime|Drama|Romance"/>
        <s v="Comedy|Drama|Romance|Sci-Fi"/>
        <s v="Fantasy|Horror|Mystery"/>
        <s v="Adventure|Comedy|Family|Mystery|Sci-Fi"/>
        <s v="Mystery|Romance|Thriller"/>
        <s v="Action|Adventure|Fantasy|Horror|Sci-Fi|Thriller"/>
        <s v="Adventure|Comedy|Crime|Drama|Family"/>
        <s v="Adventure|Animation|Drama|Family|Musical"/>
        <s v="Action|Adventure|Animation|Family|Sci-Fi|Thriller"/>
        <s v="Action|Crime|Drama|Sci-Fi|Thriller"/>
        <s v="Adventure|Family|Fantasy|Music|Musical"/>
        <s v="Drama|Fantasy|Horror"/>
        <s v="Action|Sport"/>
        <s v="Adventure|Fantasy|Mystery"/>
        <s v="Comedy|Drama|Fantasy|Horror"/>
        <s v="Action|Animation|Comedy|Crime|Family"/>
        <s v="Action|Horror|Mystery|Sci-Fi|Thriller"/>
        <s v="Crime|Romance|Thriller"/>
        <s v="Comedy|Family|Fantasy|Music|Romance"/>
        <s v="Comedy|Fantasy|Horror|Romance"/>
        <s v="Adventure|Comedy|Drama"/>
        <s v="Comedy|Family|Fantasy|Sci-Fi"/>
        <s v="Action|Family|Sport"/>
        <s v="Drama|Family|Musical"/>
        <s v="Crime|Drama|Western"/>
        <s v="Action|Adventure|Comedy|Music|Thriller"/>
        <s v="Adventure|Comedy|Fantasy|Sci-Fi"/>
        <s v="Action|Crime|Mystery|Romance|Thriller"/>
        <s v="Action|Comedy|Sport"/>
        <s v="Comedy|Family|Sci-Fi"/>
        <s v="Biography|Drama|History|Thriller"/>
        <s v="Adventure|Drama|History|Romance"/>
        <s v="Biography|Drama|Romance|Sport"/>
        <s v="Action|Adventure|Comedy|Family|Mystery"/>
        <s v="Fantasy|Mystery|Romance|Sci-Fi|Thriller"/>
        <s v="Action|Drama|Sport"/>
        <s v="Action|Adventure|Animation|Comedy|Family|Fantasy"/>
        <s v="Action|Crime|Drama|Mystery|Sci-Fi|Thriller"/>
        <s v="Adventure|Animation|Comedy|Drama|Family|Fantasy"/>
        <s v="Drama|History|Thriller|War"/>
        <s v="Action|Crime|Drama|Thriller|Western"/>
        <s v="Biography|Crime|Drama|Thriller"/>
        <s v="Action|Adventure|Animation|Drama|Mystery|Sci-Fi|Thriller"/>
        <s v="Action|Adventure|Drama|Romance|War"/>
        <s v="Action|Adventure|Comedy|Crime|Family|Romance|Thriller"/>
        <s v="Mystery|Sci-Fi|Thriller"/>
        <s v="Animation|Family|Fantasy|Musical|Romance"/>
        <s v="Adventure|Drama|History|Romance|War"/>
        <s v="Adventure"/>
        <s v="Action|Adventure|Drama|Fantasy|War"/>
        <s v="Adventure|Family"/>
        <s v="Action|War"/>
        <s v="Action|Crime|Drama|History|Western"/>
        <s v="Action|Animation|Comedy|Family"/>
        <s v="Comedy|War"/>
        <s v="Adventure|Drama|History"/>
        <s v="Action|Comedy|Crime|Music|Romance|Thriller"/>
        <s v="Action|Adventure|Family|Mystery|Sci-Fi"/>
        <s v="Action|Horror"/>
        <s v="Comedy|Family|Fantasy|Sport"/>
        <s v="Family|Sci-Fi"/>
        <s v="Action|Adventure|Family|Fantasy|Sci-Fi|Thriller"/>
        <s v="Adventure|Comedy|Music|Sci-Fi"/>
        <s v="Adventure|Comedy|Family|Romance"/>
        <s v="Animation|Comedy|Family|Horror|Sci-Fi"/>
        <s v="Adventure|Animation|Comedy|Crime"/>
        <s v="Action|Crime|Sci-Fi"/>
        <s v="Animation|Comedy|Crime|Drama|Family"/>
        <s v="Adventure|Animation|Comedy|Family|Musical"/>
        <s v="Comedy|Family|Fantasy|Musical"/>
        <s v="Action|Comedy|Crime|Drama"/>
        <s v="Comedy|Drama|Musical"/>
        <s v="Drama|Romance|Sport"/>
        <s v="Comedy|Crime|Romance|Thriller"/>
        <s v="Adventure|Documentary|Short"/>
        <s v="Comedy|Family|Fantasy|Horror|Mystery"/>
        <s v="Musical|Romance"/>
        <s v="Biography|Drama|Music|Romance"/>
        <s v="Drama|Romance|War|Western"/>
        <s v="Animation|Family|Fantasy"/>
        <s v="Action|Thriller|Western"/>
        <s v="Thriller"/>
        <s v="Sci-Fi|Thriller"/>
        <s v="Sci-Fi"/>
        <s v="Mystery|Thriller"/>
        <s v="Romance|Sci-Fi|Thriller"/>
        <s v="Western"/>
        <s v="Comedy|Crime|Drama|Thriller|War"/>
        <s v="Biography|Comedy|Crime|Drama"/>
        <s v="Animation|Comedy|Family|Fantasy|Musical"/>
        <s v="Adventure|Biography|Drama|History"/>
        <s v="Action|Adventure|Animation|Family|Fantasy|Sci-Fi"/>
        <s v="Comedy|Family|Music"/>
        <s v="Action|Drama|Fantasy|War"/>
        <s v="Action|Adventure|Comedy|Family|Romance"/>
        <s v="Action|Family|Fantasy|Musical"/>
        <s v="Action|Adventure|Drama|Sci-Fi|Thriller"/>
        <s v="Drama|Family|Fantasy|Romance"/>
        <s v="Comedy|Crime|Music"/>
        <s v="Drama|Music|Musical"/>
        <s v="Biography|Comedy|Drama|Sport"/>
        <s v="Drama|Mystery|Romance|Sci-Fi|Thriller"/>
        <s v="Action|Adventure|Drama|Family"/>
        <s v="Drama|Mystery|War"/>
        <s v="Adventure|Comedy|Family|Sport"/>
        <s v="Action|Drama|Mystery|Thriller|War"/>
        <s v="Biography|Crime|Drama|Western"/>
        <s v="Adventure|Comedy|Horror|Sci-Fi"/>
        <s v="Drama|Family|Western"/>
        <s v="Adventure|Comedy|Crime|Drama"/>
        <s v="Adventure|Comedy|Family|Fantasy|Music|Sci-Fi"/>
        <s v="Comedy|Horror|Mystery"/>
        <s v="Action|Biography|Crime|Drama"/>
        <s v="Action|Fantasy|Horror|Sci-Fi|Thriller"/>
        <s v="Adventure|Animation|Family"/>
        <s v="Biography|Comedy|Musical|Romance|Western"/>
        <s v="Action|Crime|Fantasy|Romance|Thriller"/>
        <s v="Adventure|Animation|Fantasy"/>
        <s v="Biography|Drama|War"/>
        <s v="Crime|Horror|Music|Thriller"/>
        <s v="Comedy|Drama|Sport"/>
        <s v="Crime|Drama|History|Mystery|Thriller"/>
        <s v="Action|Adventure|Family|Fantasy|Sci-Fi"/>
        <s v="Adventure|Biography|Drama|History|Sport|Thriller"/>
        <s v="Action|Drama|Music|Romance"/>
        <s v="Adventure|Family|Fantasy|Sci-Fi"/>
        <s v="Biography|Comedy|Romance"/>
        <s v="Adventure|Comedy|Drama|Family|Fantasy"/>
        <s v="Action|Drama|Fantasy"/>
        <s v="Biography|Comedy|Drama|War"/>
        <s v="Drama|Fantasy|Romance|Thriller"/>
        <s v="Biography|Drama|History|Thriller|War"/>
        <s v="Documentary|Drama|Sport"/>
        <s v="Crime|Drama|Musical|Romance"/>
        <s v="Action|Adventure|Animation|Comedy|Drama|Family|Sci-Fi"/>
        <s v="Crime|Thriller|War"/>
        <s v="Adventure|Comedy|Family|Fantasy|Romance|Sport"/>
        <s v="Comedy|Drama|Musical|Romance|War"/>
        <s v="Drama|Family|Fantasy"/>
        <s v="Crime|Fantasy|Horror"/>
        <s v="Action|Adventure|Thriller|War"/>
        <s v="Adventure|Crime|Mystery|Sci-Fi|Thriller"/>
        <s v="Action|Adventure|Animation|Comedy|Family|Sci-Fi"/>
        <s v="Adventure|Comedy|Drama|Family|Romance"/>
        <s v="Adventure|Comedy|Family|Romance|Sci-Fi"/>
        <s v="Adventure|Drama|Sci-Fi"/>
        <s v="Action|Fantasy"/>
        <s v="Adventure|Animation|Comedy|Family|Fantasy|Music"/>
        <s v="Action|Biography|Drama|History|Thriller|War"/>
        <s v="Adventure|Animation|Comedy|Family|Western"/>
        <s v="Action|Horror|Romance"/>
        <s v="Drama|Fantasy|War"/>
        <s v="Comedy|Horror|Romance"/>
        <s v="Action|Adventure|Drama|War"/>
        <s v="Action|Biography|Drama"/>
        <s v="Action|Adventure|Crime|Drama|Romance"/>
        <s v="Action|Adventure|Animation|Family|Sci-Fi"/>
        <s v="Action|Adventure|Comedy|Fantasy|Mystery"/>
        <s v="Action|Fantasy|Romance|Sci-Fi"/>
        <s v="Action|Biography|Drama|History|Romance|Western"/>
        <s v="Family|Fantasy|Music"/>
        <s v="Action|Comedy|Drama|Thriller"/>
        <s v="Action|Biography|Drama|History|War"/>
        <s v="Action|Biography|Documentary|Sport"/>
        <s v="Action|Sci-Fi|Sport"/>
        <s v="Action|Adventure|Drama|History|Romance|War"/>
        <s v="Fantasy|Thriller"/>
        <s v="Action|Adventure|Drama|Sci-Fi"/>
        <s v="Drama|History|Romance"/>
        <s v="Adventure|Drama|Family|Mystery"/>
        <s v="Action|Comedy|Fantasy|Romance"/>
        <s v="Comedy|Drama|Family|Music|Musical|Romance"/>
        <s v="Action|Drama|Sport|Thriller"/>
        <s v="Drama|History|Sport"/>
        <s v="Action|Adventure|Romance|Thriller"/>
        <s v="Adventure|Comedy|Drama|Family|Mystery"/>
        <s v="Biography|Comedy|Documentary"/>
        <s v="Comedy|Horror|Musical"/>
        <s v="Adventure|Horror|Sci-Fi"/>
        <s v="Drama|Music|Mystery|Romance|Thriller"/>
        <s v="Comedy|Western"/>
        <s v="Fantasy|Horror|Romance|Thriller"/>
        <s v="Action|Adventure|Animation|Family|Fantasy"/>
        <s v="Biography|Documentary|Sport"/>
        <s v="Adventure|Horror"/>
        <s v="Crime|Drama|Fantasy|Mystery"/>
        <s v="Animation|Drama|Family|Fantasy"/>
        <s v="Action|Adventure|Family|Mystery"/>
        <s v="Adventure|Animation|Family|Sci-Fi"/>
        <s v="Drama|History|War|Western"/>
        <s v="Adventure|Animation|Comedy|Family|War"/>
        <s v="Crime|Documentary|Drama"/>
        <s v="Action|Adventure|Crime|Drama|Family|Fantasy|Romance|Thriller"/>
        <s v="Animation|Comedy|Family|Music|Romance"/>
        <s v="Action|Adventure|Comedy|Crime|Thriller"/>
        <s v="Action|Biography|Drama|History|Romance|War"/>
        <s v="Adventure|Fantasy|Mystery|Thriller"/>
        <s v="Action|Adventure|Family|Fantasy|Thriller"/>
        <s v="Adventure|Drama|War"/>
        <s v="Drama|Family|Music|Romance"/>
        <s v="Animation|Comedy|Family|Music|Western"/>
        <s v="Adventure|Drama|Horror|Mystery|Thriller"/>
        <s v="Adventure|Comedy|Drama|Fantasy|Musical"/>
        <s v="Drama|Fantasy|Sport"/>
        <s v="Comedy|Horror|Musical|Sci-Fi"/>
        <s v="Action|Drama|Mystery|Thriller"/>
        <s v="Action|Biography|Drama|History"/>
        <s v="Action|Comedy|Crime|Sci-Fi|Thriller"/>
        <s v="Adventure|Comedy|Romance"/>
        <s v="Drama|Fantasy|Mystery|Romance"/>
        <s v="Adventure|Animation|Comedy|Family|Fantasy|Sci-Fi|Sport"/>
        <s v="Action|Crime|Horror|Sci-Fi|Thriller"/>
        <s v="Action|Comedy|Music"/>
        <s v="Comedy|Fantasy|Horror|Musical"/>
        <s v="Animation|Comedy|Drama"/>
        <s v="Adventure|Animation|Comedy|Family|Fantasy|Musical|Romance"/>
        <s v="Action|Adventure|Comedy|Family|Romance|Sci-Fi"/>
        <s v="Crime|Documentary"/>
        <s v="Adventure|Comedy|Family|Fantasy|Horror|Mystery"/>
        <s v="Action|Crime|Mystery|Sci-Fi|Thriller"/>
        <s v="Documentary|Drama|War"/>
        <s v="Horror|Musical|Sci-Fi"/>
        <s v="Action|Adventure|Drama|Romance|Thriller"/>
        <s v="Action|Drama|Fantasy|Horror|Thriller"/>
        <s v="Comedy|Drama|Family|Fantasy|Romance"/>
        <s v="Comedy|Crime|Drama|Mystery|Thriller"/>
        <s v="Action|Adventure|Comedy|Drama|Music|Sci-Fi"/>
        <s v="Drama|Musical|Romance|Thriller"/>
        <s v="Animation|Drama|Family|Musical|Romance"/>
        <s v="Adventure|Biography|Documentary|Drama"/>
        <s v="Biography|Drama|History|Musical"/>
        <s v="Adventure|Comedy|Family|Fantasy|Sci-Fi"/>
        <s v="Animation|Comedy|Family|Sci-Fi"/>
        <s v="Biography|Drama|Family|Sport"/>
        <s v="Animation|Comedy|Family|Sport"/>
        <s v="Comedy|Fantasy|Musical|Sci-Fi"/>
        <s v="Adventure|Drama|Horror|Thriller"/>
        <s v="Adventure|Comedy|Crime|Music"/>
        <s v="Animation|Comedy|Family|Musical"/>
        <s v="Action|Drama|Fantasy|Romance"/>
        <s v="Drama|Thriller|War"/>
        <s v="Action|Biography|Drama|Sport"/>
        <s v="Crime|Drama|Film-Noir|Mystery|Thriller"/>
        <s v="Action|Animation|Comedy|Sci-Fi"/>
        <s v="Animation|Drama|Mystery|Sci-Fi|Thriller"/>
        <s v="Adventure|Animation|Comedy|Drama|Family|Fantasy|Romance"/>
        <s v="Adventure|Animation|Drama|Family|History|Musical|Romance"/>
        <s v="Adventure|Comedy|Drama|Romance|Sci-Fi"/>
        <s v="Action|Comedy|War"/>
        <s v="Adventure|Comedy|Sport"/>
        <s v="Comedy|Crime|Family|Sci-Fi"/>
        <s v="Adventure|Comedy|Crime|Family|Musical"/>
        <s v="Comedy|Family|Music|Musical"/>
        <s v="Biography|Comedy|Drama|Family|Sport"/>
        <s v="Adventure|Comedy|Mystery"/>
        <s v="Fantasy|Horror|Sci-Fi"/>
        <s v="Adventure|Crime|Drama|Mystery|Western"/>
        <s v="Animation|Drama|Family|Fantasy|Musical|Romance"/>
        <s v="Action|Comedy|Crime|Family"/>
        <s v="Adventure|Drama|Thriller|War"/>
        <s v="Biography|Crime|Drama|Romance|Thriller"/>
        <s v="Action|Adventure|Horror|Thriller"/>
        <s v="Adventure|Comedy|Horror"/>
        <s v="Drama|History|Horror"/>
        <s v="Action|Adventure|Mystery|Sci-Fi"/>
        <s v="Animation|Comedy|Family|Fantasy|Musical|Romance"/>
        <s v="Crime|Drama|Music"/>
        <s v="Fantasy|Horror|Mystery|Romance"/>
        <s v="Action|Comedy|Crime|Music"/>
        <s v="Comedy|Drama|Romance|War"/>
        <s v="Fantasy|Romance"/>
        <s v="Adventure|Comedy|Romance|Sci-Fi"/>
        <s v="Drama|Fantasy|Music|Romance"/>
        <s v="Action|Adventure|Animation|Comedy|Fantasy|Sci-Fi"/>
        <s v="Biography|Comedy|Drama|Romance"/>
        <s v="Comedy|Family|Sport"/>
        <s v="Action|Adventure|Comedy|Family|Fantasy|Mystery|Sci-Fi"/>
        <s v="Action|Adventure|Animation|Family"/>
        <s v="Adventure|Sci-Fi"/>
        <s v="Family|Music|Romance"/>
        <s v="Drama|Fantasy|Horror|Mystery"/>
        <s v="Comedy|Drama|Music|War"/>
        <s v="Action|Crime|Drama|Thriller|War"/>
        <s v="Action|Adventure|Family|Sci-Fi|Thriller"/>
        <s v="Action|Comedy|Drama|War"/>
        <s v="Adventure|Animation|Family|Western"/>
        <s v="Action|Adventure|Comedy|Crime|Music|Mystery"/>
        <s v="Adventure|Horror|Mystery"/>
        <s v="Action|Adventure|Fantasy|Horror"/>
        <s v="Adventure|Comedy|Family|Music|Romance"/>
        <s v="Action|Crime|Drama|Sport"/>
        <s v="Action|Drama|Horror|Thriller"/>
        <s v="Action|Drama|Romance|Sci-Fi|Thriller"/>
        <s v="Action|Horror|Romance|Sci-Fi|Thriller"/>
        <s v="Comedy|Romance|Sci-Fi|Thriller"/>
        <s v="Biography|Crime|Drama|Mystery|Thriller"/>
        <s v="Action|Sci-Fi|War"/>
        <s v="Action|Comedy|Horror|Sci-Fi"/>
        <s v="Comedy|Romance|Thriller"/>
        <s v="Drama|Music|Romance|War"/>
        <s v="Action|Adventure|Comedy|Family"/>
        <s v="Adventure|Biography|Drama|War"/>
        <s v="Comedy|Crime|Family|Mystery|Romance|Thriller"/>
        <s v="Action|Drama|Fantasy|Mystery|Sci-Fi|Thriller"/>
        <s v="Action|Comedy|Sci-Fi|Western"/>
        <s v="Biography|Crime|Documentary|History"/>
        <s v="Adventure|Comedy|Family|Fantasy|Musical"/>
        <s v="Drama|History|Romance|Western"/>
        <s v="Animation|Biography|Documentary|Drama|History|War"/>
        <s v="Adventure|Comedy|Drama|Romance|Thriller|War"/>
        <s v="Action|Adventure|Drama|Romance|Western"/>
      </sharedItems>
    </cacheField>
    <cacheField name="Num_Of_geners" numFmtId="0">
      <sharedItems containsSemiMixedTypes="0" containsString="0" containsNumber="1" containsInteger="1">
        <n v="5.0"/>
        <n v="4.0"/>
        <n v="3.0"/>
        <n v="2.0"/>
        <n v="1.0"/>
        <n v="6.0"/>
        <n v="7.0"/>
        <n v="8.0"/>
      </sharedItems>
    </cacheField>
    <cacheField name="actor_1_name" numFmtId="0">
      <sharedItems>
        <s v="Brendan Fraser"/>
        <s v="Ray Winstone"/>
        <s v="Eddie Cahill"/>
        <s v="Clint Eastwood"/>
        <s v="Dennis Quaid"/>
        <s v="Dwayne Johnson"/>
        <s v="Bruce Willis"/>
        <s v="Goran Visnjic"/>
        <s v="Milla Jovovich"/>
        <s v="Denzel Washington"/>
        <s v="Ioan Gruffudd"/>
        <s v="Matthew McConaughey"/>
        <s v="Johnny Depp"/>
        <s v="Cheech Marin"/>
        <s v="Loretta Devine"/>
        <s v="Annabella Sciorra"/>
        <s v="Sasha Alexander"/>
        <s v="Oliver Platt"/>
        <s v="Gladys Cooper"/>
        <s v="Eddie Cibrian"/>
        <s v="Bill Bailey"/>
        <s v="Ellen Burstyn"/>
        <s v="Steve Guttenberg"/>
        <s v="Cary-Hiroyuki Tagawa"/>
        <s v="Simon Yam"/>
        <s v="Shelley Conn"/>
        <s v="Vivica A. Fox"/>
        <s v="Morgan Freeman"/>
        <s v="Channing Tatum"/>
        <s v="Michael Gough"/>
        <s v="Michael Biehn"/>
        <s v="Tom Selleck"/>
        <s v="Bernie Mac"/>
        <s v="Sophia Myles"/>
        <s v="James Corden"/>
        <s v="Michael Dudikoff"/>
        <s v="Bingbing Li"/>
        <s v="Tom Cruise"/>
        <s v="Ryan Gosling"/>
        <s v="Lena Olin"/>
        <s v="Robin Wright"/>
        <s v="Anthony Hopkins"/>
        <s v="Sarah Silverman"/>
        <s v="Ed Begley Jr."/>
        <s v="Laura Ramsey"/>
        <s v="Robert Pattinson"/>
        <s v="Jada Pinkett Smith"/>
        <s v="Ken Howard"/>
        <s v="Lauren Cohan"/>
        <s v="Nia Vardalos"/>
        <s v="Michael Moore"/>
        <s v="Samantha Morton"/>
        <s v="Justin Timberlake"/>
        <s v="Ocean James"/>
        <s v="Sarah Roemer"/>
        <s v="Al Pacino"/>
        <s v="Steve Coogan"/>
        <s v="Robert Downey Jr."/>
        <s v="Eric Dane"/>
        <s v="Virginia Madsen"/>
        <s v="Emily Osment"/>
        <s v="Peter Dinklage"/>
        <s v="Alex Kendrick"/>
        <s v="Dylan Authors"/>
        <s v="Justin Chon"/>
        <s v="Eleanor Parker"/>
        <s v="Olivia Wilde"/>
        <s v="Sam Trammell"/>
        <s v="Jamie Lee Curtis"/>
        <s v="Liam Aiken"/>
        <s v="Brian Dennehy"/>
        <s v="James Franco"/>
        <s v="Robert Duvall"/>
        <s v="Anne Hathaway"/>
        <s v="Jenna Fischer"/>
        <s v="Michael Fassbender"/>
        <s v="Scarlett Johansson"/>
        <s v="Will Ferrell"/>
        <s v="Ian Whyte"/>
        <s v="Steve Buscemi"/>
        <s v="Nicolas Cage"/>
        <s v="Tom Hanks"/>
        <s v="Jimmy Bennett"/>
        <s v="Bill Murray"/>
        <s v="Scott Glenn"/>
        <s v="Jeremy Renner"/>
        <s v="Viggo Mortensen"/>
        <s v="Don Wallace"/>
        <s v="Peter Greene"/>
        <s v="Emma Stone"/>
        <s v="Bill Duke"/>
        <s v="Dolly Parton"/>
        <s v="Madeline Carroll"/>
        <s v="Ezra Miller"/>
        <s v="Julia Roberts"/>
        <s v="Colin Firth"/>
        <s v="Rupert Everett"/>
        <s v="Orlando Bloom"/>
        <s v="Benedict Cumberbatch"/>
        <s v="Danielle Kotch"/>
        <s v="Catherine Deneuve"/>
        <s v="Kelli Garner"/>
        <s v="Matt Damon"/>
        <s v="Don Cheadle"/>
        <s v="Bob Hoskins"/>
        <s v="Beth Grant"/>
        <s v="Liam Neeson"/>
        <s v="Kathleen Quinlan"/>
        <s v="Adam Sandler"/>
        <s v="Henry Ian Cusick"/>
        <s v="Rene Russo"/>
        <s v="Harrison Ford"/>
        <s v="Judy Greer"/>
        <s v="Alan Rickman"/>
        <s v="Mark Valley"/>
        <s v="Mathieu Kassovitz"/>
        <s v="Shah Rukh Khan"/>
        <s v="Robin Williams"/>
        <s v="Jeremy Irvine"/>
        <s v="Peter Coyote"/>
        <s v="Joaquim de Almeida"/>
        <s v="Wilford Brimley"/>
        <s v="Claudia Christian"/>
        <s v="Peter Fonda"/>
        <s v="Usher Raymond"/>
        <s v="Jordana Brewster"/>
        <s v="Johannes Silberschneider"/>
        <s v="Amanda Schull"/>
        <s v="Sebastian Koch"/>
        <s v="Jamie Kennedy"/>
        <s v="Curtis Armstrong"/>
        <s v="Maura Tierney"/>
        <s v="Lauren German"/>
        <s v="Joseph Gordon-Levitt"/>
        <s v="Gary Oldman"/>
        <s v="Kate Winslet"/>
        <s v="David Keith"/>
        <s v="Daniel Roebuck"/>
        <s v="Lea Michele"/>
        <s v="Paul Walker"/>
        <s v="Clifton Collins Jr."/>
        <s v="Josh Hutcherson"/>
        <s v="Jason Statham"/>
        <s v="Alex Rocco"/>
        <s v="Will Patton"/>
        <s v="Gerard Butler"/>
        <s v="Yasmine Al Massri"/>
        <s v="Robert Davi"/>
        <s v="Angelina Jolie Pitt"/>
        <s v="Steve Bastoni"/>
        <s v="Frances Conroy"/>
        <s v="Jennifer Garner"/>
        <s v="Delroy Lindo"/>
        <s v="Naomi Watts"/>
        <s v="J.K. Simmons"/>
        <s v="Robert De Niro"/>
        <s v="David Masterson"/>
        <s v="Seymour Cassel"/>
        <s v="Stephen Root"/>
        <s v="ShÃ´ Kosugi"/>
        <s v="BÃ©rÃ©nice Bejo"/>
        <s v="Heather Matarazzo"/>
        <s v="Vin Diesel"/>
        <s v="Chris Brown"/>
        <s v="Fergie"/>
        <s v="Bill Cobbs"/>
        <s v="Jere Burns"/>
        <s v="Kirsten Dunst"/>
        <s v="Kane Hodder"/>
        <s v="Christina Milian"/>
        <s v="Hugh Jackman"/>
        <s v="Stacy Keach"/>
        <s v="Chris Evans"/>
        <s v="Daniel von Bargen"/>
        <s v="Dave Chappelle"/>
        <s v="Jim Gaffigan"/>
        <s v="Chemeeka Walker"/>
        <s v="William Schallert"/>
        <s v="Mia Kirshner"/>
        <s v="Andrew Fiscella"/>
        <s v="Bryce Dallas Howard"/>
        <s v="Christopher Lee"/>
        <s v="Julian Sands"/>
        <s v="Alicja Bachleda"/>
        <s v="Denis Lavant"/>
        <s v="Eric Mendenhall"/>
        <s v="ZoÃ« Kravitz"/>
        <s v="Mark Gatiss"/>
        <s v="Taylor Negron"/>
        <s v="Jackson Nicoll"/>
        <s v="Jack McBrayer"/>
        <s v="Mira Sorvino"/>
        <s v="Steve Carell"/>
        <s v="Alex Gibney"/>
        <s v="Natalie Portman"/>
        <s v="Phoebe Cates"/>
        <s v="Tom Berenger"/>
        <s v="Jason Patric"/>
        <s v="Paddy Considine"/>
        <s v="Jennifer Freeman"/>
        <s v="Jeff Kober"/>
        <s v="Joe Estevez"/>
        <s v="Heath Ledger"/>
        <s v="Jack Reynor"/>
        <s v="Ming-Na Wen"/>
        <s v="Keanu Reeves"/>
        <s v="Michael Imperioli"/>
        <s v="Vanessa Williams"/>
        <s v="Mel Blanc"/>
        <s v="Jim Parsons"/>
        <s v="Lauren Holly"/>
        <s v="Thomas McDonell"/>
        <s v="Nia Long"/>
        <s v="Louis Lombardi"/>
        <s v="Haley Joel Osment"/>
        <s v="Catherine Hicks"/>
        <s v="F. Murray Abraham"/>
        <s v="John Enos III"/>
        <s v="Jonathan Winters"/>
        <s v="Will Forte"/>
        <s v="Desmond Llewelyn"/>
        <s v="Sam Shepard"/>
        <s v="Brandon T. Jackson"/>
        <s v="Alison Lohman"/>
        <s v="Fisher Stevens"/>
        <s v="Henry Cavill"/>
        <s v="Christian Monzon"/>
        <s v="Kevin Spacey"/>
        <s v="Louise Fletcher"/>
        <s v="LL Cool J"/>
        <s v="Philip Seymour Hoffman"/>
        <s v="Leonardo DiCaprio"/>
        <s v="Greg Ayres"/>
        <s v="Billy Burke"/>
        <s v="Roxanne McKee"/>
        <s v="Romola Garai"/>
        <s v="Gretchen Mol"/>
        <s v="Ki Hong Lee"/>
        <s v="Treat Williams"/>
        <s v="Noel Fisher"/>
        <s v="Jeanne Tripplehorn"/>
        <s v="Minnie Driver"/>
        <s v="Jeff Bridges"/>
        <s v="James Martin Kelly"/>
        <s v="Caroline Munro"/>
        <s v="Kristin Scott Thomas"/>
        <s v="Dorian Missick"/>
        <s v="Brad Pitt"/>
        <s v="Reba McEntire"/>
        <s v="Chris Hemsworth"/>
        <s v="Caroline Dhavernas"/>
        <s v="Romain Duris"/>
        <s v="Benno FÃ¼rmann"/>
        <s v="Eddie Izzard"/>
        <s v="Muse Watson"/>
        <s v="James Babson"/>
        <s v="Tom Wilkinson"/>
        <s v="Jennifer Lawrence"/>
        <s v="Rob Riggle"/>
        <s v="Ted Raimi"/>
        <s v="Mitsuo Iwata"/>
        <s v="Tim Blake Nelson"/>
        <s v="Eva Green"/>
        <s v="Emily Rios"/>
        <s v="Jet Li"/>
        <s v="Demi Moore"/>
        <s v="Bob Balaban"/>
        <s v="Moritz Bleibtreu"/>
        <s v="Christian Bale"/>
        <s v="Matt Bomer"/>
        <s v="Gary Dourdan"/>
        <s v="Archie Panjabi"/>
        <s v="Anjelica Huston"/>
        <s v="James Nesbitt"/>
        <s v="Donald Pleasence"/>
        <s v="Ally Sheedy"/>
        <s v="Kevin Pollak"/>
        <s v="Zach Gilford"/>
        <s v="Tom Hardy"/>
        <s v="Kath Soucie"/>
        <s v="John Amos"/>
        <s v="Leslie Bibb"/>
        <s v="Norman Reedus"/>
        <s v="Julian Richings"/>
        <s v="Sasha Roiz"/>
        <s v="Jon Hamm"/>
        <s v="Michael Smiley"/>
        <s v="Ty Burrell"/>
        <s v="Lin Shaye"/>
        <s v="Noah Bean"/>
        <s v="PelÃ©"/>
        <s v="Martin Kove"/>
        <s v="Kurt Fuller"/>
        <s v="Jon Lovitz"/>
        <s v="Charlie Hunnam"/>
        <s v="Rebecca Budig"/>
        <s v="Kang-ho Song"/>
        <s v="Andy Lau"/>
        <s v="Alex Veadov"/>
        <s v="Alexia Fast"/>
        <s v="John de Lancie"/>
        <s v="Alicia Witt"/>
        <s v="Terry Pheto"/>
        <s v="Carol Ann Susi"/>
        <s v="Steve Howey"/>
        <s v="Philip Baker Hall"/>
        <s v="Jim Broadbent"/>
        <s v="Joe Lo Truglio"/>
        <s v="Hunter Parrish"/>
        <s v="Ed Skrein"/>
        <s v="Mei MelanÃ§on"/>
        <s v="Chazz Palminteri"/>
        <s v="DamiÃ¡n AlcÃ¡zar"/>
        <s v="Paul Brooke"/>
        <s v="Miranda Richardson"/>
        <s v="Bradley Cooper"/>
        <s v="Warren Christie"/>
        <s v="Jennifer Esposito"/>
        <s v="Drake Bell"/>
        <s v="Wayne Knight"/>
        <s v="Marlon Brando"/>
        <s v="Ginger Rogers"/>
        <s v="Meryl Streep"/>
        <s v="Don Rickles"/>
        <s v="Common"/>
        <s v="Kristen Stewart"/>
        <s v="Hector Elizondo"/>
        <s v="Joe Mantegna"/>
        <s v="Frank Whaley"/>
        <s v="Carmen Electra"/>
        <s v="Emir Kusturica"/>
        <s v="George Kennedy"/>
        <s v="Logan Lerman"/>
        <s v="Numan Acar"/>
        <s v="Abbie Cornish"/>
        <s v="Judith Barsi"/>
        <s v="Eileen Brennan"/>
        <s v="Mary McDonnell"/>
        <s v="Judge Reinhold"/>
        <s v="Mem Ferda"/>
        <s v="Macaulay Culkin"/>
        <s v="David Arquette"/>
        <s v="Mike Vogel"/>
        <s v="Daniel Radcliffe"/>
        <s v="Linda Cardellini"/>
        <s v="Michael Jai White"/>
        <s v="Natascha McElhone"/>
        <s v="Lily Tomlin"/>
        <s v="Donny Boaz"/>
        <s v="Craig Parker"/>
        <s v="Michael Rapaport"/>
        <s v="Ryan Kruger"/>
        <s v="John Doe"/>
        <s v="Adriana Barraza"/>
        <s v="Aldis Hodge"/>
        <s v="Jacqueline McKenzie"/>
        <s v="Frank Langella"/>
        <s v="Chris Eigeman"/>
        <s v="Michael Kelly"/>
        <s v="Matthew Broderick"/>
        <s v="Jason Priestley"/>
        <s v="Joan Allen"/>
        <s v="Mireille Enos"/>
        <s v="Ricardo DarÃ­n"/>
        <s v="Phyllida Law"/>
        <s v="Jim Sturgess"/>
        <s v="Dianne Wiest"/>
        <s v="Eric Idle"/>
        <s v="Jimmy Fallon"/>
        <s v="Quinton Aaron"/>
        <s v="ChloÃ« Grace Moretz"/>
        <s v="Alexis Dziena"/>
        <s v="Mo'Nique"/>
        <s v="Teo Halm"/>
        <s v="Collin Alfredo St. Dic"/>
        <s v="Sayed Badreya"/>
        <s v="James Duval"/>
        <s v="Campbell Scott"/>
        <s v="Ken Arnold"/>
        <s v="Florian Lukas"/>
        <s v="Ian Somerhalder"/>
        <s v="Thomas Lennon"/>
        <s v="Robert Forster"/>
        <s v="Denis Leary"/>
        <s v="Eric Stoltz"/>
        <s v="Don Johnson"/>
        <s v="Raoul Bova"/>
        <s v="Curtiss Cook"/>
        <s v="Alexa PenaVega"/>
        <s v="Melissa Sagemiller"/>
        <s v="Christine Taylor"/>
        <s v="Keir Dullea"/>
        <s v="Frances Bavier"/>
        <s v="Connie Nielsen"/>
        <s v="John Howard"/>
        <s v="John Ratzenberger"/>
        <s v="Kevin McNally"/>
        <s v="Fernanda Andrade"/>
        <s v="Thomas Kretschmann"/>
        <s v="Ryan Reynolds"/>
        <s v="Kim Director"/>
        <s v="Scoot McNairy"/>
        <s v="Lane Smith"/>
        <s v="Paul McCartney"/>
        <s v="Mary-Kate Olsen"/>
        <s v="Dominic Cooper"/>
        <s v="Seth Gilliam"/>
        <s v="John Michael Higgins"/>
        <s v="Jake Gyllenhaal"/>
        <s v="DemiÃ¡n Bichir"/>
        <s v="Ethan Embry"/>
        <s v="Hayden Christensen"/>
        <s v="Fereshteh Sadre Orafaiy"/>
        <s v="Sylvester Stallone"/>
        <s v="Richard Tyson"/>
        <s v="Topher Grace"/>
        <s v="Bella Thorne"/>
        <s v="Stephen Carr"/>
        <s v="Barry Bostwick"/>
        <s v="Janeane Garofalo"/>
        <s v="Sean Lennon"/>
        <s v="Thomas F. Wilson"/>
        <s v="Mark Zupan"/>
        <s v="Glen Hansard"/>
        <s v="Nick Stahl"/>
        <s v="George Carlin"/>
        <s v="Joe Don Baker"/>
        <s v="Fanny Ardant"/>
        <s v="Joseph Cotten"/>
        <s v="Amy Poehler"/>
        <s v="Tyler James Williams"/>
        <s v="Adam Scott"/>
        <s v="Robyn Lively"/>
        <s v="Catriona MacColl"/>
        <s v="Sarah Polley"/>
        <s v="Cicely Tyson"/>
        <s v="Frankie Muniz"/>
        <s v="Hayley Atwell"/>
        <s v="Will Smith"/>
        <s v="Ariana Richards"/>
        <s v="Elizabeth McGovern"/>
        <s v="Hope Davis"/>
        <s v="Jeff Fahey"/>
        <s v="Quentin Tarantino"/>
        <s v="Justin Theroux"/>
        <s v="Kimberly Elise"/>
        <s v="MÃ­a Maestro"/>
        <s v="Paul Sorvino"/>
        <s v="Ethan Suplee"/>
        <s v="Djimon Hounsou"/>
        <s v="Tim Holmes"/>
        <s v="Sheryl Lee"/>
        <s v="Joe Cocker"/>
        <s v="Oprah Winfrey"/>
        <s v="Greg Grunberg"/>
        <s v="Jon Favreau"/>
        <s v="Johnny Cannizzaro"/>
        <s v="Mara Wilson"/>
        <s v="Patrick Macnee"/>
        <s v="Janet Leigh"/>
        <s v="Kristin Lehman"/>
        <s v="Lexie Contursi"/>
        <s v="Rory Culkin"/>
        <s v="Wood Harris"/>
        <s v="Bobby Lee"/>
        <s v="Sunny Mabrey"/>
        <s v="Justin Kirk"/>
        <s v="Anna Kendrick"/>
        <s v="Richard Cabral"/>
        <s v="QuvenzhanÃ© Wallis"/>
        <s v="Tom Welling"/>
        <s v="Vanessa Redgrave"/>
        <s v="Alex Huszar"/>
        <s v="Omari Hardwick"/>
        <s v="Meg Foster"/>
        <s v="Janet Jackson"/>
        <s v="Dane Cook"/>
        <s v="Holly Hunter"/>
        <s v="Alice Braga"/>
        <s v="Jeremy Shada"/>
        <s v="Miko Hughes"/>
        <s v="Elizabeth Daily"/>
        <s v="Tia Carrere"/>
        <s v="Isabelle Huppert"/>
        <s v="Esai Morales"/>
        <s v="Anna Friel"/>
        <s v="Zooey Deschanel"/>
        <s v="Stephen Collins"/>
        <s v="Andrew Wilson"/>
        <s v="Monica Potter"/>
        <s v="Vernon Dobtcheff"/>
        <s v="Jessica Lowndes"/>
        <s v="Jon Heder"/>
        <s v="Erika Christensen"/>
        <s v="Brian Thompson"/>
        <s v="Roy Scheider"/>
        <s v="William Smith"/>
        <s v="Nicki Aycox"/>
        <s v="Christian Clavier"/>
        <s v="Lupe Ontiveros"/>
        <s v="Sid Haig"/>
        <s v="Dameon Clarke"/>
        <s v="Judith Chapman"/>
        <s v="John Witherspoon"/>
        <s v="Miguel Ferrer"/>
        <s v="Rita Moreno"/>
        <s v="Matt Walsh"/>
        <s v="Mekhi Phifer"/>
        <s v="Charlize Theron"/>
        <s v="Roger Rees"/>
        <s v="Rhys Wakefield"/>
        <s v="Tom Skerritt"/>
        <s v="Henry Thomas"/>
        <s v="Pamela Reed"/>
        <s v="Diedrich Bader"/>
        <s v="Alice Olivia Clarke"/>
        <s v="Robert Shaw"/>
        <s v="Harold Perrineau"/>
        <s v="Candice Bergen"/>
        <s v="David Oyelowo"/>
        <s v="Chen Chang"/>
        <s v="Tommy Sheppard"/>
        <s v="Daniel Kaluuya"/>
        <s v="Tony Curran"/>
        <s v="Imelda Staunton"/>
        <s v="Odeya Rush"/>
        <s v="Tika Sumpter"/>
        <s v="Karisma Kapoor"/>
        <s v="Johanna Braddy"/>
        <s v="Najarra Townsend"/>
        <s v="Ted Danson"/>
        <s v="Mike Starr"/>
        <s v="Derick Martini"/>
        <s v="Raymond J. Barry"/>
        <s v="Craig Stark"/>
        <s v="Brian Bosworth"/>
        <s v="Ron Howard"/>
        <s v="Seth MacFarlane"/>
        <s v="Alfre Woodard"/>
        <s v="Tina Fey"/>
        <s v="Victor Wong"/>
        <s v="Phil Vischer"/>
        <s v="Celia Imrie"/>
        <s v="Boris Kodjoe"/>
        <s v="Myrna Loy"/>
        <s v="Carlos Ponce"/>
        <s v="Pedro ArmendÃ¡riz Jr."/>
        <s v="Kevin Zegers"/>
        <s v="Costas Mandylor"/>
        <s v="Christopher Lambert"/>
        <s v="Tony Goldwyn"/>
        <s v="Julian Morris"/>
        <s v="Lynn Cohen"/>
        <s v="Sarah Michelle Gellar"/>
        <s v="Scout Taylor-Compton"/>
        <s v="Omar Epps"/>
        <s v="Frank Welker"/>
        <s v="Chris Elliott"/>
        <s v="Sean Pertwee"/>
        <s v="Ben Feldman"/>
        <s v="Mariah Carey"/>
        <s v="John Saxon"/>
        <s v="Bruce Greenwood"/>
        <s v="Kevin Grevioux"/>
        <s v="Rosario Dawson"/>
        <s v="Lea Thompson"/>
        <s v="Miriam Margolyes"/>
        <s v="Julie Benz"/>
        <s v="Daniel Mays"/>
        <s v="Eddie Redmayne"/>
        <s v="Marcell Nagy"/>
        <s v="Martin Short"/>
        <s v="Martin Landau"/>
        <s v="Heather O'Rourke"/>
        <s v="Morgan Saylor"/>
        <s v="Don McKellar"/>
        <s v="Kathleen Turner"/>
        <s v="Essence Atkins"/>
        <s v="Margot Kidder"/>
        <s v="Ingvar Eggert SigurÃ°sson"/>
        <s v="Gary Cole"/>
        <s v="Eartha Kitt"/>
        <s v="Stephen Graham"/>
        <s v="Jay Hernandez"/>
        <s v="Tom Everett Scott"/>
        <s v="Eamonn Walker"/>
        <s v="Romany Malco"/>
        <s v="Glenn Plummer"/>
        <s v="Albert Finney"/>
        <s v="BÃ¡rbara Mori"/>
        <s v="Nehemiah Persoff"/>
        <s v="Lee Majors"/>
        <s v="Joe Morton"/>
        <s v="Eddie Griffin"/>
        <s v="Michael Berryman"/>
        <s v="Christoph Waltz"/>
        <s v="Noah Huntley"/>
        <s v="Marley Shelton"/>
        <s v="Jason Alexander"/>
        <s v="Katy Mixon"/>
        <s v="Matthew Settle"/>
        <s v="Michael Wincott"/>
        <s v="Ã“scar Jaenada"/>
        <s v="Jessica Barden"/>
        <s v="William Hurt"/>
        <s v="Gregory Smith"/>
        <s v="Alyson Hannigan"/>
        <s v="Brad William Henke"/>
        <s v="Ornella Muti"/>
        <s v="Eoin Macken"/>
        <s v="Sarah Butler"/>
        <s v="Josh Charles"/>
        <s v="Alice Krige"/>
        <s v="Kieran Culkin"/>
        <s v="Colm Feore"/>
        <s v="Sprague Grayden"/>
        <s v="Josh Gad"/>
        <s v="Roma Downey"/>
        <s v="Li Gong"/>
        <s v="Sandrine Kiberlain"/>
        <s v="Richard E. Grant"/>
        <s v="Ally Walker"/>
        <s v="Claude Rains"/>
        <s v="Ivana Milicevic"/>
        <s v="Alessandro Nivola"/>
        <s v="Devin Ratray"/>
        <s v="Zack Ward"/>
        <s v="Alexander Gould"/>
        <s v="Alex Pettyfer"/>
        <s v="Katharine Ross"/>
        <s v="Gavin MacLeod"/>
        <s v="Bruce Spence"/>
        <s v="Steven Bauer"/>
        <s v="Rip Torn"/>
        <s v="James Coburn"/>
        <s v="Kerry BishÃ©"/>
        <s v="Mhairi Calvey"/>
        <s v="Krista Allen"/>
        <s v="Barry Corbin"/>
        <s v="Melina Kanakaredes"/>
        <s v="Radha Mitchell"/>
        <s v="Adam Garcia"/>
        <s v="Jean-Pierre LÃ©aud"/>
        <s v="Leonor Varela"/>
        <s v="Clint Howard"/>
        <s v="Stephen Rea"/>
        <s v="Madeline Kahn"/>
        <s v="Glenn Morshower"/>
        <s v="David Paymer"/>
        <s v="Lochlyn Munro"/>
        <s v="Indira Varma"/>
        <s v="Quincy Jones"/>
        <s v="Seychelle Gabriel"/>
        <s v="Ulrich Thomsen"/>
        <s v="Ulrich Tukur"/>
        <s v="Peter Firth"/>
        <s v="Roger Allam"/>
        <s v="Dan Byrd"/>
        <s v="Chris Noth"/>
        <s v="Jennifer Ehle"/>
        <s v="Faizon Love"/>
        <s v="Verne Troyer"/>
        <s v="Rapulana Seiphemo"/>
        <s v="Joseph Gilgun"/>
        <s v="David Carradine"/>
        <s v="Essie Davis"/>
        <s v="Bill Maher"/>
        <s v="Greg Crowe"/>
        <s v="Lesley Manville"/>
        <s v="Rupert Grint"/>
        <s v="Bono"/>
        <s v="Kyra Sedgwick"/>
        <s v="David Jason Perez"/>
        <s v="Heather Locklear"/>
        <s v="Si Won Choi"/>
        <s v="Albert Brooks"/>
        <s v="Takashi Shimura"/>
        <s v="Chris Klein"/>
        <s v="Zoe Kazan"/>
        <s v="Jerry Ferrara"/>
        <s v="Austin Pendleton"/>
        <s v="Matthew Ziff"/>
        <s v="Elizabeth Berrington"/>
        <s v="Tippi Hedren"/>
        <s v="Kelsey Grammer"/>
        <s v="John F. Kennedy"/>
        <s v="Todd Giebenhain"/>
        <s v="Misha Gabriel Hamilton"/>
        <s v="Jeffrey Jones"/>
        <s v="Tina Turner"/>
        <s v="Rainn Wilson"/>
        <s v="Colin Salmon"/>
        <s v="Gary Lewis"/>
        <s v="Mike Epps"/>
        <s v="Julianna Guill"/>
        <s v="Busy Philipps"/>
        <s v="Bailee Madison"/>
        <s v="Mitch Pileggi"/>
        <s v="Shannon Elizabeth"/>
        <s v="Vincent Schiavelli"/>
        <s v="Mark Addy"/>
        <s v="Jason Marsden"/>
        <s v="Caitlin Stasey"/>
        <s v="Victor Rasuk"/>
        <s v="Adam Arkin"/>
        <s v="Jacob Vargas"/>
        <s v="Mike Howard"/>
        <s v="Topol"/>
        <s v="Marie-JosÃ©e Croze"/>
        <s v="Aasif Mandvi"/>
        <s v="Laila Haley"/>
        <s v="Robert Redford"/>
        <s v="Jay Mohr"/>
        <s v="Mary Lynn Rajskub"/>
        <s v="Steven Mackintosh"/>
        <s v="Michael Angarano"/>
        <s v="Frank Grillo"/>
        <s v="Shawna Waldron"/>
        <s v="Mila Kunis"/>
        <s v="Zachary Gordon"/>
        <s v="Tony Cox"/>
        <s v="Anil Kapoor"/>
        <s v="Phil Davis"/>
        <s v="Ahna O'Reilly"/>
        <s v="Jamie RenÃ©e Smith"/>
        <s v="Nat Wolff"/>
        <s v="Isabelle Adjani"/>
        <s v="Richard Burgi"/>
        <s v="Marco St. John"/>
        <s v="Jennifer Hudson"/>
        <s v="Joan Rivers"/>
        <s v="Hill Harper"/>
        <s v="Salma Hayek"/>
        <s v="Jaime King"/>
        <s v="Antoni Corone"/>
        <s v="Bunta Sugawara"/>
        <s v="Woody Allen"/>
        <s v="Lawrence Gilliard Jr."/>
        <s v="Bojana Novakovic"/>
        <s v="Lena Dunham"/>
        <s v="John Heard"/>
        <s v="Steve Oedekerk"/>
        <s v="Luke Newberry"/>
        <s v="Paul McGill"/>
        <s v="KÃ´ji Yakusho"/>
        <s v="Luke Bracey"/>
        <s v="Francesca Capaldi"/>
        <s v="Edie Falco"/>
        <s v="Jim Carter"/>
        <s v="Alan Ruck"/>
        <s v="Cole Hauser"/>
        <s v="Jennifer Jason Leigh"/>
        <s v="Maggie Cheung"/>
        <s v="Theo James"/>
        <s v="Betsy Palmer"/>
        <s v="Bridgette Wilson-Sampras"/>
        <s v="William Hootkins"/>
        <s v="Lena Horne"/>
        <s v="Tom Atkins"/>
        <s v="Mackenzie Foy"/>
        <s v="Julia Ormond"/>
        <s v="Purva Bedi"/>
        <s v="Cameron Bright"/>
        <s v="Vanessa Lengies"/>
        <s v="Chase Ellison"/>
        <s v="Wesley Jonathan"/>
        <s v="Andrew Garfield"/>
        <s v="Lambert Wilson"/>
        <s v="Angus T. Jones"/>
        <s v="Blair Brown"/>
        <s v="Otto Jespersen"/>
        <s v="David Lyons"/>
        <s v="Bobbie Phillips"/>
        <s v="Catherine O'Hara"/>
        <s v="Charlotte Rampling"/>
        <s v="Mark Margolis"/>
        <s v="Alexis Arquette"/>
        <s v="Scott Porter"/>
        <s v="Oliver Reed"/>
        <s v="Carol Kane"/>
        <s v="Joely Richardson"/>
        <s v="Sarunyu Wongkrachang"/>
        <s v="Shelley Duvall"/>
        <s v="Javier Botet"/>
        <s v="Parry Shen"/>
        <s v="Scott Baio"/>
        <s v="Emma Bell"/>
        <s v="Daniel Sharman"/>
        <s v="Rumi Hiiragi"/>
        <s v="Ben Gazzara"/>
        <s v="Michiel Huisman"/>
        <s v="Adam Baldwin"/>
        <s v="Laura Harring"/>
        <s v="Max Minghella"/>
        <s v="Chriss Anglin"/>
        <s v="Clu Gulager"/>
        <s v="Willie Garson"/>
        <s v="Kurtwood Smith"/>
        <s v="Cliff Robertson"/>
        <s v="Jon Seda"/>
        <s v="Oliver Hudson"/>
        <s v="Clea DuVall"/>
        <s v="Kevin Corrigan"/>
        <s v="Billy Campbell"/>
        <s v="America Ferrera"/>
        <s v="Violante Placido"/>
        <s v="Rosanna Arquette"/>
        <s v="Patton Oswalt"/>
        <s v="Billy Crudup"/>
        <s v="Eddie Marsan"/>
        <s v="Walter Koenig"/>
        <s v="Bokeem Woodbine"/>
        <s v="Dreama Walker"/>
        <s v="Carlos Gallardo"/>
        <s v="Ellar Coltrane"/>
        <s v="Ian McDiarmid"/>
        <s v="Rosie Perez"/>
        <s v="Matt Cohen"/>
        <s v="Wes Studi"/>
        <s v="Rachel Dratch"/>
        <s v="Mia Sara"/>
        <s v="Joel Courtney"/>
        <s v="David Hyde Pierce"/>
        <s v="Takeshi Kaneshiro"/>
        <s v="Natasha Henstridge"/>
        <s v="Jacques Perrin"/>
        <s v="John Boyega"/>
        <s v="Ursula Andress"/>
        <s v="Noah Danby"/>
        <s v="Lew Temple"/>
        <s v="Lily Atkinson"/>
        <s v="Tamannaah Bhatia"/>
        <s v="Sean Hayes"/>
        <s v="Meat Loaf"/>
        <s v="Emmanuelle Vaugier"/>
        <s v="Jensen Ackles"/>
        <s v="Patricia Tallman"/>
        <s v="Brittany Daniel"/>
        <s v="Paul Hogan"/>
        <s v="Gunnar Hansen"/>
        <s v="Armando Riesco"/>
        <s v="Olivia Munn"/>
        <s v="Corinna Harney"/>
        <s v="Mackenzie Davis"/>
        <s v="Matthew Perry"/>
        <s v="Isaiah Washington"/>
        <s v="Vincent Pastore"/>
        <s v="Matt Price"/>
        <s v="Nathalie Fay"/>
        <s v="Tiffany Helm"/>
        <s v="Richard Brooker"/>
        <s v="Charlie Korsmo"/>
        <s v="Tom Hughes"/>
        <s v="Elden Henson"/>
        <s v="Rick Yune"/>
        <s v="Warren Beatty"/>
        <s v="Brenda Song"/>
        <s v="Charles Napier"/>
        <s v="Kip Pardue"/>
        <s v="Telly Savalas"/>
        <s v="Lilli Lavine"/>
        <s v="Adam Goldberg"/>
        <s v="Randy Wayne"/>
        <s v="Kimberly J. Brown"/>
        <s v="Taylor Lautner"/>
        <s v="Richard Wilson"/>
        <s v="Daniel Stern"/>
        <s v="Dean Stockwell"/>
        <s v="Tori Spelling"/>
        <s v="Alison Brie"/>
        <s v="Harold Ramis"/>
        <s v="Luenell"/>
        <s v="Shari Albert"/>
        <s v="Micah Sloat"/>
        <s v="Caleb Landry Jones"/>
        <s v="Richard Burton"/>
        <s v="Nawazuddin Siddiqui"/>
        <s v="Stockard Channing"/>
        <s v="Ricky Schroder"/>
        <s v="Jeffrey Combs"/>
        <s v="Damon Wayans"/>
        <s v="Andy Dick"/>
        <s v="Ed Wynn"/>
        <s v="Xander Berkeley"/>
        <s v="Jacob Tremblay"/>
        <s v="Isabella Rossellini"/>
        <s v="Corbin Bernsen"/>
        <s v="Tisha Campbell-Martin"/>
        <s v="Stephen Amell"/>
        <s v="Craig T. Nelson"/>
        <s v="Ryan Guzman"/>
        <s v="Jon Foo"/>
        <s v="Isaac Hempstead Wright"/>
        <s v="Marsha Thomason"/>
        <s v="Olivia Newton-John"/>
        <s v="Byron Mann"/>
        <s v="Sandra Ellis Lafferty"/>
        <s v="David Zayas"/>
        <s v="Sally Hawkins"/>
        <s v="Harry Lennix"/>
        <s v="David Gant"/>
        <s v="Taran Killam"/>
        <s v="Wagner Moura"/>
        <s v="Jeremy W. Auman"/>
        <s v="Jennifer Saunders"/>
        <s v="Kelly Preston"/>
        <s v="Tenzin Thuthob Tsarong"/>
        <s v="Eric Johnson"/>
        <s v="Angell Conwell"/>
        <s v="Nate Parker"/>
        <s v="Yuri Lowenthal"/>
        <s v="Emraan Hashmi"/>
        <s v="Tatyana Ali"/>
        <s v="Chris Gauthier"/>
        <s v="James Urbaniak"/>
        <s v="Ian Gamazon"/>
        <s v="Gary Weeks"/>
        <s v="Robert Pine"/>
        <s v="Jim Belushi"/>
        <s v="Callum Rennie"/>
        <s v="Iko Uwais"/>
        <s v="George Coe"/>
        <s v="Charlie McDermott"/>
        <s v="CCH Pounder"/>
        <s v="Tiago Riani"/>
        <s v="John Gatins"/>
        <s v="Talulah Riley"/>
        <s v="Debra Messing"/>
        <s v="Q'orianka Kilcher"/>
        <s v="Catherine Lough Haggquist"/>
        <s v="BjÃ¸rn Sundquist"/>
        <s v="Toby Stephens"/>
        <s v="Nathan Lane"/>
        <s v="Roy Billing"/>
        <s v="Tom Cullen"/>
        <s v="Leonard Nimoy"/>
        <s v="Jason Flemyng"/>
        <s v="Phaldut Sharma"/>
        <s v="Aidan Turner"/>
        <s v="Brendan Doogie Milewski"/>
        <s v="Jason London"/>
        <s v="Shirley Henderson"/>
        <s v="Hiroshi Abe"/>
        <s v="Shelley Hennig"/>
        <s v="Yorick van Wageningen"/>
        <s v="Chris Zylka"/>
        <s v="Christo Jivkov"/>
        <s v="Tshewang Dendup"/>
        <s v="Paulette Goddard"/>
        <s v="Katharine Isabelle"/>
        <s v="Lubna Azabal"/>
        <s v="Jonathan Brandis"/>
        <s v="Doug E. Doug"/>
        <s v="Jesse McCartney"/>
        <s v="Naseeruddin Shah"/>
        <s v="Bill Johnson"/>
        <s v="Jack Palance"/>
        <s v="William Morgan Sheppard"/>
        <s v="Irene Bedard"/>
        <s v="M. Emmet Walsh"/>
        <s v="Aunjanue Ellis"/>
        <s v="Margaret Hamilton"/>
        <s v="G.W. Krauss"/>
        <s v="Alicia Goranson"/>
        <s v="Vidya Balan"/>
        <s v="James Lafferty"/>
        <s v="Vinessa Shaw"/>
        <s v="Fred Willard"/>
        <s v="Heike Makatsch"/>
        <s v="Alona Tal"/>
        <s v="Paul Guilfoyle"/>
        <s v="Monique Gabriela Curnen"/>
        <s v="Keisha Castle-Hughes"/>
        <s v="Ben Davies"/>
        <s v="Cameron Monaghan"/>
        <s v="Lauren Ambrose"/>
        <s v="Jelena Jovanova"/>
        <s v="Dania Ramirez"/>
        <s v="Josh Wingate"/>
        <s v="Emily Watson"/>
        <s v="Aidan Quinn"/>
        <s v="LeVar Burton"/>
        <s v="Drew Powell"/>
        <s v="Bruce McGill"/>
        <s v="Craig Ferguson"/>
        <s v="Keenan Wynn"/>
        <s v="Larry Miller"/>
        <s v="Toby Jones"/>
        <s v="Jordi MollÃ "/>
        <s v="Daryl Sabara"/>
        <s v="Emma Watson"/>
        <s v="Sterling Jerins"/>
        <s v="Alia Shawkat"/>
        <s v="Olivia Williams"/>
        <s v="Marc Blucas"/>
        <s v="Anika Noni Rose"/>
        <s v="Ayelet Zurer"/>
        <s v="Saffron Burrows"/>
        <s v="Dax Flame"/>
        <s v="FranÃ§ois Cluzet"/>
        <s v="Beverly D'Angelo"/>
        <s v="Brendan Fehr"/>
        <s v="Jack Davenport"/>
        <s v="Rami Malek"/>
        <s v="Manish Dayal"/>
        <s v="Aisha Tyler"/>
        <s v="Farrah Fawcett"/>
        <s v="Ximena Ayala"/>
        <s v="Khandi Alexander"/>
        <s v="Kirby Heyborne"/>
        <s v="Jessy Schram"/>
        <s v="Hal Holbrook"/>
        <s v="Robert Townsend"/>
        <s v="Bam Margera"/>
        <s v="Jeremy Davies"/>
        <s v="Pam Ferris"/>
        <s v="Tatsuo Matsumura"/>
        <s v="William Gates"/>
        <s v="Tommy Pallotta"/>
        <s v="Melanie Griffith"/>
        <s v="Michael Emerson"/>
        <s v="Logan Browning"/>
        <s v="Steven Anthony Lawrence"/>
        <s v="Mike Figueroa"/>
        <s v="Miranda Cosgrove"/>
        <s v="Cedric the Entertainer"/>
        <s v="Shailene Woodley"/>
        <s v="Adrian Martinez"/>
        <s v="Trey Parker"/>
        <s v="Rock Hudson"/>
        <s v="Adriana Caselotti"/>
        <s v="Ronny Cox"/>
        <s v="Catalina Sandino Moreno"/>
        <s v="Julie Walters"/>
        <s v="Sonja Sohn"/>
        <s v="Tina Desai"/>
        <s v="William McNamara"/>
        <s v="Paul Schneider"/>
        <s v="Leonard Roberts"/>
        <s v="James Kyson"/>
        <s v="Kevin Rankin"/>
        <s v="Leighton Meester"/>
        <s v="Alun Armstrong"/>
        <s v="Alice Greczyn"/>
        <s v="James D'Arcy"/>
        <s v="Samira Wiley"/>
        <s v="Nirut Sirichanya"/>
        <s v="William Baldwin"/>
        <s v="Matt Shively"/>
        <s v="Stephanie Szostak"/>
        <s v="Marina Golbahari"/>
        <s v="Danneel Ackles"/>
        <s v="Lindsay Kay Hayward"/>
        <s v="Seamus Davey-Fitzpatrick"/>
        <s v="Bashar Rahal"/>
        <s v="Bolo Yeung"/>
        <s v="Clive Russell"/>
        <s v="Udo Kier"/>
        <s v="Matt Smith"/>
        <s v="Ivana Baquero"/>
        <s v="Robin Lord Taylor"/>
        <s v="Leon"/>
        <s v="Mary Elizabeth Mastrantonio"/>
        <s v="Larry David"/>
        <s v="Kelly Macdonald"/>
        <s v="Benjamin A. Onyango"/>
        <s v="Adam LeFevre"/>
        <s v="Corbin Allred"/>
        <s v="Tony Chiu Wai Leung"/>
        <s v="Thomas Bo Larsen"/>
        <s v="Richard Johnson"/>
        <s v="Donald Glover"/>
        <s v="Danny Pino"/>
        <s v="Lara Jill Miller"/>
        <s v="Rufus Sewell"/>
        <s v="Christopher Meloni"/>
        <s v="Sofia Boutella"/>
        <s v="Tammin Sursok"/>
        <s v="Lorraine Bracco"/>
        <s v="David Belle"/>
        <s v="Fred Gwynne"/>
        <s v="Darci Kistler"/>
        <s v="Deborah Mailman"/>
        <s v="Jonathan D. Mellor"/>
        <s v="Tate Donovan"/>
        <s v="Elizabeth Streb"/>
        <s v="Honor Blackman"/>
        <s v="Marilyn Rising"/>
        <s v="Greg Germann"/>
        <s v="John Beasley"/>
        <s v="Eugenio Derbez"/>
        <s v="Min-sik Choi"/>
        <s v="Konstantin Khabenskiy"/>
        <s v="Peter Serafinowicz"/>
        <s v="Donald Faison"/>
        <s v="Patrick Fugit"/>
        <s v="Hulk Hogan"/>
        <s v="Mia Wasikowska"/>
        <s v="Michael Nyqvist"/>
        <s v="Stephen McHattie"/>
        <s v="Kelly Carlson"/>
        <s v="Louis Jourdan"/>
        <s v="Merritt Wever"/>
        <s v="Fay Masterson"/>
        <s v="Estella Warren"/>
        <s v="Frances Fisher"/>
        <s v="Dong-gun Jang"/>
        <s v="Bai Ling"/>
        <s v="Alden Ehrenreich"/>
        <s v="Jerry Stiller"/>
        <s v="Richard Coyle"/>
        <s v="Illeana Douglas"/>
        <s v="Rachel True"/>
        <s v="Amir Talai"/>
        <s v="Bahare Seddiqi"/>
        <s v="Michael Gross"/>
        <s v="Cem Yilmaz"/>
        <s v="Tom Burke"/>
        <s v="D.B. Woodside"/>
        <s v="Nancy O'Dell"/>
        <s v="Sarah Murphy-Dyson"/>
        <s v="Natasha Lyonne"/>
        <s v="Noah Taylor"/>
        <s v="Kenneth Tobey"/>
        <s v="Martin Dew"/>
        <s v="Angie Dickinson"/>
        <s v="Rachel Griffiths"/>
        <s v="Michael Joiner"/>
        <s v="Jason Robards"/>
        <s v="Lisa Wilcox"/>
        <s v="Omar Sy"/>
        <s v="Terry Funk"/>
        <s v="William Joseph Elk III"/>
        <s v="Bianca Kajlich"/>
        <s v="Dustin Lance Black"/>
        <s v="Tadanobu Asano"/>
        <s v="Jossara Jinaro"/>
        <s v="Peter McNamara"/>
        <s v="Haley Ramm"/>
        <s v="Mako"/>
        <s v="Barry Watson"/>
        <s v="Brian Blessed"/>
        <s v="Marco TreviÃ±o"/>
        <s v="Lou Taylor Pucci"/>
        <s v="Nicholas Rowe"/>
        <s v="John August"/>
        <s v="Richard Lawson"/>
        <s v="Giancarlo Giannini"/>
        <s v="William Holden"/>
        <s v="FranÃ§oise Yip"/>
        <s v="Aaliyah"/>
        <s v="John Belushi"/>
        <s v="Tyler Labine"/>
        <s v="Judie Aronson"/>
        <s v="Mike Tyson"/>
        <s v="Christian Clemenson"/>
        <s v="Shiri Appleby"/>
        <s v="Michael Jeter"/>
        <s v="Gena Rowlands"/>
        <s v="Katrina Bowden"/>
        <s v="Elpidia Carrillo"/>
        <s v="Eric Sheffer Stevens"/>
        <s v="Shane Carruth"/>
        <s v="Marshall Bell"/>
        <s v="Flavio Parenti"/>
        <s v="Jean-Baptiste Maunier"/>
        <s v="Sanaa Lathan"/>
        <s v="Mark Duplass"/>
        <s v="Del Zamora"/>
        <s v="Michael J. Pollard"/>
        <s v="Jeremy Brett"/>
        <s v="Damon Wayans Jr."/>
        <s v="Connor Paolo"/>
        <s v="Lucas Grabeel"/>
        <s v="Tony Doupe"/>
        <s v="Paige Turco"/>
        <s v="Stacy Edwards"/>
        <s v="Michel Robin"/>
        <s v="Brad Garrett"/>
        <s v="Tuesday Knight"/>
        <s v="Christopher Nicholas Smith"/>
        <s v="Danny Dyer"/>
        <s v="Darryl Hunt"/>
        <s v="Taylor Cole"/>
        <s v="Mia Farrow"/>
        <s v="Alexander SkarsgÃ¥rd"/>
        <s v="Catherine Dyer"/>
        <s v="Sharon Small"/>
        <s v="Raymond Cruz"/>
        <s v="Sean Patrick Thomas"/>
        <s v="Peter Mensah"/>
        <s v="J.D. Evermore"/>
        <s v="Sheryl Crow"/>
        <s v="Osama bin Laden"/>
        <s v="Barack Obama"/>
        <s v="Shane Black"/>
        <s v="Alyson Stoner"/>
        <s v="Kathleen Freeman"/>
        <s v="Beau Bridges"/>
        <s v="Kim Dickens"/>
        <s v="Jeffrey Falcon"/>
        <s v="Burt Young"/>
        <s v="Sissy Spacek"/>
        <s v="Cheryl Hines"/>
        <s v="Matisyahu"/>
        <s v="Darcy Donavan"/>
        <s v="Josh Swanson"/>
        <s v="Andrea Corr"/>
        <s v="Augustus Prew"/>
        <s v="Kasia Smutniak"/>
        <s v="Karen Allen"/>
        <s v="David Hewlett"/>
        <s v="Fann Wong"/>
        <s v="Tim Meadows"/>
        <s v="Izabella Scorupco"/>
        <s v="Amber Valletta"/>
        <s v="Charles S. Dutton"/>
        <s v="Ian McNeice"/>
        <s v="Sonia Braga"/>
        <s v="Kate Maberly"/>
        <s v="Lisa Ann Walter"/>
        <s v="Norbert Ferrer"/>
        <s v="David Mamet"/>
        <s v="Joel McHale"/>
        <s v="John Kapelos"/>
        <s v="Woody Strode"/>
        <s v="Robert Baker"/>
        <s v="Fernanda Montenegro"/>
        <s v="Eva Amurri Martino"/>
        <s v="Blair Underwood"/>
        <s v="Regina Hall"/>
        <s v="Michael McKean"/>
        <s v="Bebe Neuwirth"/>
        <s v="Deborah Kara Unger"/>
        <s v="Rita Hayworth"/>
        <s v="Bradley Whitford"/>
        <s v="Dan Futterman"/>
        <s v="Cassie Ventura"/>
        <s v="Lemmy"/>
        <s v="Santiago Cabrera"/>
        <s v="Robert Picardo"/>
        <s v="Lisa Edelstein"/>
        <s v="Kelly Rutherford"/>
        <s v="Dominic Flores"/>
        <s v="Jan Decleir"/>
        <s v="Grace Phipps"/>
        <s v="Yuki Matsuzaki"/>
        <s v="Alanna Ubach"/>
        <s v="James Callis"/>
        <s v="Robert Clohessy"/>
        <s v="Armin Mueller-Stahl"/>
        <s v="Tasha Smith"/>
        <s v="Derek Luke"/>
        <s v="BelÃ©n Rueda"/>
        <s v="Raven-SymonÃ©"/>
        <s v="Fran Drescher"/>
        <s v="Britney Spears"/>
        <s v="Michael Nouri"/>
        <s v="Lois Smith"/>
        <s v="Rob Paulsen"/>
        <s v="Qi Shu"/>
        <s v="Charlie Rowe"/>
        <s v="Antony Starr"/>
        <s v="Jason Mewes"/>
        <s v="Levon Helm"/>
        <s v="Emily Podleski"/>
        <s v="Merab Ninidze"/>
        <s v="Lili Taylor"/>
        <s v="John Cothran"/>
        <s v="JÃ¼rgen Prochnow"/>
        <s v="Ryan O'Neal"/>
        <s v="Kevin Alejandro"/>
        <s v="Karra Elejalde"/>
        <s v="Collette Wolfe"/>
        <s v="Scott Cohen"/>
        <s v="Christopher Masterson"/>
        <s v="Johnny Lewis"/>
        <s v="Zak Penn"/>
        <s v="Dylan Walsh"/>
        <s v="Jeff Bennett"/>
        <s v="Saif Ali Khan"/>
        <s v="Tony Nappo"/>
        <s v="Gabriel Millman"/>
        <s v="Isaac Hayes"/>
        <s v="Trevor Morgan"/>
        <s v="Rudy Youngblood"/>
        <s v="Dylan Baker"/>
        <s v="Callie Thorne"/>
        <s v="Ari Graynor"/>
        <s v="Chris Moss"/>
        <s v="Ruby Dee"/>
        <s v="Yaphet Kotto"/>
        <s v="Leopold Stokowski"/>
        <s v="Luis Tosar"/>
        <s v="Michael Greyeyes"/>
        <s v="Mustafa Haidari"/>
        <s v="Gregory Scott Cummins"/>
        <s v="Julia Jentsch"/>
        <s v="Brenda Fricker"/>
        <s v="Carole Bouquet"/>
        <s v="Jay Laga'aia"/>
        <s v="Brigitte Helm"/>
        <s v="Geraldine Chaplin"/>
        <s v="Wei Zhao"/>
        <s v="Danny Strong"/>
        <s v="Shahab Hosseini"/>
        <s v="Debbie Reynolds"/>
        <s v="Sullivan Stapleton"/>
        <s v="Molly Parker"/>
        <s v="Pfeifer Brown"/>
        <s v="Hanno PÃ¶schl"/>
        <s v="Geoffrey Arend"/>
        <s v="Nicholas Gonzalez"/>
        <s v="Tim Conway"/>
        <s v="Denis O'Hare"/>
        <s v="Jenny Agutter"/>
        <s v="Dyan Cannon"/>
        <s v="Scott Mechlowicz"/>
        <s v="Noah Emmerich"/>
        <s v="Bob Neill"/>
        <s v="Tzi Ma"/>
        <s v="Maribel VerdÃº"/>
        <s v="Harvey Fierstein"/>
        <s v="Michael Stuhlbarg"/>
        <s v="Oliver James"/>
        <s v="Julie Christie"/>
        <s v="Yaya DaCosta"/>
        <s v="Sydney Pollack"/>
        <s v="Kevin Sussman"/>
        <s v="John Astin"/>
        <s v="David Richmond-Peck"/>
        <s v="Irvin Kershner"/>
        <s v="Samaire Armstrong"/>
        <s v="Brian Lee Franklin"/>
        <s v="Sarah Carter"/>
        <s v="Gloria Grahame"/>
        <s v="Lars Mikkelsen"/>
        <s v="Sierra McCormick"/>
        <s v="Siu-Wong Fan"/>
        <s v="Anita Page"/>
        <s v="Suraj Sharma"/>
        <s v="Sophie Okonedo"/>
        <s v="Heather Donahue"/>
        <s v="Snoop Dogg"/>
        <s v="Emilia Fox"/>
        <s v="Stephanie Leonidas"/>
        <s v="Kirk Fox"/>
        <s v="Michael O'Neill"/>
        <s v="Allison Dean"/>
        <s v="Jill Clayburgh"/>
        <s v="Harry Styles"/>
        <s v="Megan Park"/>
        <s v="John Robinson"/>
        <s v="Noel Gugliemi"/>
        <s v="Clayton Snyder"/>
        <s v="Sam Waterston"/>
        <s v="Sam Claflin"/>
        <s v="Ana de la Reguera"/>
        <s v="Dana Delany"/>
        <s v="Kirk Cameron"/>
        <s v="CÃ©cile De France"/>
        <s v="Long Nguyen"/>
        <s v="Jim Meskimen"/>
        <s v="Cory Hardrict"/>
        <s v="Peter Graves"/>
        <s v="Chelan Simmons"/>
        <s v="Jasper Cole"/>
        <s v="Aimee Garcia"/>
        <s v="Terry Kiser"/>
        <s v="Amber Stevens West"/>
        <s v="Richard Epcar"/>
        <s v="Mark Rylance"/>
        <s v="Monica Calhoun"/>
        <s v="Olivier Martinez"/>
        <s v="Peter Capaldi"/>
        <s v="Danny Huston"/>
        <s v="Marcela Mar"/>
        <s v="Carmen Perez"/>
        <s v="Jessica ParÃ©"/>
        <s v="Marisa Saks"/>
        <s v="Blythe Danner"/>
        <s v="Drew Fuller"/>
        <s v="Edgar Arreola"/>
        <s v="Sam Riley"/>
        <s v="John Karyus"/>
        <s v="Jake Busey"/>
        <s v="Talisa Soto"/>
        <s v="Phoebe Legere"/>
        <s v="Nicholas Lea"/>
        <s v="Malese Jow"/>
        <s v="Todd Stashwick"/>
        <s v="MyAnna Buring"/>
        <s v="Mahadeo Shivraj"/>
        <s v="Vernon Wells"/>
        <s v="Temple Grandin"/>
        <s v="Steve Irwin"/>
        <s v="Kathleen Wilhoite"/>
        <s v="Nora Zehetner"/>
        <s v="Kay Panabaker"/>
        <s v="Julian Glover"/>
        <s v="Sharlto Copley"/>
        <s v="Gillian White"/>
        <s v="Fionnula Flanagan"/>
        <s v="Anwar Congo"/>
        <s v="Jessie T. Usher"/>
        <s v="Jon Gries"/>
        <s v="Jurnee Smollett-Bell"/>
        <s v="Ari Folman"/>
        <s v="James Brolin"/>
        <s v="Dougray Scott"/>
        <s v="Kevin Nash"/>
        <s v="Ye Liu"/>
        <s v="Shengyi Huang"/>
        <s v="Elina Alminas"/>
        <s v="Erick Avari"/>
      </sharedItems>
    </cacheField>
    <cacheField name="clean_actor_1_name" numFmtId="0">
      <sharedItems>
        <s v="Brendan Fraser"/>
        <s v="Ray Winstone"/>
        <s v="Eddie Cahill"/>
        <s v="Clint Eastwood"/>
        <s v="Dennis Quaid"/>
        <s v="Dwayne Johnson"/>
        <s v="Bruce Willis"/>
        <s v="Goran Visnjic"/>
        <s v="Milla Jovovich"/>
        <s v="Denzel Washington"/>
        <s v="Ioan Gruffudd"/>
        <s v="Matthew McConaughey"/>
        <s v="Johnny Depp"/>
        <s v="Cheech Marin"/>
        <s v="Loretta Devine"/>
        <s v="Annabella Sciorra"/>
        <s v="Sasha Alexander"/>
        <s v="Oliver Platt"/>
        <s v="Gladys Cooper"/>
        <s v="Eddie Cibrian"/>
        <s v="Bill Bailey"/>
        <s v="Ellen Burstyn"/>
        <s v="Steve Guttenberg"/>
        <s v="CaryHiroyuki Tagawa"/>
        <s v="Simon Yam"/>
        <s v="Shelley Conn"/>
        <s v="Vivica A. Fox"/>
        <s v="Morgan Freeman"/>
        <s v="Channing Tatum"/>
        <s v="Michael Gough"/>
        <s v="Michael Biehn"/>
        <s v="Tom Selleck"/>
        <s v="Bernie Mac"/>
        <s v="Sophia Myles"/>
        <s v="James Corden"/>
        <s v="Michael Dudikoff"/>
        <s v="Bingbing Li"/>
        <s v="Tom Cruise"/>
        <s v="Ryan Gosling"/>
        <s v="Lena Olin"/>
        <s v="Robin Wright"/>
        <s v="Anthony Hopkins"/>
        <s v="Sarah Silverman"/>
        <s v="Ed Begley Jr."/>
        <s v="Laura Ramsey"/>
        <s v="Robert Pattinson"/>
        <s v="Jada Pinkett Smith"/>
        <s v="Ken Howard"/>
        <s v="Lauren Cohan"/>
        <s v="Nia Vardalos"/>
        <s v="Michael Moore"/>
        <s v="Samantha Morton"/>
        <s v="Justin Timberlake"/>
        <s v="Ocean James"/>
        <s v="Sarah Roemer"/>
        <s v="Al Pacino"/>
        <s v="Steve Coogan"/>
        <s v="Robert Downey Jr."/>
        <s v="Eric Dane"/>
        <s v="Virginia Madsen"/>
        <s v="Emily Osment"/>
        <s v="Peter Dinklage"/>
        <s v="Alex Kendrick"/>
        <s v="Dylan Authors"/>
        <s v="Justin Chon"/>
        <s v="Eleanor Parker"/>
        <s v="Olivia Wilde"/>
        <s v="Sam Trammell"/>
        <s v="Jamie Lee Curtis"/>
        <s v="Liam Aiken"/>
        <s v="Brian Dennehy"/>
        <s v="James Franco"/>
        <s v="Robert Duvall"/>
        <s v="Anne Hathaway"/>
        <s v="Jenna Fischer"/>
        <s v="Michael Fassbender"/>
        <s v="Scarlett Johansson"/>
        <s v="Will Ferrell"/>
        <s v="Ian Whyte"/>
        <s v="Steve Buscemi"/>
        <s v="Nicolas Cage"/>
        <s v="Tom Hanks"/>
        <s v="Jimmy Bennett"/>
        <s v="Bill Murray"/>
        <s v="Scott Glenn"/>
        <s v="Jeremy Renner"/>
        <s v="Viggo Mortensen"/>
        <s v="Don Wallace"/>
        <s v="Peter Greene"/>
        <s v="Emma Stone"/>
        <s v="Bill Duke"/>
        <s v="Dolly Parton"/>
        <s v="Madeline Carroll"/>
        <s v="Ezra Miller"/>
        <s v="Julia Roberts"/>
        <s v="Colin Firth"/>
        <s v="Rupert Everett"/>
        <s v="Orlando Bloom"/>
        <s v="Benedict Cumberbatch"/>
        <s v="Danielle Kotch"/>
        <s v="Catherine Deneuve"/>
        <s v="Kelli Garner"/>
        <s v="Matt Damon"/>
        <s v="Don Cheadle"/>
        <s v="Bob Hoskins"/>
        <s v="Beth Grant"/>
        <s v="Liam Neeson"/>
        <s v="Kathleen Quinlan"/>
        <s v="Adam Sandler"/>
        <s v="Henry Ian Cusick"/>
        <s v="Rene Russo"/>
        <s v="Harrison Ford"/>
        <s v="Judy Greer"/>
        <s v="Alan Rickman"/>
        <s v="Mark Valley"/>
        <s v="Mathieu Kassovitz"/>
        <s v="Shah Rukh Khan"/>
        <s v="Robin Williams"/>
        <s v="Jeremy Irvine"/>
        <s v="Peter Coyote"/>
        <s v="Joaquim de Almeida"/>
        <s v="Wilford Brimley"/>
        <s v="Claudia Christian"/>
        <s v="Peter Fonda"/>
        <s v="Usher Raymond"/>
        <s v="Jordana Brewster"/>
        <s v="Johannes Silberschneider"/>
        <s v="Amanda Schull"/>
        <s v="Sebastian Koch"/>
        <s v="Jamie Kennedy"/>
        <s v="Curtis Armstrong"/>
        <s v="Maura Tierney"/>
        <s v="Lauren German"/>
        <s v="Joseph GordonLevitt"/>
        <s v="Gary Oldman"/>
        <s v="Kate Winslet"/>
        <s v="David Keith"/>
        <s v="Daniel Roebuck"/>
        <s v="Lea Michele"/>
        <s v="Paul Walker"/>
        <s v="Clifton Collins Jr."/>
        <s v="Josh Hutcherson"/>
        <s v="Jason Statham"/>
        <s v="Alex Rocco"/>
        <s v="Will Patton"/>
        <s v="Gerard Butler"/>
        <s v="Yasmine Al Massri"/>
        <s v="Robert Davi"/>
        <s v="Angelina Jolie Pitt"/>
        <s v="Steve Bastoni"/>
        <s v="Frances Conroy"/>
        <s v="Jennifer Garner"/>
        <s v="Delroy Lindo"/>
        <s v="Naomi Watts"/>
        <s v="J.K. Simmons"/>
        <s v="Robert De Niro"/>
        <s v="David Masterson"/>
        <s v="Seymour Cassel"/>
        <s v="Stephen Root"/>
        <s v="ShÃ Kosugi"/>
        <s v="BÃrÃnice Bejo"/>
        <s v="Heather Matarazzo"/>
        <s v="Vin Diesel"/>
        <s v="Chris Brown"/>
        <s v="Fergie"/>
        <s v="Bill Cobbs"/>
        <s v="Jere Burns"/>
        <s v="Kirsten Dunst"/>
        <s v="Kane Hodder"/>
        <s v="Christina Milian"/>
        <s v="Hugh Jackman"/>
        <s v="Stacy Keach"/>
        <s v="Chris Evans"/>
        <s v="Daniel von Bargen"/>
        <s v="Dave Chappelle"/>
        <s v="Jim Gaffigan"/>
        <s v="Chemeeka Walker"/>
        <s v="William Schallert"/>
        <s v="Mia Kirshner"/>
        <s v="Andrew Fiscella"/>
        <s v="Bryce Dallas Howard"/>
        <s v="Christopher Lee"/>
        <s v="Julian Sands"/>
        <s v="Alicja Bachleda"/>
        <s v="Denis Lavant"/>
        <s v="Eric Mendenhall"/>
        <s v="ZoÃ Kravitz"/>
        <s v="Mark Gatiss"/>
        <s v="Taylor Negron"/>
        <s v="Jackson Nicoll"/>
        <s v="Jack McBrayer"/>
        <s v="Mira Sorvino"/>
        <s v="Steve Carell"/>
        <s v="Alex Gibney"/>
        <s v="Natalie Portman"/>
        <s v="Phoebe Cates"/>
        <s v="Tom Berenger"/>
        <s v="Jason Patric"/>
        <s v="Paddy Considine"/>
        <s v="Jennifer Freeman"/>
        <s v="Jeff Kober"/>
        <s v="Joe Estevez"/>
        <s v="Heath Ledger"/>
        <s v="Jack Reynor"/>
        <s v="MingNa Wen"/>
        <s v="Keanu Reeves"/>
        <s v="Michael Imperioli"/>
        <s v="Vanessa Williams"/>
        <s v="Mel Blanc"/>
        <s v="Jim Parsons"/>
        <s v="Lauren Holly"/>
        <s v="Thomas McDonell"/>
        <s v="Nia Long"/>
        <s v="Louis Lombardi"/>
        <s v="Haley Joel Osment"/>
        <s v="Catherine Hicks"/>
        <s v="F. Murray Abraham"/>
        <s v="John Enos III"/>
        <s v="Jonathan Winters"/>
        <s v="Will Forte"/>
        <s v="Desmond Llewelyn"/>
        <s v="Sam Shepard"/>
        <s v="Brandon T. Jackson"/>
        <s v="Alison Lohman"/>
        <s v="Fisher Stevens"/>
        <s v="Henry Cavill"/>
        <s v="Christian Monzon"/>
        <s v="Kevin Spacey"/>
        <s v="Louise Fletcher"/>
        <s v="LL Cool J"/>
        <s v="Philip Seymour Hoffman"/>
        <s v="Leonardo DiCaprio"/>
        <s v="Greg Ayres"/>
        <s v="Billy Burke"/>
        <s v="Roxanne McKee"/>
        <s v="Romola Garai"/>
        <s v="Gretchen Mol"/>
        <s v="Ki Hong Lee"/>
        <s v="Treat Williams"/>
        <s v="Noel Fisher"/>
        <s v="Jeanne Tripplehorn"/>
        <s v="Minnie Driver"/>
        <s v="Jeff Bridges"/>
        <s v="James Martin Kelly"/>
        <s v="Caroline Munro"/>
        <s v="Kristin Scott Thomas"/>
        <s v="Dorian Missick"/>
        <s v="Brad Pitt"/>
        <s v="Reba McEntire"/>
        <s v="Chris Hemsworth"/>
        <s v="Caroline Dhavernas"/>
        <s v="Romain Duris"/>
        <s v="Benno FÃrmann"/>
        <s v="Eddie Izzard"/>
        <s v="Muse Watson"/>
        <s v="James Babson"/>
        <s v="Tom Wilkinson"/>
        <s v="Jennifer Lawrence"/>
        <s v="Rob Riggle"/>
        <s v="Ted Raimi"/>
        <s v="Mitsuo Iwata"/>
        <s v="Tim Blake Nelson"/>
        <s v="Eva Green"/>
        <s v="Emily Rios"/>
        <s v="Jet Li"/>
        <s v="Demi Moore"/>
        <s v="Bob Balaban"/>
        <s v="Moritz Bleibtreu"/>
        <s v="Christian Bale"/>
        <s v="Matt Bomer"/>
        <s v="Gary Dourdan"/>
        <s v="Archie Panjabi"/>
        <s v="Anjelica Huston"/>
        <s v="James Nesbitt"/>
        <s v="Donald Pleasence"/>
        <s v="Ally Sheedy"/>
        <s v="Kevin Pollak"/>
        <s v="Zach Gilford"/>
        <s v="Tom Hardy"/>
        <s v="Kath Soucie"/>
        <s v="John Amos"/>
        <s v="Leslie Bibb"/>
        <s v="Norman Reedus"/>
        <s v="Julian Richings"/>
        <s v="Sasha Roiz"/>
        <s v="Jon Hamm"/>
        <s v="Michael Smiley"/>
        <s v="Ty Burrell"/>
        <s v="Lin Shaye"/>
        <s v="Noah Bean"/>
        <s v="PelÃ"/>
        <s v="Martin Kove"/>
        <s v="Kurt Fuller"/>
        <s v="Jon Lovitz"/>
        <s v="Charlie Hunnam"/>
        <s v="Rebecca Budig"/>
        <s v="Kangho Song"/>
        <s v="Andy Lau"/>
        <s v="Alex Veadov"/>
        <s v="Alexia Fast"/>
        <s v="John de Lancie"/>
        <s v="Alicia Witt"/>
        <s v="Terry Pheto"/>
        <s v="Carol Ann Susi"/>
        <s v="Steve Howey"/>
        <s v="Philip Baker Hall"/>
        <s v="Jim Broadbent"/>
        <s v="Joe Lo Truglio"/>
        <s v="Hunter Parrish"/>
        <s v="Ed Skrein"/>
        <s v="Mei MelanÃon"/>
        <s v="Chazz Palminteri"/>
        <s v="DamiÃn AlcÃzar"/>
        <s v="Paul Brooke"/>
        <s v="Miranda Richardson"/>
        <s v="Bradley Cooper"/>
        <s v="Warren Christie"/>
        <s v="Jennifer Esposito"/>
        <s v="Drake Bell"/>
        <s v="Wayne Knight"/>
        <s v="Marlon Brando"/>
        <s v="Ginger Rogers"/>
        <s v="Meryl Streep"/>
        <s v="Don Rickles"/>
        <s v="Common"/>
        <s v="Kristen Stewart"/>
        <s v="Hector Elizondo"/>
        <s v="Joe Mantegna"/>
        <s v="Frank Whaley"/>
        <s v="Carmen Electra"/>
        <s v="Emir Kusturica"/>
        <s v="George Kennedy"/>
        <s v="Logan Lerman"/>
        <s v="Numan Acar"/>
        <s v="Abbie Cornish"/>
        <s v="Judith Barsi"/>
        <s v="Eileen Brennan"/>
        <s v="Mary McDonnell"/>
        <s v="Judge Reinhold"/>
        <s v="Mem Ferda"/>
        <s v="Macaulay Culkin"/>
        <s v="David Arquette"/>
        <s v="Mike Vogel"/>
        <s v="Daniel Radcliffe"/>
        <s v="Linda Cardellini"/>
        <s v="Michael Jai White"/>
        <s v="Natascha McElhone"/>
        <s v="Lily Tomlin"/>
        <s v="Donny Boaz"/>
        <s v="Craig Parker"/>
        <s v="Michael Rapaport"/>
        <s v="Ryan Kruger"/>
        <s v="John Doe"/>
        <s v="Adriana Barraza"/>
        <s v="Aldis Hodge"/>
        <s v="Jacqueline McKenzie"/>
        <s v="Frank Langella"/>
        <s v="Chris Eigeman"/>
        <s v="Michael Kelly"/>
        <s v="Matthew Broderick"/>
        <s v="Jason Priestley"/>
        <s v="Joan Allen"/>
        <s v="Mireille Enos"/>
        <s v="Ricardo DarÃn"/>
        <s v="Phyllida Law"/>
        <s v="Jim Sturgess"/>
        <s v="Dianne Wiest"/>
        <s v="Eric Idle"/>
        <s v="Jimmy Fallon"/>
        <s v="Quinton Aaron"/>
        <s v="ChloÃ Grace Moretz"/>
        <s v="Alexis Dziena"/>
        <s v="Mo'Nique"/>
        <s v="Teo Halm"/>
        <s v="Collin Alfredo St. Dic"/>
        <s v="Sayed Badreya"/>
        <s v="James Duval"/>
        <s v="Campbell Scott"/>
        <s v="Ken Arnold"/>
        <s v="Florian Lukas"/>
        <s v="Ian Somerhalder"/>
        <s v="Thomas Lennon"/>
        <s v="Robert Forster"/>
        <s v="Denis Leary"/>
        <s v="Eric Stoltz"/>
        <s v="Don Johnson"/>
        <s v="Raoul Bova"/>
        <s v="Curtiss Cook"/>
        <s v="Alexa PenaVega"/>
        <s v="Melissa Sagemiller"/>
        <s v="Christine Taylor"/>
        <s v="Keir Dullea"/>
        <s v="Frances Bavier"/>
        <s v="Connie Nielsen"/>
        <s v="John Howard"/>
        <s v="John Ratzenberger"/>
        <s v="Kevin McNally"/>
        <s v="Fernanda Andrade"/>
        <s v="Thomas Kretschmann"/>
        <s v="Ryan Reynolds"/>
        <s v="Kim Director"/>
        <s v="Scoot McNairy"/>
        <s v="Lane Smith"/>
        <s v="Paul McCartney"/>
        <s v="MaryKate Olsen"/>
        <s v="Dominic Cooper"/>
        <s v="Seth Gilliam"/>
        <s v="John Michael Higgins"/>
        <s v="Jake Gyllenhaal"/>
        <s v="DemiÃn Bichir"/>
        <s v="Ethan Embry"/>
        <s v="Hayden Christensen"/>
        <s v="Fereshteh Sadre Orafaiy"/>
        <s v="Sylvester Stallone"/>
        <s v="Richard Tyson"/>
        <s v="Topher Grace"/>
        <s v="Bella Thorne"/>
        <s v="Stephen Carr"/>
        <s v="Barry Bostwick"/>
        <s v="Janeane Garofalo"/>
        <s v="Sean Lennon"/>
        <s v="Thomas F. Wilson"/>
        <s v="Mark Zupan"/>
        <s v="Glen Hansard"/>
        <s v="Nick Stahl"/>
        <s v="George Carlin"/>
        <s v="Joe Don Baker"/>
        <s v="Fanny Ardant"/>
        <s v="Joseph Cotten"/>
        <s v="Amy Poehler"/>
        <s v="Tyler James Williams"/>
        <s v="Adam Scott"/>
        <s v="Robyn Lively"/>
        <s v="Catriona MacColl"/>
        <s v="Sarah Polley"/>
        <s v="Cicely Tyson"/>
        <s v="Frankie Muniz"/>
        <s v="Hayley Atwell"/>
        <s v="Will Smith"/>
        <s v="Ariana Richards"/>
        <s v="Elizabeth McGovern"/>
        <s v="Hope Davis"/>
        <s v="Jeff Fahey"/>
        <s v="Quentin Tarantino"/>
        <s v="Justin Theroux"/>
        <s v="Kimberly Elise"/>
        <s v="MÃa Maestro"/>
        <s v="Paul Sorvino"/>
        <s v="Ethan Suplee"/>
        <s v="Djimon Hounsou"/>
        <s v="Tim Holmes"/>
        <s v="Sheryl Lee"/>
        <s v="Joe Cocker"/>
        <s v="Oprah Winfrey"/>
        <s v="Greg Grunberg"/>
        <s v="Jon Favreau"/>
        <s v="Johnny Cannizzaro"/>
        <s v="Mara Wilson"/>
        <s v="Patrick Macnee"/>
        <s v="Janet Leigh"/>
        <s v="Kristin Lehman"/>
        <s v="Lexie Contursi"/>
        <s v="Rory Culkin"/>
        <s v="Wood Harris"/>
        <s v="Bobby Lee"/>
        <s v="Sunny Mabrey"/>
        <s v="Justin Kirk"/>
        <s v="Anna Kendrick"/>
        <s v="Richard Cabral"/>
        <s v="QuvenzhanÃ Wallis"/>
        <s v="Tom Welling"/>
        <s v="Vanessa Redgrave"/>
        <s v="Alex Huszar"/>
        <s v="Omari Hardwick"/>
        <s v="Meg Foster"/>
        <s v="Janet Jackson"/>
        <s v="Dane Cook"/>
        <s v="Holly Hunter"/>
        <s v="Alice Braga"/>
        <s v="Jeremy Shada"/>
        <s v="Miko Hughes"/>
        <s v="Elizabeth Daily"/>
        <s v="Tia Carrere"/>
        <s v="Isabelle Huppert"/>
        <s v="Esai Morales"/>
        <s v="Anna Friel"/>
        <s v="Zooey Deschanel"/>
        <s v="Stephen Collins"/>
        <s v="Andrew Wilson"/>
        <s v="Monica Potter"/>
        <s v="Vernon Dobtcheff"/>
        <s v="Jessica Lowndes"/>
        <s v="Jon Heder"/>
        <s v="Erika Christensen"/>
        <s v="Brian Thompson"/>
        <s v="Roy Scheider"/>
        <s v="William Smith"/>
        <s v="Nicki Aycox"/>
        <s v="Christian Clavier"/>
        <s v="Lupe Ontiveros"/>
        <s v="Sid Haig"/>
        <s v="Dameon Clarke"/>
        <s v="Judith Chapman"/>
        <s v="John Witherspoon"/>
        <s v="Miguel Ferrer"/>
        <s v="Rita Moreno"/>
        <s v="Matt Walsh"/>
        <s v="Mekhi Phifer"/>
        <s v="Charlize Theron"/>
        <s v="Roger Rees"/>
        <s v="Rhys Wakefield"/>
        <s v="Tom Skerritt"/>
        <s v="Henry Thomas"/>
        <s v="Pamela Reed"/>
        <s v="Diedrich Bader"/>
        <s v="Alice Olivia Clarke"/>
        <s v="Robert Shaw"/>
        <s v="Harold Perrineau"/>
        <s v="Candice Bergen"/>
        <s v="David Oyelowo"/>
        <s v="Chen Chang"/>
        <s v="Tommy Sheppard"/>
        <s v="Daniel Kaluuya"/>
        <s v="Tony Curran"/>
        <s v="Imelda Staunton"/>
        <s v="Odeya Rush"/>
        <s v="Tika Sumpter"/>
        <s v="Karisma Kapoor"/>
        <s v="Johanna Braddy"/>
        <s v="Najarra Townsend"/>
        <s v="Ted Danson"/>
        <s v="Mike Starr"/>
        <s v="Derick Martini"/>
        <s v="Raymond J. Barry"/>
        <s v="Craig Stark"/>
        <s v="Brian Bosworth"/>
        <s v="Ron Howard"/>
        <s v="Seth MacFarlane"/>
        <s v="Alfre Woodard"/>
        <s v="Tina Fey"/>
        <s v="Victor Wong"/>
        <s v="Phil Vischer"/>
        <s v="Celia Imrie"/>
        <s v="Boris Kodjoe"/>
        <s v="Myrna Loy"/>
        <s v="Carlos Ponce"/>
        <s v="Pedro ArmendÃriz Jr."/>
        <s v="Kevin Zegers"/>
        <s v="Costas Mandylor"/>
        <s v="Christopher Lambert"/>
        <s v="Tony Goldwyn"/>
        <s v="Julian Morris"/>
        <s v="Lynn Cohen"/>
        <s v="Sarah Michelle Gellar"/>
        <s v="Scout TaylorCompton"/>
        <s v="Omar Epps"/>
        <s v="Frank Welker"/>
        <s v="Chris Elliott"/>
        <s v="Sean Pertwee"/>
        <s v="Ben Feldman"/>
        <s v="Mariah Carey"/>
        <s v="John Saxon"/>
        <s v="Bruce Greenwood"/>
        <s v="Kevin Grevioux"/>
        <s v="Rosario Dawson"/>
        <s v="Lea Thompson"/>
        <s v="Miriam Margolyes"/>
        <s v="Julie Benz"/>
        <s v="Daniel Mays"/>
        <s v="Eddie Redmayne"/>
        <s v="Marcell Nagy"/>
        <s v="Martin Short"/>
        <s v="Martin Landau"/>
        <s v="Heather O'Rourke"/>
        <s v="Morgan Saylor"/>
        <s v="Don McKellar"/>
        <s v="Kathleen Turner"/>
        <s v="Essence Atkins"/>
        <s v="Margot Kidder"/>
        <s v="Ingvar Eggert SigurÃsson"/>
        <s v="Gary Cole"/>
        <s v="Eartha Kitt"/>
        <s v="Stephen Graham"/>
        <s v="Jay Hernandez"/>
        <s v="Tom Everett Scott"/>
        <s v="Eamonn Walker"/>
        <s v="Romany Malco"/>
        <s v="Glenn Plummer"/>
        <s v="Albert Finney"/>
        <s v="BÃrbara Mori"/>
        <s v="Nehemiah Persoff"/>
        <s v="Lee Majors"/>
        <s v="Joe Morton"/>
        <s v="Eddie Griffin"/>
        <s v="Michael Berryman"/>
        <s v="Christoph Waltz"/>
        <s v="Noah Huntley"/>
        <s v="Marley Shelton"/>
        <s v="Jason Alexander"/>
        <s v="Katy Mixon"/>
        <s v="Matthew Settle"/>
        <s v="Michael Wincott"/>
        <s v="Ãscar Jaenada"/>
        <s v="Jessica Barden"/>
        <s v="William Hurt"/>
        <s v="Gregory Smith"/>
        <s v="Alyson Hannigan"/>
        <s v="Brad William Henke"/>
        <s v="Ornella Muti"/>
        <s v="Eoin Macken"/>
        <s v="Sarah Butler"/>
        <s v="Josh Charles"/>
        <s v="Alice Krige"/>
        <s v="Kieran Culkin"/>
        <s v="Colm Feore"/>
        <s v="Sprague Grayden"/>
        <s v="Josh Gad"/>
        <s v="Roma Downey"/>
        <s v="Li Gong"/>
        <s v="Sandrine Kiberlain"/>
        <s v="Richard E. Grant"/>
        <s v="Ally Walker"/>
        <s v="Claude Rains"/>
        <s v="Ivana Milicevic"/>
        <s v="Alessandro Nivola"/>
        <s v="Devin Ratray"/>
        <s v="Zack Ward"/>
        <s v="Alexander Gould"/>
        <s v="Alex Pettyfer"/>
        <s v="Katharine Ross"/>
        <s v="Gavin MacLeod"/>
        <s v="Bruce Spence"/>
        <s v="Steven Bauer"/>
        <s v="Rip Torn"/>
        <s v="James Coburn"/>
        <s v="Kerry BishÃ"/>
        <s v="Mhairi Calvey"/>
        <s v="Krista Allen"/>
        <s v="Barry Corbin"/>
        <s v="Melina Kanakaredes"/>
        <s v="Radha Mitchell"/>
        <s v="Adam Garcia"/>
        <s v="JeanPierre LÃaud"/>
        <s v="Leonor Varela"/>
        <s v="Clint Howard"/>
        <s v="Stephen Rea"/>
        <s v="Madeline Kahn"/>
        <s v="Glenn Morshower"/>
        <s v="David Paymer"/>
        <s v="Lochlyn Munro"/>
        <s v="Indira Varma"/>
        <s v="Quincy Jones"/>
        <s v="Seychelle Gabriel"/>
        <s v="Ulrich Thomsen"/>
        <s v="Ulrich Tukur"/>
        <s v="Peter Firth"/>
        <s v="Roger Allam"/>
        <s v="Dan Byrd"/>
        <s v="Chris Noth"/>
        <s v="Jennifer Ehle"/>
        <s v="Faizon Love"/>
        <s v="Verne Troyer"/>
        <s v="Rapulana Seiphemo"/>
        <s v="Joseph Gilgun"/>
        <s v="David Carradine"/>
        <s v="Essie Davis"/>
        <s v="Bill Maher"/>
        <s v="Greg Crowe"/>
        <s v="Lesley Manville"/>
        <s v="Rupert Grint"/>
        <s v="Bono"/>
        <s v="Kyra Sedgwick"/>
        <s v="David Jason Perez"/>
        <s v="Heather Locklear"/>
        <s v="Si Won Choi"/>
        <s v="Albert Brooks"/>
        <s v="Takashi Shimura"/>
        <s v="Chris Klein"/>
        <s v="Zoe Kazan"/>
        <s v="Jerry Ferrara"/>
        <s v="Austin Pendleton"/>
        <s v="Matthew Ziff"/>
        <s v="Elizabeth Berrington"/>
        <s v="Tippi Hedren"/>
        <s v="Kelsey Grammer"/>
        <s v="John F. Kennedy"/>
        <s v="Todd Giebenhain"/>
        <s v="Misha Gabriel Hamilton"/>
        <s v="Jeffrey Jones"/>
        <s v="Tina Turner"/>
        <s v="Rainn Wilson"/>
        <s v="Colin Salmon"/>
        <s v="Gary Lewis"/>
        <s v="Mike Epps"/>
        <s v="Julianna Guill"/>
        <s v="Busy Philipps"/>
        <s v="Bailee Madison"/>
        <s v="Mitch Pileggi"/>
        <s v="Shannon Elizabeth"/>
        <s v="Vincent Schiavelli"/>
        <s v="Mark Addy"/>
        <s v="Jason Marsden"/>
        <s v="Caitlin Stasey"/>
        <s v="Victor Rasuk"/>
        <s v="Adam Arkin"/>
        <s v="Jacob Vargas"/>
        <s v="Mike Howard"/>
        <s v="Topol"/>
        <s v="MarieJosÃe Croze"/>
        <s v="Aasif Mandvi"/>
        <s v="Laila Haley"/>
        <s v="Robert Redford"/>
        <s v="Jay Mohr"/>
        <s v="Mary Lynn Rajskub"/>
        <s v="Steven Mackintosh"/>
        <s v="Michael Angarano"/>
        <s v="Frank Grillo"/>
        <s v="Shawna Waldron"/>
        <s v="Mila Kunis"/>
        <s v="Zachary Gordon"/>
        <s v="Tony Cox"/>
        <s v="Anil Kapoor"/>
        <s v="Phil Davis"/>
        <s v="Ahna O'Reilly"/>
        <s v="Jamie RenÃe Smith"/>
        <s v="Nat Wolff"/>
        <s v="Isabelle Adjani"/>
        <s v="Richard Burgi"/>
        <s v="Marco St. John"/>
        <s v="Jennifer Hudson"/>
        <s v="Joan Rivers"/>
        <s v="Hill Harper"/>
        <s v="Salma Hayek"/>
        <s v="Jaime King"/>
        <s v="Antoni Corone"/>
        <s v="Bunta Sugawara"/>
        <s v="Woody Allen"/>
        <s v="Lawrence Gilliard Jr."/>
        <s v="Bojana Novakovic"/>
        <s v="Lena Dunham"/>
        <s v="John Heard"/>
        <s v="Steve Oedekerk"/>
        <s v="Luke Newberry"/>
        <s v="Paul McGill"/>
        <s v="KÃji Yakusho"/>
        <s v="Luke Bracey"/>
        <s v="Francesca Capaldi"/>
        <s v="Edie Falco"/>
        <s v="Jim Carter"/>
        <s v="Alan Ruck"/>
        <s v="Cole Hauser"/>
        <s v="Jennifer Jason Leigh"/>
        <s v="Maggie Cheung"/>
        <s v="Theo James"/>
        <s v="Betsy Palmer"/>
        <s v="Bridgette WilsonSampras"/>
        <s v="William Hootkins"/>
        <s v="Lena Horne"/>
        <s v="Tom Atkins"/>
        <s v="Mackenzie Foy"/>
        <s v="Julia Ormond"/>
        <s v="Purva Bedi"/>
        <s v="Cameron Bright"/>
        <s v="Vanessa Lengies"/>
        <s v="Chase Ellison"/>
        <s v="Wesley Jonathan"/>
        <s v="Andrew Garfield"/>
        <s v="Lambert Wilson"/>
        <s v="Angus T. Jones"/>
        <s v="Blair Brown"/>
        <s v="Otto Jespersen"/>
        <s v="David Lyons"/>
        <s v="Bobbie Phillips"/>
        <s v="Catherine O'Hara"/>
        <s v="Charlotte Rampling"/>
        <s v="Mark Margolis"/>
        <s v="Alexis Arquette"/>
        <s v="Scott Porter"/>
        <s v="Oliver Reed"/>
        <s v="Carol Kane"/>
        <s v="Joely Richardson"/>
        <s v="Sarunyu Wongkrachang"/>
        <s v="Shelley Duvall"/>
        <s v="Javier Botet"/>
        <s v="Parry Shen"/>
        <s v="Scott Baio"/>
        <s v="Emma Bell"/>
        <s v="Daniel Sharman"/>
        <s v="Rumi Hiiragi"/>
        <s v="Ben Gazzara"/>
        <s v="Michiel Huisman"/>
        <s v="Adam Baldwin"/>
        <s v="Laura Harring"/>
        <s v="Max Minghella"/>
        <s v="Chriss Anglin"/>
        <s v="Clu Gulager"/>
        <s v="Willie Garson"/>
        <s v="Kurtwood Smith"/>
        <s v="Cliff Robertson"/>
        <s v="Jon Seda"/>
        <s v="Oliver Hudson"/>
        <s v="Clea DuVall"/>
        <s v="Kevin Corrigan"/>
        <s v="Billy Campbell"/>
        <s v="America Ferrera"/>
        <s v="Violante Placido"/>
        <s v="Rosanna Arquette"/>
        <s v="Patton Oswalt"/>
        <s v="Billy Crudup"/>
        <s v="Eddie Marsan"/>
        <s v="Walter Koenig"/>
        <s v="Bokeem Woodbine"/>
        <s v="Dreama Walker"/>
        <s v="Carlos Gallardo"/>
        <s v="Ellar Coltrane"/>
        <s v="Ian McDiarmid"/>
        <s v="Rosie Perez"/>
        <s v="Matt Cohen"/>
        <s v="Wes Studi"/>
        <s v="Rachel Dratch"/>
        <s v="Mia Sara"/>
        <s v="Joel Courtney"/>
        <s v="David Hyde Pierce"/>
        <s v="Takeshi Kaneshiro"/>
        <s v="Natasha Henstridge"/>
        <s v="Jacques Perrin"/>
        <s v="John Boyega"/>
        <s v="Ursula Andress"/>
        <s v="Noah Danby"/>
        <s v="Lew Temple"/>
        <s v="Lily Atkinson"/>
        <s v="Tamannaah Bhatia"/>
        <s v="Sean Hayes"/>
        <s v="Meat Loaf"/>
        <s v="Emmanuelle Vaugier"/>
        <s v="Jensen Ackles"/>
        <s v="Patricia Tallman"/>
        <s v="Brittany Daniel"/>
        <s v="Paul Hogan"/>
        <s v="Gunnar Hansen"/>
        <s v="Armando Riesco"/>
        <s v="Olivia Munn"/>
        <s v="Corinna Harney"/>
        <s v="Mackenzie Davis"/>
        <s v="Matthew Perry"/>
        <s v="Isaiah Washington"/>
        <s v="Vincent Pastore"/>
        <s v="Matt Price"/>
        <s v="Nathalie Fay"/>
        <s v="Tiffany Helm"/>
        <s v="Richard Brooker"/>
        <s v="Charlie Korsmo"/>
        <s v="Tom Hughes"/>
        <s v="Elden Henson"/>
        <s v="Rick Yune"/>
        <s v="Warren Beatty"/>
        <s v="Brenda Song"/>
        <s v="Charles Napier"/>
        <s v="Kip Pardue"/>
        <s v="Telly Savalas"/>
        <s v="Lilli Lavine"/>
        <s v="Adam Goldberg"/>
        <s v="Randy Wayne"/>
        <s v="Kimberly J. Brown"/>
        <s v="Taylor Lautner"/>
        <s v="Richard Wilson"/>
        <s v="Daniel Stern"/>
        <s v="Dean Stockwell"/>
        <s v="Tori Spelling"/>
        <s v="Alison Brie"/>
        <s v="Harold Ramis"/>
        <s v="Luenell"/>
        <s v="Shari Albert"/>
        <s v="Micah Sloat"/>
        <s v="Caleb Landry Jones"/>
        <s v="Richard Burton"/>
        <s v="Nawazuddin Siddiqui"/>
        <s v="Stockard Channing"/>
        <s v="Ricky Schroder"/>
        <s v="Jeffrey Combs"/>
        <s v="Damon Wayans"/>
        <s v="Andy Dick"/>
        <s v="Ed Wynn"/>
        <s v="Xander Berkeley"/>
        <s v="Jacob Tremblay"/>
        <s v="Isabella Rossellini"/>
        <s v="Corbin Bernsen"/>
        <s v="Tisha CampbellMartin"/>
        <s v="Stephen Amell"/>
        <s v="Craig T. Nelson"/>
        <s v="Ryan Guzman"/>
        <s v="Jon Foo"/>
        <s v="Isaac Hempstead Wright"/>
        <s v="Marsha Thomason"/>
        <s v="Olivia NewtonJohn"/>
        <s v="Byron Mann"/>
        <s v="Sandra Ellis Lafferty"/>
        <s v="David Zayas"/>
        <s v="Sally Hawkins"/>
        <s v="Harry Lennix"/>
        <s v="David Gant"/>
        <s v="Taran Killam"/>
        <s v="Wagner Moura"/>
        <s v="Jeremy W. Auman"/>
        <s v="Jennifer Saunders"/>
        <s v="Kelly Preston"/>
        <s v="Tenzin Thuthob Tsarong"/>
        <s v="Eric Johnson"/>
        <s v="Angell Conwell"/>
        <s v="Nate Parker"/>
        <s v="Yuri Lowenthal"/>
        <s v="Emraan Hashmi"/>
        <s v="Tatyana Ali"/>
        <s v="Chris Gauthier"/>
        <s v="James Urbaniak"/>
        <s v="Ian Gamazon"/>
        <s v="Gary Weeks"/>
        <s v="Robert Pine"/>
        <s v="Jim Belushi"/>
        <s v="Callum Rennie"/>
        <s v="Iko Uwais"/>
        <s v="George Coe"/>
        <s v="Charlie McDermott"/>
        <s v="CCH Pounder"/>
        <s v="Tiago Riani"/>
        <s v="John Gatins"/>
        <s v="Talulah Riley"/>
        <s v="Debra Messing"/>
        <s v="Q'orianka Kilcher"/>
        <s v="Catherine Lough Haggquist"/>
        <s v="BjÃrn Sundquist"/>
        <s v="Toby Stephens"/>
        <s v="Nathan Lane"/>
        <s v="Roy Billing"/>
        <s v="Tom Cullen"/>
        <s v="Leonard Nimoy"/>
        <s v="Jason Flemyng"/>
        <s v="Phaldut Sharma"/>
        <s v="Aidan Turner"/>
        <s v="Brendan Doogie Milewski"/>
        <s v="Jason London"/>
        <s v="Shirley Henderson"/>
        <s v="Hiroshi Abe"/>
        <s v="Shelley Hennig"/>
        <s v="Yorick van Wageningen"/>
        <s v="Chris Zylka"/>
        <s v="Christo Jivkov"/>
        <s v="Tshewang Dendup"/>
        <s v="Paulette Goddard"/>
        <s v="Katharine Isabelle"/>
        <s v="Lubna Azabal"/>
        <s v="Jonathan Brandis"/>
        <s v="Doug E. Doug"/>
        <s v="Jesse McCartney"/>
        <s v="Naseeruddin Shah"/>
        <s v="Bill Johnson"/>
        <s v="Jack Palance"/>
        <s v="William Morgan Sheppard"/>
        <s v="Irene Bedard"/>
        <s v="M. Emmet Walsh"/>
        <s v="Aunjanue Ellis"/>
        <s v="Margaret Hamilton"/>
        <s v="G.W. Krauss"/>
        <s v="Alicia Goranson"/>
        <s v="Vidya Balan"/>
        <s v="James Lafferty"/>
        <s v="Vinessa Shaw"/>
        <s v="Fred Willard"/>
        <s v="Heike Makatsch"/>
        <s v="Alona Tal"/>
        <s v="Paul Guilfoyle"/>
        <s v="Monique Gabriela Curnen"/>
        <s v="Keisha CastleHughes"/>
        <s v="Ben Davies"/>
        <s v="Cameron Monaghan"/>
        <s v="Lauren Ambrose"/>
        <s v="Jelena Jovanova"/>
        <s v="Dania Ramirez"/>
        <s v="Josh Wingate"/>
        <s v="Emily Watson"/>
        <s v="Aidan Quinn"/>
        <s v="LeVar Burton"/>
        <s v="Drew Powell"/>
        <s v="Bruce McGill"/>
        <s v="Craig Ferguson"/>
        <s v="Keenan Wynn"/>
        <s v="Larry Miller"/>
        <s v="Toby Jones"/>
        <s v="Jordi MollÃ"/>
        <s v="Daryl Sabara"/>
        <s v="Emma Watson"/>
        <s v="Sterling Jerins"/>
        <s v="Alia Shawkat"/>
        <s v="Olivia Williams"/>
        <s v="Marc Blucas"/>
        <s v="Anika Noni Rose"/>
        <s v="Ayelet Zurer"/>
        <s v="Saffron Burrows"/>
        <s v="Dax Flame"/>
        <s v="FranÃois Cluzet"/>
        <s v="Beverly D'Angelo"/>
        <s v="Brendan Fehr"/>
        <s v="Jack Davenport"/>
        <s v="Rami Malek"/>
        <s v="Manish Dayal"/>
        <s v="Aisha Tyler"/>
        <s v="Farrah Fawcett"/>
        <s v="Ximena Ayala"/>
        <s v="Khandi Alexander"/>
        <s v="Kirby Heyborne"/>
        <s v="Jessy Schram"/>
        <s v="Hal Holbrook"/>
        <s v="Robert Townsend"/>
        <s v="Bam Margera"/>
        <s v="Jeremy Davies"/>
        <s v="Pam Ferris"/>
        <s v="Tatsuo Matsumura"/>
        <s v="William Gates"/>
        <s v="Tommy Pallotta"/>
        <s v="Melanie Griffith"/>
        <s v="Michael Emerson"/>
        <s v="Logan Browning"/>
        <s v="Steven Anthony Lawrence"/>
        <s v="Mike Figueroa"/>
        <s v="Miranda Cosgrove"/>
        <s v="Cedric the Entertainer"/>
        <s v="Shailene Woodley"/>
        <s v="Adrian Martinez"/>
        <s v="Trey Parker"/>
        <s v="Rock Hudson"/>
        <s v="Adriana Caselotti"/>
        <s v="Ronny Cox"/>
        <s v="Catalina Sandino Moreno"/>
        <s v="Julie Walters"/>
        <s v="Sonja Sohn"/>
        <s v="Tina Desai"/>
        <s v="William McNamara"/>
        <s v="Paul Schneider"/>
        <s v="Leonard Roberts"/>
        <s v="James Kyson"/>
        <s v="Kevin Rankin"/>
        <s v="Leighton Meester"/>
        <s v="Alun Armstrong"/>
        <s v="Alice Greczyn"/>
        <s v="James D'Arcy"/>
        <s v="Samira Wiley"/>
        <s v="Nirut Sirichanya"/>
        <s v="William Baldwin"/>
        <s v="Matt Shively"/>
        <s v="Stephanie Szostak"/>
        <s v="Marina Golbahari"/>
        <s v="Danneel Ackles"/>
        <s v="Lindsay Kay Hayward"/>
        <s v="Seamus DaveyFitzpatrick"/>
        <s v="Bashar Rahal"/>
        <s v="Bolo Yeung"/>
        <s v="Clive Russell"/>
        <s v="Udo Kier"/>
        <s v="Matt Smith"/>
        <s v="Ivana Baquero"/>
        <s v="Robin Lord Taylor"/>
        <s v="Leon"/>
        <s v="Mary Elizabeth Mastrantonio"/>
        <s v="Larry David"/>
        <s v="Kelly Macdonald"/>
        <s v="Benjamin A. Onyango"/>
        <s v="Adam LeFevre"/>
        <s v="Corbin Allred"/>
        <s v="Tony Chiu Wai Leung"/>
        <s v="Thomas Bo Larsen"/>
        <s v="Richard Johnson"/>
        <s v="Donald Glover"/>
        <s v="Danny Pino"/>
        <s v="Lara Jill Miller"/>
        <s v="Rufus Sewell"/>
        <s v="Christopher Meloni"/>
        <s v="Sofia Boutella"/>
        <s v="Tammin Sursok"/>
        <s v="Lorraine Bracco"/>
        <s v="David Belle"/>
        <s v="Fred Gwynne"/>
        <s v="Darci Kistler"/>
        <s v="Deborah Mailman"/>
        <s v="Jonathan D. Mellor"/>
        <s v="Tate Donovan"/>
        <s v="Elizabeth Streb"/>
        <s v="Honor Blackman"/>
        <s v="Marilyn Rising"/>
        <s v="Greg Germann"/>
        <s v="John Beasley"/>
        <s v="Eugenio Derbez"/>
        <s v="Minsik Choi"/>
        <s v="Konstantin Khabenskiy"/>
        <s v="Peter Serafinowicz"/>
        <s v="Donald Faison"/>
        <s v="Patrick Fugit"/>
        <s v="Hulk Hogan"/>
        <s v="Mia Wasikowska"/>
        <s v="Michael Nyqvist"/>
        <s v="Stephen McHattie"/>
        <s v="Kelly Carlson"/>
        <s v="Louis Jourdan"/>
        <s v="Merritt Wever"/>
        <s v="Fay Masterson"/>
        <s v="Estella Warren"/>
        <s v="Frances Fisher"/>
        <s v="Donggun Jang"/>
        <s v="Bai Ling"/>
        <s v="Alden Ehrenreich"/>
        <s v="Jerry Stiller"/>
        <s v="Richard Coyle"/>
        <s v="Illeana Douglas"/>
        <s v="Rachel True"/>
        <s v="Amir Talai"/>
        <s v="Bahare Seddiqi"/>
        <s v="Michael Gross"/>
        <s v="Cem Yilmaz"/>
        <s v="Tom Burke"/>
        <s v="D.B. Woodside"/>
        <s v="Nancy O'Dell"/>
        <s v="Sarah MurphyDyson"/>
        <s v="Natasha Lyonne"/>
        <s v="Noah Taylor"/>
        <s v="Kenneth Tobey"/>
        <s v="Martin Dew"/>
        <s v="Angie Dickinson"/>
        <s v="Rachel Griffiths"/>
        <s v="Michael Joiner"/>
        <s v="Jason Robards"/>
        <s v="Lisa Wilcox"/>
        <s v="Omar Sy"/>
        <s v="Terry Funk"/>
        <s v="William Joseph Elk III"/>
        <s v="Bianca Kajlich"/>
        <s v="Dustin Lance Black"/>
        <s v="Tadanobu Asano"/>
        <s v="Jossara Jinaro"/>
        <s v="Peter McNamara"/>
        <s v="Haley Ramm"/>
        <s v="Mako"/>
        <s v="Barry Watson"/>
        <s v="Brian Blessed"/>
        <s v="Marco TreviÃo"/>
        <s v="Lou Taylor Pucci"/>
        <s v="Nicholas Rowe"/>
        <s v="John August"/>
        <s v="Richard Lawson"/>
        <s v="Giancarlo Giannini"/>
        <s v="William Holden"/>
        <s v="FranÃoise Yip"/>
        <s v="Aaliyah"/>
        <s v="John Belushi"/>
        <s v="Tyler Labine"/>
        <s v="Judie Aronson"/>
        <s v="Mike Tyson"/>
        <s v="Christian Clemenson"/>
        <s v="Shiri Appleby"/>
        <s v="Michael Jeter"/>
        <s v="Gena Rowlands"/>
        <s v="Katrina Bowden"/>
        <s v="Elpidia Carrillo"/>
        <s v="Eric Sheffer Stevens"/>
        <s v="Shane Carruth"/>
        <s v="Marshall Bell"/>
        <s v="Flavio Parenti"/>
        <s v="JeanBaptiste Maunier"/>
        <s v="Sanaa Lathan"/>
        <s v="Mark Duplass"/>
        <s v="Del Zamora"/>
        <s v="Michael J. Pollard"/>
        <s v="Jeremy Brett"/>
        <s v="Damon Wayans Jr."/>
        <s v="Connor Paolo"/>
        <s v="Lucas Grabeel"/>
        <s v="Tony Doupe"/>
        <s v="Paige Turco"/>
        <s v="Stacy Edwards"/>
        <s v="Michel Robin"/>
        <s v="Brad Garrett"/>
        <s v="Tuesday Knight"/>
        <s v="Christopher Nicholas Smith"/>
        <s v="Danny Dyer"/>
        <s v="Darryl Hunt"/>
        <s v="Taylor Cole"/>
        <s v="Mia Farrow"/>
        <s v="Alexander SkarsgÃrd"/>
        <s v="Catherine Dyer"/>
        <s v="Sharon Small"/>
        <s v="Raymond Cruz"/>
        <s v="Sean Patrick Thomas"/>
        <s v="Peter Mensah"/>
        <s v="J.D. Evermore"/>
        <s v="Sheryl Crow"/>
        <s v="Osama bin Laden"/>
        <s v="Barack Obama"/>
        <s v="Shane Black"/>
        <s v="Alyson Stoner"/>
        <s v="Kathleen Freeman"/>
        <s v="Beau Bridges"/>
        <s v="Kim Dickens"/>
        <s v="Jeffrey Falcon"/>
        <s v="Burt Young"/>
        <s v="Sissy Spacek"/>
        <s v="Cheryl Hines"/>
        <s v="Matisyahu"/>
        <s v="Darcy Donavan"/>
        <s v="Josh Swanson"/>
        <s v="Andrea Corr"/>
        <s v="Augustus Prew"/>
        <s v="Kasia Smutniak"/>
        <s v="Karen Allen"/>
        <s v="David Hewlett"/>
        <s v="Fann Wong"/>
        <s v="Tim Meadows"/>
        <s v="Izabella Scorupco"/>
        <s v="Amber Valletta"/>
        <s v="Charles S. Dutton"/>
        <s v="Ian McNeice"/>
        <s v="Sonia Braga"/>
        <s v="Kate Maberly"/>
        <s v="Lisa Ann Walter"/>
        <s v="Norbert Ferrer"/>
        <s v="David Mamet"/>
        <s v="Joel McHale"/>
        <s v="John Kapelos"/>
        <s v="Woody Strode"/>
        <s v="Robert Baker"/>
        <s v="Fernanda Montenegro"/>
        <s v="Eva Amurri Martino"/>
        <s v="Blair Underwood"/>
        <s v="Regina Hall"/>
        <s v="Michael McKean"/>
        <s v="Bebe Neuwirth"/>
        <s v="Deborah Kara Unger"/>
        <s v="Rita Hayworth"/>
        <s v="Bradley Whitford"/>
        <s v="Dan Futterman"/>
        <s v="Cassie Ventura"/>
        <s v="Lemmy"/>
        <s v="Santiago Cabrera"/>
        <s v="Robert Picardo"/>
        <s v="Lisa Edelstein"/>
        <s v="Kelly Rutherford"/>
        <s v="Dominic Flores"/>
        <s v="Jan Decleir"/>
        <s v="Grace Phipps"/>
        <s v="Yuki Matsuzaki"/>
        <s v="Alanna Ubach"/>
        <s v="James Callis"/>
        <s v="Robert Clohessy"/>
        <s v="Armin MuellerStahl"/>
        <s v="Tasha Smith"/>
        <s v="Derek Luke"/>
        <s v="BelÃn Rueda"/>
        <s v="RavenSymonÃ"/>
        <s v="Fran Drescher"/>
        <s v="Britney Spears"/>
        <s v="Michael Nouri"/>
        <s v="Lois Smith"/>
        <s v="Rob Paulsen"/>
        <s v="Qi Shu"/>
        <s v="Charlie Rowe"/>
        <s v="Antony Starr"/>
        <s v="Jason Mewes"/>
        <s v="Levon Helm"/>
        <s v="Emily Podleski"/>
        <s v="Merab Ninidze"/>
        <s v="Lili Taylor"/>
        <s v="John Cothran"/>
        <s v="JÃrgen Prochnow"/>
        <s v="Ryan O'Neal"/>
        <s v="Kevin Alejandro"/>
        <s v="Karra Elejalde"/>
        <s v="Collette Wolfe"/>
        <s v="Scott Cohen"/>
        <s v="Christopher Masterson"/>
        <s v="Johnny Lewis"/>
        <s v="Zak Penn"/>
        <s v="Dylan Walsh"/>
        <s v="Jeff Bennett"/>
        <s v="Saif Ali Khan"/>
        <s v="Tony Nappo"/>
        <s v="Gabriel Millman"/>
        <s v="Isaac Hayes"/>
        <s v="Trevor Morgan"/>
        <s v="Rudy Youngblood"/>
        <s v="Dylan Baker"/>
        <s v="Callie Thorne"/>
        <s v="Ari Graynor"/>
        <s v="Chris Moss"/>
        <s v="Ruby Dee"/>
        <s v="Yaphet Kotto"/>
        <s v="Leopold Stokowski"/>
        <s v="Luis Tosar"/>
        <s v="Michael Greyeyes"/>
        <s v="Mustafa Haidari"/>
        <s v="Gregory Scott Cummins"/>
        <s v="Julia Jentsch"/>
        <s v="Brenda Fricker"/>
        <s v="Carole Bouquet"/>
        <s v="Jay Laga'aia"/>
        <s v="Brigitte Helm"/>
        <s v="Geraldine Chaplin"/>
        <s v="Wei Zhao"/>
        <s v="Danny Strong"/>
        <s v="Shahab Hosseini"/>
        <s v="Debbie Reynolds"/>
        <s v="Sullivan Stapleton"/>
        <s v="Molly Parker"/>
        <s v="Pfeifer Brown"/>
        <s v="Hanno PÃschl"/>
        <s v="Geoffrey Arend"/>
        <s v="Nicholas Gonzalez"/>
        <s v="Tim Conway"/>
        <s v="Denis O'Hare"/>
        <s v="Jenny Agutter"/>
        <s v="Dyan Cannon"/>
        <s v="Scott Mechlowicz"/>
        <s v="Noah Emmerich"/>
        <s v="Bob Neill"/>
        <s v="Tzi Ma"/>
        <s v="Maribel VerdÃ"/>
        <s v="Harvey Fierstein"/>
        <s v="Michael Stuhlbarg"/>
        <s v="Oliver James"/>
        <s v="Julie Christie"/>
        <s v="Yaya DaCosta"/>
        <s v="Sydney Pollack"/>
        <s v="Kevin Sussman"/>
        <s v="John Astin"/>
        <s v="David RichmondPeck"/>
        <s v="Irvin Kershner"/>
        <s v="Samaire Armstrong"/>
        <s v="Brian Lee Franklin"/>
        <s v="Sarah Carter"/>
        <s v="Gloria Grahame"/>
        <s v="Lars Mikkelsen"/>
        <s v="Sierra McCormick"/>
        <s v="SiuWong Fan"/>
        <s v="Anita Page"/>
        <s v="Suraj Sharma"/>
        <s v="Sophie Okonedo"/>
        <s v="Heather Donahue"/>
        <s v="Snoop Dogg"/>
        <s v="Emilia Fox"/>
        <s v="Stephanie Leonidas"/>
        <s v="Kirk Fox"/>
        <s v="Michael O'Neill"/>
        <s v="Allison Dean"/>
        <s v="Jill Clayburgh"/>
        <s v="Harry Styles"/>
        <s v="Megan Park"/>
        <s v="John Robinson"/>
        <s v="Noel Gugliemi"/>
        <s v="Clayton Snyder"/>
        <s v="Sam Waterston"/>
        <s v="Sam Claflin"/>
        <s v="Ana de la Reguera"/>
        <s v="Dana Delany"/>
        <s v="Kirk Cameron"/>
        <s v="CÃcile De France"/>
        <s v="Long Nguyen"/>
        <s v="Jim Meskimen"/>
        <s v="Cory Hardrict"/>
        <s v="Peter Graves"/>
        <s v="Chelan Simmons"/>
        <s v="Jasper Cole"/>
        <s v="Aimee Garcia"/>
        <s v="Terry Kiser"/>
        <s v="Amber Stevens West"/>
        <s v="Richard Epcar"/>
        <s v="Mark Rylance"/>
        <s v="Monica Calhoun"/>
        <s v="Olivier Martinez"/>
        <s v="Peter Capaldi"/>
        <s v="Danny Huston"/>
        <s v="Marcela Mar"/>
        <s v="Carmen Perez"/>
        <s v="Jessica ParÃ"/>
        <s v="Marisa Saks"/>
        <s v="Blythe Danner"/>
        <s v="Drew Fuller"/>
        <s v="Edgar Arreola"/>
        <s v="Sam Riley"/>
        <s v="John Karyus"/>
        <s v="Jake Busey"/>
        <s v="Talisa Soto"/>
        <s v="Phoebe Legere"/>
        <s v="Nicholas Lea"/>
        <s v="Malese Jow"/>
        <s v="Todd Stashwick"/>
        <s v="MyAnna Buring"/>
        <s v="Mahadeo Shivraj"/>
        <s v="Vernon Wells"/>
        <s v="Temple Grandin"/>
        <s v="Steve Irwin"/>
        <s v="Kathleen Wilhoite"/>
        <s v="Nora Zehetner"/>
        <s v="Kay Panabaker"/>
        <s v="Julian Glover"/>
        <s v="Sharlto Copley"/>
        <s v="Gillian White"/>
        <s v="Fionnula Flanagan"/>
        <s v="Anwar Congo"/>
        <s v="Jessie T. Usher"/>
        <s v="Jon Gries"/>
        <s v="Jurnee SmollettBell"/>
        <s v="Ari Folman"/>
        <s v="James Brolin"/>
        <s v="Dougray Scott"/>
        <s v="Kevin Nash"/>
        <s v="Ye Liu"/>
        <s v="Shengyi Huang"/>
        <s v="Elina Alminas"/>
        <s v="Erick Avari"/>
      </sharedItems>
    </cacheField>
    <cacheField name="movie_title" numFmtId="0">
      <sharedItems>
        <s v="Escape from Planet Earth "/>
        <s v="Point Break "/>
        <s v="Miracle "/>
        <s v="A Fistful of Dollars "/>
        <s v="Frequency "/>
        <s v="Walking Tall "/>
        <s v="Pulp Fiction "/>
        <s v="Practical Magic "/>
        <s v="Ultraviolet "/>
        <s v="Malcolm X "/>
        <s v="Black Hawk Down "/>
        <s v="Lone Star "/>
        <s v="The Tourist "/>
        <s v="Luminarias "/>
        <s v="Urban Legends: Final Cut "/>
        <s v="Chasing Liberty "/>
        <s v="Twin Falls Idaho "/>
        <s v="Lake Placid "/>
        <s v="John Q "/>
        <s v="The Pirate "/>
        <s v="Say It Isn't So "/>
        <s v="Hot Fuzz "/>
        <s v="The Mighty Macs "/>
        <s v="Police Academy "/>
        <s v="The Phantom "/>
        <s v="A Nightmare on Elm Street "/>
        <s v="Exiled "/>
        <s v="How Do You Know "/>
        <s v="Set It Off "/>
        <s v="Nurse Betty "/>
        <s v="White House Down "/>
        <s v="Batman Returns "/>
        <s v="Aliens "/>
        <s v="Killers "/>
        <s v="Bad Santa "/>
        <s v="Underworld "/>
        <s v="How to Lose Friends &amp; Alienate People "/>
        <s v="American Ninja 2: The Confrontation "/>
        <s v="Snow Flower and the Secret Fan "/>
        <s v="Knight and Day "/>
        <s v="The Slaughter Rule "/>
        <s v="Darkness "/>
        <s v="Adore "/>
        <s v="The Remains of the Day "/>
        <s v="Heartbreakers "/>
        <s v="Ghostbusters "/>
        <s v="The Real Cancun "/>
        <s v="Madagascar: Escape 2 Africa "/>
        <s v="The Twilight Saga: Eclipse "/>
        <s v="A Low Down Dirty Shame "/>
        <s v="Along Came a Spider "/>
        <s v="Dreamer: Inspired by a True Story "/>
        <s v="DragonHeart "/>
        <s v="The Other Guys "/>
        <s v="The Boy "/>
        <s v="My Big Fat Greek Wedding "/>
        <s v="Roger &amp; Me "/>
        <s v="Dreaming of Joseph Lees "/>
        <s v="Shrek the Third "/>
        <s v="The Visit "/>
        <s v="Disturbia "/>
        <s v="Ocean's Thirteen "/>
        <s v="Hamlet 2 "/>
        <s v="The Singing Detective "/>
        <s v="Burlesque "/>
        <s v="The Ides of March "/>
        <s v="Dune "/>
        <s v="Hannah Montana: The Movie "/>
        <s v="The Chronicles of Narnia: Prince Caspian "/>
        <s v="Facing the Giants "/>
        <s v="The Equalizer "/>
        <s v="Flash of Genius "/>
        <s v="Detention of the Dead "/>
        <s v="Instinct "/>
        <s v="The Sound of Music "/>
        <s v="Love the Coopers "/>
        <s v="Scarface "/>
        <s v="Aliens vs. Predator: Requiem "/>
        <s v="Halloween: Resurrection "/>
        <s v="Good Boy! "/>
        <s v="10th &amp; Wolf "/>
        <s v="The Great Raid "/>
        <s v="The 6th Day "/>
        <s v="Looney Tunes: Back in Action "/>
        <s v="Song One "/>
        <s v="Solitary Man "/>
        <s v="The Mask of Zorro "/>
        <s v="A Dangerous Method "/>
        <s v="The Black Dahlia "/>
        <s v="Austin Powers: International Man of Mystery "/>
        <s v="The Claim "/>
        <s v="Dragonball: Evolution "/>
        <s v="Trees Lounge "/>
        <s v="Bad Lieutenant: Port of Call New Orleans "/>
        <s v="That Thing You Do! "/>
        <s v="Firewall "/>
        <s v="Rushmore "/>
        <s v="The Hunt for Red October "/>
        <s v="Hansel &amp; Gretel: Witch Hunters "/>
        <s v="Albino Alligator "/>
        <s v="Fighting Tommy Riley "/>
        <s v="The Mask "/>
        <s v="The House Bunny "/>
        <s v="Payback "/>
        <s v="The Jungle Book "/>
        <s v="Joyful Noise "/>
        <s v="Mr. Popper's Penguins "/>
        <s v="Cradle Will Rock "/>
        <s v="The Quiet American "/>
        <s v="City Island "/>
        <s v="Batman Forever "/>
        <s v="Mystic Pizza "/>
        <s v="Beowulf "/>
        <s v="The Last Legion "/>
        <s v="Shrek 2 "/>
        <s v="My Best Friend's Wedding "/>
        <s v="Elizabethtown "/>
        <s v="The Imitation Game "/>
        <s v="The Station Agent "/>
        <s v="Sinister "/>
        <s v="March or Die "/>
        <s v="Murder by Numbers "/>
        <s v="G-Force "/>
        <s v="Gerry "/>
        <s v="The Guard "/>
        <s v="22 Jump Street "/>
        <s v="Maid in Manhattan "/>
        <s v="Bad Words "/>
        <s v="Taken 2 "/>
        <s v="Breakdown "/>
        <s v="Little Nicky "/>
        <s v="The Visual Bible: The Gospel of John "/>
        <s v="Glory "/>
        <s v="The Abyss "/>
        <s v="Lethal Weapon 3 "/>
        <s v="Indiana Jones and the Temple of Doom "/>
        <s v="Three Kings "/>
        <s v="Galaxy Quest "/>
        <s v="The Next Best Thing "/>
        <s v="AmÃ©lie "/>
        <s v="The Ant Bully "/>
        <s v="Snitch "/>
        <s v="Veer-Zaara "/>
        <s v="Dead Poets Society "/>
        <s v="Rock Star "/>
        <s v="War Horse "/>
        <s v="Northfork "/>
        <s v="Behind Enemy Lines "/>
        <s v="My Fellow Americans "/>
        <s v="Jade "/>
        <s v="Half Past Dead "/>
        <s v="The Limey "/>
        <s v="The King's Speech "/>
        <s v="The Art of War "/>
        <s v="Justin Bieber: Never Say Never "/>
        <s v="Monster House "/>
        <s v="The Faculty "/>
        <s v="The Red Violin "/>
        <s v="Center Stage "/>
        <s v="Amen. "/>
        <s v="Son of the Mask "/>
        <s v="The Clan of the Cave Bear "/>
        <s v="Primary Colors "/>
        <s v="A Walk to Remember "/>
        <s v="Bringing Out the Dead "/>
        <s v="Stop-Loss "/>
        <s v="Reign Over Me "/>
        <s v="RoboCop "/>
        <s v="Divergent "/>
        <s v="Saving Private Ryan "/>
        <s v="The Rose "/>
        <s v="I Love Your Work "/>
        <s v="Double Take "/>
        <s v="G.I. Joe: Retaliation "/>
        <s v="Legends of Oz: Dorothy's Return "/>
        <s v="Flags of Our Fathers "/>
        <s v="The Last Castle "/>
        <s v="Escobar: Paradise Lost "/>
        <s v="The Expendables 3 "/>
        <s v="Lady in White "/>
        <s v="Entrapment "/>
        <s v="Playing for Keeps "/>
        <s v="Caramel "/>
        <s v="Licence to Kill "/>
        <s v="Maleficent "/>
        <s v="The Matrix Reloaded "/>
        <s v="Ira &amp; Abby "/>
        <s v="Daddy's Home "/>
        <s v="Pearl Harbor "/>
        <s v="The Polar Express "/>
        <s v="Broken Arrow "/>
        <s v="Funny Games "/>
        <s v="Harsh Times "/>
        <s v="Brazil "/>
        <s v="The Last Station "/>
        <s v="White Fang "/>
        <s v="Jersey Girl "/>
        <s v="Drowning Mona "/>
        <s v="Ninja Assassin "/>
        <s v="The Artist "/>
        <s v="Sorority Boys "/>
        <s v="The Pacifier "/>
        <s v="Stomp the Yard "/>
        <s v="Poseidon "/>
        <s v="Nine "/>
        <s v="Lost in Translation "/>
        <s v="Doctor Dolittle "/>
        <s v="Run All Night "/>
        <s v="Hope Floats "/>
        <s v="Crocodile Dundee in Los Angeles "/>
        <s v="Anastasia "/>
        <s v="Jason Goes to Hell: The Final Friday "/>
        <s v="World Trade Center "/>
        <s v="Crazy, Stupid, Love. "/>
        <s v="Stonewall "/>
        <s v="Man of the House "/>
        <s v="Real Steel "/>
        <s v="Mercy Streets "/>
        <s v="Not Another Teen Movie "/>
        <s v="The General's Daughter "/>
        <s v="Undercover Brother "/>
        <s v="The Living Wake "/>
        <s v="King Kong "/>
        <s v="Super Size Me "/>
        <s v="House Party 2 "/>
        <s v="Mad City "/>
        <s v="Quarantine "/>
        <s v="Harry Potter and the Half-Blood Prince "/>
        <s v="The Village "/>
        <s v="The Lord of the Rings: The Two Towers "/>
        <s v="Warlock "/>
        <s v="Summer Storm "/>
        <s v="A Very Long Engagement "/>
        <s v="I Can Do Bad All by Myself "/>
        <s v="It's Kind of a Funny Story "/>
        <s v="Birthday Girl "/>
        <s v="Chairman of the Board "/>
        <s v="Bad Grandpa "/>
        <s v="The Brass Teapot "/>
        <s v="Whatever It Takes "/>
        <s v="At First Sight "/>
        <s v="Freeheld "/>
        <s v="Taxi to the Dark Side "/>
        <s v="Brothers "/>
        <s v="The Flintstones in Viva Rock Vegas "/>
        <s v="Die Hard 2 "/>
        <s v="Gremlins "/>
        <s v="One Man's Hero "/>
        <s v="The Counselor "/>
        <s v="Speed 2: Cruise Control "/>
        <s v="Mission: Impossible - Rogue Nation "/>
        <s v="Independence Day: Resurgence "/>
        <s v="Land of the Lost "/>
        <s v="Cinderella Man "/>
        <s v="You Got Served "/>
        <s v="The Hills Have Eyes II "/>
        <s v="Fantastic Mr. Fox "/>
        <s v="Far from Heaven "/>
        <s v="The Chronicles of Riddick "/>
        <s v="I Got the Hook Up "/>
        <s v="The Longest Yard "/>
        <s v="Legion "/>
        <s v="The Order "/>
        <s v="Delivery Man "/>
        <s v="Mulan "/>
        <s v="Bill &amp; Ted's Bogus Journey "/>
        <s v="The Lovely Bones "/>
        <s v="Jack Reacher "/>
        <s v="Johnson Family Vacation "/>
        <s v="Get Hard "/>
        <s v="Sense and Sensibility "/>
        <s v="Pinocchio "/>
        <s v="Little Miss Sunshine "/>
        <s v="Home "/>
        <s v="Dumb &amp; Dumber "/>
        <s v="Sahara "/>
        <s v="Fun Size "/>
        <s v="Keanu "/>
        <s v="Death Becomes Her "/>
        <s v="Confidence "/>
        <s v="Bogus "/>
        <s v="The Sixth Sense "/>
        <s v="The Astronaut's Wife "/>
        <s v="Child's Play "/>
        <s v="Finding Forrester "/>
        <s v="The Hammer "/>
        <s v="Batman &amp; Robin "/>
        <s v="In Good Company "/>
        <s v="The Golden Compass "/>
        <s v="The Basket "/>
        <s v="Action Jackson "/>
        <s v="Everything Must Go "/>
        <s v="The Shadow "/>
        <s v="People I Know "/>
        <s v="Cloudy with a Chance of Meatballs 2 "/>
        <s v="Diamonds Are Forever "/>
        <s v="Star Wars: Episode IV - A New Hope "/>
        <s v="Tristram Shandy: A Cock and Bull Story "/>
        <s v="Stealth "/>
        <s v="Big Mommas: Like Father, Like Son "/>
        <s v="Absolute Power "/>
        <s v="Things We Lost in the Fire "/>
        <s v="One for the Money "/>
        <s v="The Cold Light of Day "/>
        <s v="Honey "/>
        <s v="The Usual Suspects "/>
        <s v="War of the Worlds "/>
        <s v="Invaders from Mars "/>
        <s v="Tinker Tailor Soldier Spy "/>
        <s v="Woo "/>
        <s v="Everybody's Fine "/>
        <s v="It's a Mad, Mad, Mad, Mad World "/>
        <s v="Owning Mahowny "/>
        <s v="Sleepover "/>
        <s v="Spider-Man 3 "/>
        <s v="Inception "/>
        <s v="Tarnation "/>
        <s v="Lights Out "/>
        <s v="The Legend of Hercules "/>
        <s v="Renaissance "/>
        <s v="Mission: Impossible III "/>
        <s v="Just Looking "/>
        <s v="The Maze Runner "/>
        <s v="What Happens in Vegas "/>
        <s v="Teenage Mutant Ninja Turtles "/>
        <s v="Waterworld "/>
        <s v="South Park: Bigger Longer &amp; Uncut "/>
        <s v="White Squall "/>
        <s v="Rock of Ages "/>
        <s v="Battle Los Angeles "/>
        <s v="The Spy Who Loved Me "/>
        <s v="Firefox "/>
        <s v="Gosford Park "/>
        <s v="Two Weeks Notice "/>
        <s v="Hart's War "/>
        <s v="Fight Club "/>
        <s v="Tremors "/>
        <s v="American Dreamz "/>
        <s v="The Kid "/>
        <s v="In the Heart of the Sea "/>
        <s v="The Switch "/>
        <s v="The Patriot "/>
        <s v="MoliÃ¨re "/>
        <s v="The Nutty Professor "/>
        <s v="Stuck on You "/>
        <s v="Anatomy "/>
        <s v="Shadow of the Vampire "/>
        <s v="I Still Know What You Did Last Summer "/>
        <s v="Hellboy "/>
        <s v="Kingdom of Heaven "/>
        <s v="The Bank Job "/>
        <s v="Simon Birch "/>
        <s v="Shakespeare in Love "/>
        <s v="Winter's Bone "/>
        <s v="Monkeybone "/>
        <s v="Elektra "/>
        <s v="Going the Distance "/>
        <s v="The Magic Sword: Quest for Camelot "/>
        <s v="Ghost Rider "/>
        <s v="Finding Neverland "/>
        <s v="My Name Is Bruce "/>
        <s v="The Next Three Days "/>
        <s v="Pirates of the Caribbean: The Curse of the Black Pearl "/>
        <s v="Akira "/>
        <s v="Fantastic Four "/>
        <s v="A Man Apart "/>
        <s v="Casino Royale "/>
        <s v="Volcano "/>
        <s v="QuinceaÃ±era "/>
        <s v="Cradle 2 the Grave "/>
        <s v="Charlie's Angels: Full Throttle "/>
        <s v="The Unborn "/>
        <s v="Close Encounters of the Third Kind "/>
        <s v="Run Lola Run "/>
        <s v="Hail, Caesar! "/>
        <s v="Little Women "/>
        <s v="Wish I Was Here "/>
        <s v="The Texas Chainsaw Massacre: The Beginning "/>
        <s v="In &amp; Out "/>
        <s v="Impostor "/>
        <s v="A Good Year "/>
        <s v="Buffalo '66 "/>
        <s v="Surfer, Dude "/>
        <s v="The Brothers Grimm "/>
        <s v="Lucky Break "/>
        <s v="The Princess and the Cobbler "/>
        <s v="Sugar Town "/>
        <s v="Deterrence "/>
        <s v="Devil's Due "/>
        <s v="Avengers: Age of Ultron "/>
        <s v="Legend "/>
        <s v="The Tigger Movie "/>
        <s v="Friday the 13th Part VII: The New Blood "/>
        <s v="Sweet Sweetback's Baadasssss Song "/>
        <s v="In Her Line of Fire "/>
        <s v="Escape from New York "/>
        <s v="The Outsiders "/>
        <s v="Gangs of New York "/>
        <s v="No Good Deed "/>
        <s v="Deuces Wild "/>
        <s v="Survival of the Dead "/>
        <s v="East Is East "/>
        <s v="Eight Below "/>
        <s v="Along Came Polly "/>
        <s v="Pompeii "/>
        <s v="Million Dollar Arm "/>
        <s v="The Revenant "/>
        <s v="Sky Captain and the World of Tomorrow "/>
        <s v="Jane Got a Gun "/>
        <s v="Rendition "/>
        <s v="The World's End "/>
        <s v="Mr. Peabody &amp; Sherman "/>
        <s v="Ouija "/>
        <s v="Morning Glory "/>
        <s v="Once in a Lifetime: The Extraordinary Story of the New York Cosmos "/>
        <s v="The Karate Kid "/>
        <s v="Moms' Night Out "/>
        <s v="Gamer "/>
        <s v="Vacation "/>
        <s v="Midnight in Paris "/>
        <s v="Almost Famous "/>
        <s v="My Stepmother Is an Alien "/>
        <s v="Nicholas Nickleby "/>
        <s v="Getaway "/>
        <s v="The Good, the Bad, the Weird "/>
        <s v="Diner "/>
        <s v="The Rocker "/>
        <s v="Snake Eyes "/>
        <s v="Catch Me If You Can "/>
        <s v="I Heart Huckabees "/>
        <s v="The Kids Are All Right "/>
        <s v="The Legend of Drunken Master "/>
        <s v="Act of Valor "/>
        <s v="Fido "/>
        <s v="Multiplicity "/>
        <s v="Mr. Holland's Opus "/>
        <s v="50 First Dates "/>
        <s v="Four Weddings and a Funeral "/>
        <s v="Mandela: Long Walk to Freedom "/>
        <s v="Ice Age: Continental Drift "/>
        <s v="The Horse Whisperer "/>
        <s v="Man of the Year "/>
        <s v="Chloe "/>
        <s v="Cats &amp; Dogs "/>
        <s v="Welcome to the Dollhouse "/>
        <s v="DOA: Dead or Alive "/>
        <s v="The Mummy: Tomb of the Dragon Emperor "/>
        <s v="Lost Souls "/>
        <s v="Topsy-Turvy "/>
        <s v="Role Models "/>
        <s v="Down in the Valley "/>
        <s v="Yogi Bear "/>
        <s v="Eight Legged Freaks "/>
        <s v="The Transporter Refueled "/>
        <s v="Rush Hour 2 "/>
        <s v="Timeline "/>
        <s v="Stuart Little "/>
        <s v="Hudson Hawk "/>
        <s v="Erin Brockovich "/>
        <s v="Ghost World "/>
        <s v="Urban Legend "/>
        <s v="El crimen del padre Amaro "/>
        <s v="The Messenger: The Story of Joan of Arc "/>
        <s v="Spider "/>
        <s v="Failure to Launch "/>
        <s v="Apollo 18 "/>
        <s v="The Master of Disguise "/>
        <s v="Superhero Movie "/>
        <s v="Ed Wood "/>
        <s v="Jurassic Park "/>
        <s v="The Hebrew Hammer "/>
        <s v="Superman "/>
        <s v="Con Air "/>
        <s v="Top Hat "/>
        <s v="The Hours "/>
        <s v="Crank: High Voltage "/>
        <s v="Mortdecai "/>
        <s v="Mamma Mia! "/>
        <s v="Snakes on a Plane "/>
        <s v="Dirty Work "/>
        <s v="Dave Chappelle's Block Party "/>
        <s v="Evan Almighty "/>
        <s v="Panic Room "/>
        <s v="How High "/>
        <s v="Night at the Museum "/>
        <s v="The Untouchables "/>
        <s v="Thinner "/>
        <s v="Hoffa "/>
        <s v="I Dreamed of Africa "/>
        <s v="50/50 "/>
        <s v="My Boss's Daughter "/>
        <s v="Bad Company "/>
        <s v="The Widow of Saint-Pierre "/>
        <s v="The Gambler "/>
        <s v="Hot Pursuit "/>
        <s v="The Perks of Being a Wallflower "/>
        <s v="Rosewater "/>
        <s v="Requiem for a Dream "/>
        <s v="Cecil B. DeMented "/>
        <s v="Seven Psychopaths "/>
        <s v="Penguins of Madagascar "/>
        <s v="Hostage "/>
        <s v="Jaws: The Revenge "/>
        <s v="The Wendell Baker Story "/>
        <s v="The Watch "/>
        <s v="A Night at the Roxbury "/>
        <s v="The Sting "/>
        <s v="Dances with Wolves "/>
        <s v="The Santa Clause "/>
        <s v="The Amazing Spider-Man "/>
        <s v="The Devil's Double "/>
        <s v="The Importance of Being Earnest "/>
        <s v="The Muppets "/>
        <s v="My Girl "/>
        <s v="The Rock "/>
        <s v="Dream with the Fishes "/>
        <s v="The Sisterhood of the Traveling Pants "/>
        <s v="Now You See Me 2 "/>
        <s v="Grown Ups 2 "/>
        <s v="Star Trek "/>
        <s v="Super "/>
        <s v="Universal Soldier: The Return "/>
        <s v="2012 "/>
        <s v="The Truman Show "/>
        <s v="Tea with Mussolini "/>
        <s v="Step Brothers "/>
        <s v="Babylon A.D. "/>
        <s v="Indiana Jones and the Last Crusade "/>
        <s v="Courage "/>
        <s v="Underworld: Rise of the Lycans "/>
        <s v="Lucky Numbers "/>
        <s v="Doomsday "/>
        <s v="The Dark Knight Rises"/>
        <s v="Brokedown Palace "/>
        <s v="The Fifth Element "/>
        <s v="The Departed "/>
        <s v="Amores Perros "/>
        <s v="Straight Outta Compton "/>
        <s v="Astro Boy "/>
        <s v="The Lord of the Rings: The Fellowship of the Ring "/>
        <s v="Opal Dream "/>
        <s v="My Big Fat Greek Wedding 2 "/>
        <s v="The Box "/>
        <s v="Exit Wounds "/>
        <s v="Metropolitan "/>
        <s v="Chronicle "/>
        <s v="Big Momma's House "/>
        <s v="The Cable Guy "/>
        <s v="Gridiron Gang "/>
        <s v="Stigmata "/>
        <s v="Jab Tak Hai Jaan "/>
        <s v="Eye of the Beholder "/>
        <s v="Apocalypse Now "/>
        <s v="Curious George "/>
        <s v="The Ice Storm "/>
        <s v="Sabotage "/>
        <s v="The Secret in Their Eyes "/>
        <s v="Copying Beethoven "/>
        <s v="Domestic Disturbance "/>
        <s v="Across the Universe "/>
        <s v="Footloose "/>
        <s v="Casper "/>
        <s v="Doogal "/>
        <s v="Fool's Gold "/>
        <s v="Gangster Squad "/>
        <s v="Be Kind Rewind "/>
        <s v="Diary of a Wimpy Kid "/>
        <s v="Lethal Weapon 4 "/>
        <s v="The Joneses "/>
        <s v="Guardians of the Galaxy "/>
        <s v="Wonderland "/>
        <s v="Air Force One "/>
        <s v="A Bug's Life "/>
        <s v="Precious "/>
        <s v="Gremlins 2: The New Batch "/>
        <s v="Earth to Echo "/>
        <s v="Samsara "/>
        <s v="The Dictator "/>
        <s v="May "/>
        <s v="Faster "/>
        <s v="Groundhog Day "/>
        <s v="No End in Sight "/>
        <s v="Abduction "/>
        <s v="The Merchant of Venice "/>
        <s v="Good Bye Lenin! "/>
        <s v="Pulse "/>
        <s v="Arachnophobia "/>
        <s v="A Guy Thing "/>
        <s v="Me, Myself &amp; Irene "/>
        <s v="Clockstoppers "/>
        <s v="Assault on Precinct 13 "/>
        <s v="The Son of No One "/>
        <s v="Ice Age: Dawn of the Dinosaurs "/>
        <s v="Killing Zoe "/>
        <s v="RED "/>
        <s v="Bucky Larson: Born to Be a Star "/>
        <s v="The Adventures of Huck Finn "/>
        <s v="Under the Tuscan Sun "/>
        <s v="The Interpreter "/>
        <s v="Begin Again "/>
        <s v="The Deep End of the Ocean "/>
        <s v="Soul Survivors "/>
        <s v="Jason Bourne "/>
        <s v="The Craft "/>
        <s v="We Are Marshall "/>
        <s v="Cars 2 "/>
        <s v="2001: A Space Odyssey "/>
        <s v="Benji "/>
        <s v="High Fidelity "/>
        <s v="The Fountain "/>
        <s v="Bridget Jones: The Edge of Reason "/>
        <s v="Alien: Resurrection "/>
        <s v="Soldier "/>
        <s v="Extremely Loud &amp; Incredibly Close "/>
        <s v="Jindabyne "/>
        <s v="Up "/>
        <s v="Captain Phillips "/>
        <s v="De-Lovely "/>
        <s v="Scrooged "/>
        <s v="The Devil Inside "/>
        <s v="Transsiberian "/>
        <s v="R.I.P.D. "/>
        <s v="Book of Shadows: Blair Witch 2 "/>
        <s v="Monsters "/>
        <s v="The Mighty Ducks "/>
        <s v="A Hard Day's Night "/>
        <s v="New York Minute "/>
        <s v="Warcraft "/>
        <s v="Driving Miss Daisy "/>
        <s v="Secondhand Lions "/>
        <s v="Remember Me "/>
        <s v="Hope Springs "/>
        <s v="Perfume: The Story of a Murderer "/>
        <s v="Jefferson in Paris "/>
        <s v="Pan "/>
        <s v="Fun with Dick and Jane "/>
        <s v="True Romance "/>
        <s v="Nightcrawler "/>
        <s v="Savages "/>
        <s v="Sweet Home Alabama "/>
        <s v="The Prophecy "/>
        <s v="Shattered Glass "/>
        <s v="The Circle "/>
        <s v="Daylight "/>
        <s v="Kindergarten Cop "/>
        <s v="The Replacement Killers "/>
        <s v="Predators "/>
        <s v="The Sorcerer's Apprentice "/>
        <s v="The DUFF "/>
        <s v="Baby Boy "/>
        <s v="Over the Hill to the Poorhouse "/>
        <s v="Death Race "/>
        <s v="The Adventures of Rocky &amp; Bullwinkle "/>
        <s v="Love Happens "/>
        <s v="Megaforce "/>
        <s v="Side Effects "/>
        <s v="Clay Pigeons "/>
        <s v="The 5th Wave "/>
        <s v="The Secret of Kells "/>
        <s v="Hotel Rwanda "/>
        <s v="Larry the Cable Guy: Health Inspector "/>
        <s v="Murderball "/>
        <s v="The Incredible Burt Wonderstone "/>
        <s v="Once "/>
        <s v="Dazed and Confused "/>
        <s v="Supernova "/>
        <s v="Terminator 3: Rise of the Machines "/>
        <s v="The Prince of Tides "/>
        <s v="The Living Daylights "/>
        <s v="The Mexican "/>
        <s v="Philadelphia "/>
        <s v="There's Something About Mary "/>
        <s v="Gods of Egypt "/>
        <s v="Elizabeth "/>
        <s v="The SpongeBob SquarePants Movie "/>
        <s v="Saved! "/>
        <s v="Miracles from Heaven "/>
        <s v="The Railway Man "/>
        <s v="Minority Report "/>
        <s v="Tora! Tora! Tora! "/>
        <s v="Blue Streak "/>
        <s v="Alvin and the Chipmunks: The Squeakquel "/>
        <s v="Monty Python and the Holy Grail "/>
        <s v="Peeples "/>
        <s v="Boat Trip "/>
        <s v="The Secret Life of Walter Mitty "/>
        <s v="Letters to God "/>
        <s v="Public Enemies "/>
        <s v="Raging Bull "/>
        <s v="The Beyond "/>
        <s v="My Life Without Me "/>
        <s v="Spanglish "/>
        <s v="The Fast and the Furious "/>
        <s v="Parker "/>
        <s v="Because of Winn-Dixie "/>
        <s v="21 "/>
        <s v="Pirates of the Caribbean: Dead Man's Chest "/>
        <s v="Platoon "/>
        <s v="Moneyball "/>
        <s v="Big Fat Liar "/>
        <s v="The Sweeney "/>
        <s v="Men in Black 3 "/>
        <s v="Wreck-It Ralph "/>
        <s v="Spaced Invaders "/>
        <s v="Movie 43 "/>
        <s v="Kick-Ass "/>
        <s v="About Schmidt "/>
        <s v="The Lawnmower Man "/>
        <s v="Dracula 2000 "/>
        <s v="Grindhouse "/>
        <s v="Delgo "/>
        <s v="Duplex "/>
        <s v="Hotel Transylvania "/>
        <s v="Dope "/>
        <s v="Tango "/>
        <s v="A Walk on the Moon "/>
        <s v="Mambo Italiano "/>
        <s v="Jakob the Liar "/>
        <s v="Contraband "/>
        <s v="Desert Blue "/>
        <s v="The Tempest "/>
        <s v="Monsters University "/>
        <s v="Oz the Great and Powerful "/>
        <s v="Vampires "/>
        <s v="A Most Wanted Man "/>
        <s v="Woodstock "/>
        <s v="The Color Purple "/>
        <s v="Hollow Man "/>
        <s v="Alice Through the Looking Glass "/>
        <s v="Inside Llewyn Davis "/>
        <s v="Brooklyn's Finest "/>
        <s v="PCU "/>
        <s v="Jersey Boys "/>
        <s v="A Simple Wish "/>
        <s v="A View to a Kill "/>
        <s v="Psycho "/>
        <s v="The Way of the Gun "/>
        <s v="Dreamcatcher "/>
        <s v="Good Night, and Good Luck. "/>
        <s v="Katy Perry: Part of Me "/>
        <s v="The Chumscrubber "/>
        <s v="Final Fantasy: The Spirits Within "/>
        <s v="Dredd "/>
        <s v="Clash of the Titans "/>
        <s v="Paul "/>
        <s v="A Madea Christmas "/>
        <s v="L'auberge espagnole "/>
        <s v="xXx: State of the Union "/>
        <s v="Buried "/>
        <s v="The Judge "/>
        <s v="10 Things I Hate About You "/>
        <s v="L!fe Happens "/>
        <s v="Happy Christmas "/>
        <s v="Paranormal Activity: The Marked Ones "/>
        <s v="The Oogieloves in the Big Balloon Adventure "/>
        <s v="Annie "/>
        <s v="Cheaper by the Dozen "/>
        <s v="The White Countess "/>
        <s v="Terminator Genisys "/>
        <s v="Win a Date with Tad Hamilton! "/>
        <s v="Alice in Wonderland "/>
        <s v="The Second Mother "/>
        <s v="Monster-in-Law "/>
        <s v="Sparkle "/>
        <s v="They Live "/>
        <s v="Southland Tales "/>
        <s v="Sling Blade "/>
        <s v="The Lives of Others "/>
        <s v="London "/>
        <s v="The Hunger Games "/>
        <s v="Poetic Justice "/>
        <s v="Funny People "/>
        <s v="Tank Girl "/>
        <s v="Catch That Kid "/>
        <s v="The Perfect Game "/>
        <s v="Torque "/>
        <s v="Speed "/>
        <s v="Little Black Book "/>
        <s v="Battle of the Year "/>
        <s v="Concussion "/>
        <s v="K-PAX "/>
        <s v="The Cave "/>
        <s v="Redbelt "/>
        <s v="Alexander "/>
        <s v="Team America: World Police "/>
        <s v="Guess Who "/>
        <s v="Home Alone "/>
        <s v="Pet Sematary "/>
        <s v="Last Action Hero "/>
        <s v="Rugrats Go Wild "/>
        <s v="Evil Dead II "/>
        <s v="Dallas Buyers Club "/>
        <s v="Lilo &amp; Stitch "/>
        <s v="Amour "/>
        <s v="La Bamba "/>
        <s v="An Everlasting Piece "/>
        <s v="All the Pretty Horses "/>
        <s v="Big Trouble "/>
        <s v="Drive Me Crazy "/>
        <s v="Bottle Rocket "/>
        <s v="The Night Listener "/>
        <s v="Bolt "/>
        <s v="Bottle Shock "/>
        <s v="Head Over Heels "/>
        <s v="The Covenant "/>
        <s v="Before Sunset "/>
        <s v="Little Fockers "/>
        <s v="The Haunting of Molly Hartley "/>
        <s v="School for Scoundrels "/>
        <s v="Sweet November "/>
        <s v="Get on the Bus "/>
        <s v="The Croods "/>
        <s v="Donnie Darko "/>
        <s v="Blood Diamond "/>
        <s v="Flightplan "/>
        <s v="Old School "/>
        <s v="Mortal Kombat: Annihilation "/>
        <s v="The Jungle Book 2 "/>
        <s v="Jaws "/>
        <s v="Conan the Barbarian "/>
        <s v="The Virgin Suicides "/>
        <s v="Dogma "/>
        <s v="Jeepers Creepers II "/>
        <s v="Killing Them Softly "/>
        <s v="27 Dresses "/>
        <s v="Les visiteurs "/>
        <s v="Charlie Wilson's War "/>
        <s v="The Proposal "/>
        <s v="As Good as It Gets "/>
        <s v="The Devil's Rejects "/>
        <s v="Capote "/>
        <s v="I Love You Phillip Morris "/>
        <s v="Heaven's Gate "/>
        <s v="Welcome Home, Roscoe Jenkins "/>
        <s v="The Sweetest Thing "/>
        <s v="Mission to Mars "/>
        <s v="Next Friday "/>
        <s v="Water for Elephants "/>
        <s v="The Man "/>
        <s v="Mr. Deeds "/>
        <s v="West Side Story "/>
        <s v="Into the Storm "/>
        <s v="8 Mile "/>
        <s v="The Girl with the Dragon Tattoo "/>
        <s v="Sherlock Holmes "/>
        <s v="Young Adult "/>
        <s v="Mo' Better Blues "/>
        <s v="The Pink Panther "/>
        <s v="The Purge "/>
        <s v="Much Ado About Nothing "/>
        <s v="Poltergeist III "/>
        <s v="The Last Sin Eater "/>
        <s v="This Christmas "/>
        <s v="The Other Woman "/>
        <s v="Death to Smoochy "/>
        <s v="The Island of Dr. Moreau "/>
        <s v="Proof of Life "/>
        <s v="Recess: School's Out "/>
        <s v="The Good Heart "/>
        <s v="The Walk "/>
        <s v="From Russia with Love "/>
        <s v="Woman on Top "/>
        <s v="Miss Congeniality "/>
        <s v="Red Tails "/>
        <s v="City of Angels "/>
        <s v="Crouching Tiger, Hidden Dragon "/>
        <s v="The 40-Year-Old Virgin "/>
        <s v="The Other Dream Team "/>
        <s v="Johnny English Reborn "/>
        <s v="The 13th Warrior "/>
        <s v="St. Vincent "/>
        <s v="Texas Rangers "/>
        <s v="Scream "/>
        <s v="Chicken Run "/>
        <s v="Goosebumps "/>
        <s v="Get on Up "/>
        <s v="Fiza "/>
        <s v="Paranormal Activity 3 "/>
        <s v="Inspector Gadget "/>
        <s v="Half Baked "/>
        <s v="Free Birds "/>
        <s v="Me and You and Everyone We Know "/>
        <s v="Big Miracle "/>
        <s v="The Last Dragon "/>
        <s v="Wyatt Earp "/>
        <s v="Clerks II "/>
        <s v="Smiling Fish &amp; Goat on Fire "/>
        <s v="Interview with the Assassin "/>
        <s v="The Hateful Eight "/>
        <s v="The Conspirator "/>
        <s v="Outbreak "/>
        <s v="Stone Cold "/>
        <s v="Osmosis Jones "/>
        <s v="Left Behind "/>
        <s v="The Bounty Hunter "/>
        <s v="Hellboy II: The Golden Army "/>
        <s v="Crooklyn "/>
        <s v="Baby Mama "/>
        <s v="The Hurricane "/>
        <s v="Shanghai Surprise "/>
        <s v="Independence Day "/>
        <s v="Flicka "/>
        <s v="Pooh's Heffalump Movie "/>
        <s v="Lord of War "/>
        <s v="Jonah: A VeggieTales Movie "/>
        <s v="Top Gun "/>
        <s v="Unknown "/>
        <s v="Happy Gilmore "/>
        <s v="Mindhunters "/>
        <s v="Michael Collins "/>
        <s v="Imagine Me &amp; You "/>
        <s v="102 Dalmatians "/>
        <s v="Jurassic World "/>
        <s v="Random Hearts "/>
        <s v="One True Thing "/>
        <s v="Madea's Family Reunion "/>
        <s v="The Best Years of Our Lives "/>
        <s v="Law Abiding Citizen "/>
        <s v="Deuce Bigalow: European Gigolo "/>
        <s v="America's Sweethearts "/>
        <s v="Oceans "/>
        <s v="15 Minutes "/>
        <s v="Zoom "/>
        <s v="Ted 2 "/>
        <s v="3:10 to Yuma "/>
        <s v="The Pledge "/>
        <s v="Runner Runner "/>
        <s v="Swing Vote "/>
        <s v="Dear John "/>
        <s v="Silverado "/>
        <s v="Mortal Kombat "/>
        <s v="The Last House on the Left "/>
        <s v="Sorority Row "/>
        <s v="The Extra Man "/>
        <s v="The Grudge "/>
        <s v="Halloween II "/>
        <s v="88 Minutes "/>
        <s v="Brother "/>
        <s v="Doug's 1st Movie "/>
        <s v="Envy "/>
        <s v="8 Women "/>
        <s v="Percy Jackson &amp; the Olympians: The Lightning Thief "/>
        <s v="Snow Day "/>
        <s v="Gladiator "/>
        <s v="Flight of the Phoenix "/>
        <s v="A Sound of Thunder "/>
        <s v="Event Horizon "/>
        <s v="The Perfect Man "/>
        <s v="Crimson Tide "/>
        <s v="Seventh Son "/>
        <s v="When Did You Last See Your Father? "/>
        <s v="Hot Tub Time Machine 2 "/>
        <s v="Spider-Man "/>
        <s v="Glitter "/>
        <s v="A Nightmare on Elm Street 3: Dream Warriors "/>
        <s v="Swept Away "/>
        <s v="Marmaduke "/>
        <s v="Dickie Roberts: Former Child Star "/>
        <s v="A Perfect Getaway "/>
        <s v="Thumbsucker "/>
        <s v="Kids "/>
        <s v="Back to the Future Part III "/>
        <s v="Indiana Jones and the Kingdom of the Crystal Skull "/>
        <s v="The Manchurian Candidate "/>
        <s v="Robot &amp; Frank "/>
        <s v="Babe "/>
        <s v="The Brothers "/>
        <s v="Last Vegas "/>
        <s v="Nanny McPhee Returns "/>
        <s v="Breakfast of Champions "/>
        <s v="Elizabeth: The Golden Age "/>
        <s v="Fateless "/>
        <s v="Cast Away "/>
        <s v="Vantage Point "/>
        <s v="Planet of the Apes "/>
        <s v="Two Evil Eyes "/>
        <s v="The Spiderwick Chronicles "/>
        <s v="The Majestic "/>
        <s v="Enemy at the Gates "/>
        <s v="New in Town "/>
        <s v="Hoodwinked Too! Hood vs. Evil "/>
        <s v="American Gangster "/>
        <s v="Jonah Hex "/>
        <s v="Poltergeist "/>
        <s v="Crash "/>
        <s v="Tusk "/>
        <s v="In the Name of the King: A Dungeon Siege Tale "/>
        <s v="Scream 2 "/>
        <s v="Small Soldiers "/>
        <s v="The Monuments Men "/>
        <s v="Richard III "/>
        <s v="McFarland, USA "/>
        <s v="Blindness "/>
        <s v="Serial Mom "/>
        <s v="A Haunted House "/>
        <s v="Superman II "/>
        <s v="Of Horses and Men "/>
        <s v="Tammy "/>
        <s v="The Emperor's New Groove "/>
        <s v="Knowing "/>
        <s v="Jerry Maguire "/>
        <s v="The Good Night "/>
        <s v="Whiplash "/>
        <s v="Hostel: Part II "/>
        <s v="Meet Joe Black "/>
        <s v="Insurgent "/>
        <s v="Alexander and the Terrible, Horrible, No Good, Very Bad Day "/>
        <s v="Tanner Hall "/>
        <s v="Duma "/>
        <s v="The Amityville Horror "/>
        <s v="The Tuxedo "/>
        <s v="Toy Story "/>
        <s v="Shade "/>
        <s v="Skyfall "/>
        <s v="Kill Bill: Vol. 2 "/>
        <s v="Kites "/>
        <s v="Some Like It Hot "/>
        <s v="Still Alice "/>
        <s v="Mean Girls "/>
        <s v="Turbulence "/>
        <s v="Crazy/Beautiful "/>
        <s v="Django Unchained "/>
        <s v="Pieces of April "/>
        <s v="Out Cold "/>
        <s v="Chocolat "/>
        <s v="Dragonfly "/>
        <s v="DysFunktional Family "/>
        <s v="The Exorcism of Emily Rose "/>
        <s v="The Weather Man "/>
        <s v="Horrible Bosses "/>
        <s v="Phat Girlz "/>
        <s v="The Barbarians "/>
        <s v="Big Eyes "/>
        <s v="28 Days Later... "/>
        <s v="Warriors of Virtue "/>
        <s v="The Whole Ten Yards "/>
        <s v="Shallow Hal "/>
        <s v="Take Shelter "/>
        <s v="Moulin Rouge! "/>
        <s v="The In Crowd "/>
        <s v="The Pelican Brief "/>
        <s v="The Doors "/>
        <s v="Fair Game "/>
        <s v="Freddy's Dead: The Final Nightmare "/>
        <s v="The Shallows "/>
        <s v="3 Strikes "/>
        <s v="Neighbors 2: Sorority Rising "/>
        <s v="Mission: Impossible II "/>
        <s v="Certifiably Jonathan "/>
        <s v="Road Trip "/>
        <s v="Hanna "/>
        <s v="Marilyn Hotchkiss' Ballroom Dancing and Charm School "/>
        <s v="Exodus: Gods and Kings "/>
        <s v="American Outlaws "/>
        <s v="Lady in the Water "/>
        <s v="Dead Man on Campus "/>
        <s v="Sherrybaby "/>
        <s v="As Above, So Below "/>
        <s v="To Rome with Love "/>
        <s v="The Forest "/>
        <s v="I Spit on Your Grave "/>
        <s v="Four Brothers "/>
        <s v="Chariots of Fire "/>
        <s v="Igby Goes Down "/>
        <s v="21 Grams "/>
        <s v="Jack Ryan: Shadow Recruit "/>
        <s v="Paranormal Activity 2 "/>
        <s v="Freedom Writers "/>
        <s v="We're No Angels "/>
        <s v="Blades of Glory "/>
        <s v="Mission: Impossible - Ghost Protocol "/>
        <s v="Oscar and Lucinda "/>
        <s v="3000 Miles to Graceland "/>
        <s v="Ice Age "/>
        <s v="The English Patient "/>
        <s v="The Holy Girl "/>
        <s v="Thor: The Dark World "/>
        <s v="Kicking &amp; Screaming "/>
        <s v="Kiss the Girls "/>
        <s v="Frozen "/>
        <s v="Jason Lives: Friday the 13th Part VI "/>
        <s v="Son of God "/>
        <s v="Nomad: The Warrior "/>
        <s v="Step Up "/>
        <s v="2046 "/>
        <s v="Alias Betty "/>
        <s v="The Little Vampire "/>
        <s v="The Day the Earth Stood Still "/>
        <s v="Happy, Texas "/>
        <s v="Lawrence of Arabia "/>
        <s v="Love Stinks "/>
        <s v="Coco Before Chanel "/>
        <s v="The Princess Bride "/>
        <s v="Blue Ruin "/>
        <s v="Halloween "/>
        <s v="Transformers "/>
        <s v="The Princess Diaries "/>
        <s v="The Guilt Trip "/>
        <s v="Choke "/>
        <s v="They "/>
        <s v="Smilla's Sense of Snow "/>
        <s v="Legal Eagles "/>
        <s v="Lee Daniels' The Butler "/>
        <s v="Max Keeble's Big Move "/>
        <s v="Beastly "/>
        <s v="Eye of the Dolphin "/>
        <s v="The Banger Sisters "/>
        <s v="Time Changer "/>
        <s v="Twilight "/>
        <s v="Sunshine State "/>
        <s v="Ace Ventura: When Nature Calls "/>
        <s v="Children of Men "/>
        <s v="Raising Cain "/>
        <s v="Welcome to Mooseport "/>
        <s v="Major Dundee "/>
        <s v="Newlyweds "/>
        <s v="Braveheart "/>
        <s v="The Godfather: Part III "/>
        <s v="The Final Destination "/>
        <s v="Persepolis "/>
        <s v="Held Up "/>
        <s v="Highlander: Endgame "/>
        <s v="The Long Kiss Goodnight "/>
        <s v="Goodfellas "/>
        <s v="Underclassman "/>
        <s v="Love and Other Catastrophes "/>
        <s v="Hide and Seek "/>
        <s v="Madea's Witness Protection "/>
        <s v="Swordfish "/>
        <s v="90 Minutes in Heaven "/>
        <s v="Dark Shadows "/>
        <s v="Dracula Untold "/>
        <s v="The Assassination of Jesse James by the Coward Robert Ford "/>
        <s v="Dancer in the Dark "/>
        <s v="Return to Never Land "/>
        <s v="Safe House "/>
        <s v="Ronin "/>
        <s v="Romeo + Juliet "/>
        <s v="Confessions of a Teenage Drama Queen "/>
        <s v="The Open Road "/>
        <s v="Jawbreaker "/>
        <s v="The Princess Diaries 2: Royal Engagement "/>
        <s v="Le Havre "/>
        <s v="Click "/>
        <s v="Hidalgo "/>
        <s v="Sleep Dealer "/>
        <s v="Sphere "/>
        <s v="The Specials "/>
        <s v="The Eye "/>
        <s v="The Little Prince "/>
        <s v="Blow "/>
        <s v="Lucy "/>
        <s v="My Dog Skip "/>
        <s v="Kung Fu Panda "/>
        <s v="The Grey "/>
        <s v="The Reaping "/>
        <s v="High Heels and Low Lifes "/>
        <s v="The Fugitive "/>
        <s v="Young Frankenstein "/>
        <s v="Premium Rush "/>
        <s v="Transformers: Revenge of the Fallen "/>
        <s v="Saw 3D: The Final Chapter "/>
        <s v="Mary Reilly "/>
        <s v="Chill Factor "/>
        <s v="An Unfinished Life "/>
        <s v="Duets "/>
        <s v="Bride &amp; Prejudice "/>
        <s v="Good "/>
        <s v="Match Point "/>
        <s v="Fantasia 2000 "/>
        <s v="Iron Man "/>
        <s v="The Last Airbender "/>
        <s v="We Need to Talk About Kevin "/>
        <s v="The Celebration "/>
        <s v="The Kingdom "/>
        <s v="Chasing Mavericks "/>
        <s v="The White Ribbon "/>
        <s v="Hobo with a Shotgun "/>
        <s v="Risen "/>
        <s v="The Queen "/>
        <s v="Ant-Man "/>
        <s v="A Cinderella Story "/>
        <s v="Haywire "/>
        <s v="Bicentennial Man "/>
        <s v="Mumford "/>
        <s v="Cyrus "/>
        <s v="The Rainmaker "/>
        <s v="Thirteen Conversations About One Thing "/>
        <s v="The Glass House "/>
        <s v="Black or White "/>
        <s v="She's All That "/>
        <s v="A Thin Line Between Love and Hate "/>
        <s v="Crazy Heart "/>
        <s v="Red Riding Hood "/>
        <s v="Austin Powers in Goldmember "/>
        <s v="Gangster's Paradise: Jerusalema "/>
        <s v="Harry Brown "/>
        <s v="How to Lose a Guy in 10 Days "/>
        <s v="Saving Mr. Banks "/>
        <s v="Epic Movie "/>
        <s v="Transporter 2 "/>
        <s v="Alex Rider: Operation Stormbreaker "/>
        <s v="Epic "/>
        <s v="Ondine "/>
        <s v="Australia "/>
        <s v="Enemy of the State "/>
        <s v="Paris, je t'aime "/>
        <s v="Bloody Sunday "/>
        <s v="August Rush "/>
        <s v="Religulous "/>
        <s v="The Score "/>
        <s v="Freakonomics "/>
        <s v="All or Nothing "/>
        <s v="Wild Target "/>
        <s v="BrÃ¼no "/>
        <s v="Sunshine Cleaning "/>
        <s v="The Possession "/>
        <s v="Captive "/>
        <s v="Madagascar 3: Europe's Most Wanted "/>
        <s v="Kevin Hart: Let Me Explain "/>
        <s v="The Gunman "/>
        <s v="Money Talks "/>
        <s v="Eagle Eye "/>
        <s v="Dragon Blade "/>
        <s v="V for Vendetta "/>
        <s v="The Simpsons Movie "/>
        <s v="Seven Samurai "/>
        <s v="Street Fighter: The Legend of Chun-Li "/>
        <s v="The Matrix Revolutions "/>
        <s v="Me and Orson Welles "/>
        <s v="Star Wars: Episode III - Revenge of the Sith "/>
        <s v="Spy Game "/>
        <s v="Dolphin Tale 2 "/>
        <s v="Brooklyn Rules "/>
        <s v="Wall Street: Money Never Sleeps "/>
        <s v="Post Grad "/>
        <s v="Sgt. Bilko "/>
        <s v="Happily N'Ever After "/>
        <s v="Deadpool "/>
        <s v="Something's Gotta Give "/>
        <s v="Rocky "/>
        <s v="Philomena "/>
        <s v="Hardflip "/>
        <s v="The Hills Have Eyes "/>
        <s v="In Bruges "/>
        <s v="Marley &amp; Me "/>
        <s v="Roar "/>
        <s v="The Swindle "/>
        <s v="13 Going on 30 "/>
        <s v="The Best Offer "/>
        <s v="Fame "/>
        <s v="Mud "/>
        <s v="Good Will Hunting "/>
        <s v="In the Shadow of the Moon "/>
        <s v="Men of Honor "/>
        <s v="Gigli "/>
        <s v="This Is It "/>
        <s v="The History Boys "/>
        <s v="Amadeus "/>
        <s v="Half Nelson "/>
        <s v="Mad Max Beyond Thunderdome "/>
        <s v="My Super Ex-Girlfriend "/>
        <s v="25th Hour "/>
        <s v="42nd Street "/>
        <s v="Doom "/>
        <s v="The World Is Not Enough "/>
        <s v="Tears of the Sun "/>
        <s v="Assassins "/>
        <s v="Live Free or Die Hard "/>
        <s v="Lone Survivor "/>
        <s v="Remember the Titans "/>
        <s v="Kiss of the Dragon "/>
        <s v="Joyeux Noel "/>
        <s v="Six Days Seven Nights "/>
        <s v="Hercules "/>
        <s v="Eternal Sunshine of the Spotless Mind "/>
        <s v="All About the Benjamins "/>
        <s v="The Apparition "/>
        <s v="Chicago "/>
        <s v="White Chicks "/>
        <s v="Joe "/>
        <s v="Bright Lights, Big City "/>
        <s v="Charlie and the Chocolate Factory "/>
        <s v="Safe "/>
        <s v="The Avengers "/>
        <s v="The One "/>
        <s v="Don't Be Afraid of the Dark "/>
        <s v="The Hitchhiker's Guide to the Galaxy "/>
        <s v="The X Files: I Want to Believe "/>
        <s v="Tomcats "/>
        <s v="The Twilight Saga: New Moon "/>
        <s v="Man of Steel "/>
        <s v="Homefront "/>
        <s v="The Big Short "/>
        <s v="Dinosaur "/>
        <s v="Endless Love "/>
        <s v="Tomorrow Never Dies "/>
        <s v="The Time Machine "/>
        <s v="Moonraker "/>
        <s v="Blue Like Jazz "/>
        <s v="2 Fast 2 Furious "/>
        <s v="Windtalkers "/>
        <s v="I, Frankenstein "/>
        <s v="Rugrats in Paris: The Movie "/>
        <s v="Ocean's Eleven "/>
        <s v="Raising Victor Vargas "/>
        <s v="Hanging Up "/>
        <s v="The Three Musketeers "/>
        <s v="Letters to Juliet "/>
        <s v="Revolutionary Road "/>
        <s v="Heaven Is for Real "/>
        <s v="The Master "/>
        <s v="The Fisher King "/>
        <s v="The Terminator "/>
        <s v="Fiddler on the Roof "/>
        <s v="Loaded Weapon 1 "/>
        <s v="The Barbarian Invasions "/>
        <s v="Kama Sutra: A Tale of Love "/>
        <s v="X-Men Origins: Wolverine "/>
        <s v="Shadowlands "/>
        <s v="Ghost Town "/>
        <s v="The Warlords "/>
        <s v="Cloverfield "/>
        <s v="End of Watch "/>
        <s v="Sinister 2 "/>
        <s v="Imagine That "/>
        <s v="All Is Lost "/>
        <s v="Road Hard "/>
        <s v="Harry Potter and the Order of the Phoenix "/>
        <s v="Legally Blonde 2: Red, White &amp; Blonde "/>
        <s v="Ella Enchanted "/>
        <s v="Southpaw "/>
        <s v="The Muppet Christmas Carol "/>
        <s v="Sky High "/>
        <s v="The Purge: Election Year "/>
        <s v="Man on Fire "/>
        <s v="The American President "/>
        <s v="Get Over It "/>
        <s v="The Brothers Bloom "/>
        <s v="For Your Consideration "/>
        <s v="The Warrior's Way "/>
        <s v="Date Movie "/>
        <s v="Big Trouble in Little China "/>
        <s v="Slumdog Millionaire "/>
        <s v="Notes on a Scandal "/>
        <s v="Iron Man 3 "/>
        <s v="Secretariat "/>
        <s v="Fruitvale Station "/>
        <s v="The Lake House "/>
        <s v="The Book of Eli "/>
        <s v="Dangerous Liaisons "/>
        <s v="The Forbidden Kingdom "/>
        <s v="Dante's Peak "/>
        <s v="Once Upon a Time in Mexico "/>
        <s v="10 Cloverfield Lane "/>
        <s v="Paper Towns "/>
        <s v="The Stepford Wives "/>
        <s v="Bon voyage "/>
        <s v="American History X "/>
        <s v="Cellular "/>
        <s v="Dylan Dog: Dead of Night "/>
        <s v="Anonymous "/>
        <s v="Talk Radio "/>
        <s v="Black Nativity "/>
        <s v="Spaceballs "/>
        <s v="Hav Plenty "/>
        <s v="Four Rooms "/>
        <s v="21 Jump Street "/>
        <s v="Get Smart "/>
        <s v="Slackers "/>
        <s v="Midnight Special "/>
        <s v="Anywhere But Here "/>
        <s v="The Glimmer Man "/>
        <s v="Baggage Claim "/>
        <s v="The Spy Next Door "/>
        <s v="Crank "/>
        <s v="Only the Strong "/>
        <s v="I Am Legend "/>
        <s v="Spirited Away "/>
        <s v="Nanny McPhee "/>
        <s v="Memoirs of a Geisha "/>
        <s v="The Island "/>
        <s v="Over the Hedge "/>
        <s v="Beyond the Sea "/>
        <s v="The Curse of the Jade Scorpion "/>
        <s v="Tower Heist "/>
        <s v="Straight Out of Brooklyn "/>
        <s v="Devil "/>
        <s v="Tiny Furniture "/>
        <s v="The Believer "/>
        <s v="I Am Number Four "/>
        <s v="Pollock "/>
        <s v="Kung Pow: Enter the Fist "/>
        <s v="High Crimes "/>
        <s v="Let's Be Cops "/>
        <s v="Jeepers Creepers "/>
        <s v="The Help "/>
        <s v="Quartet "/>
        <s v="The Other Side of Heaven "/>
        <s v="The Flintstones "/>
        <s v="Moonrise Kingdom "/>
        <s v="City Hall "/>
        <s v="Man on Wire "/>
        <s v="The Cure "/>
        <s v="The Best of Me "/>
        <s v="The Peanuts Movie "/>
        <s v="The Fog "/>
        <s v="Doubt "/>
        <s v="Hurricane Streets "/>
        <s v="Blast from the Past "/>
        <s v="Fast Five "/>
        <s v="Renaissance Man "/>
        <s v="The Oxford Murders "/>
        <s v="I Love You, Beth Cooper "/>
        <s v="The World's Fastest Indian "/>
        <s v="Paparazzi "/>
        <s v="The Bourne Identity "/>
        <s v="Friday "/>
        <s v="Transformers: Age of Extinction "/>
        <s v="The Midnight Meat Train "/>
        <s v="The Hudsucker Proxy "/>
        <s v="Men in Black "/>
        <s v="Dirty Grandpa "/>
        <s v="Clean "/>
        <s v="Underworld: Awakening "/>
        <s v="Fascination "/>
        <s v="Hotel Transylvania 2 "/>
        <s v="Friday the 13th Part 2 "/>
        <s v="Enough "/>
        <s v="Blade: Trinity "/>
        <s v="This Is the End "/>
        <s v="Baby's Day Out "/>
        <s v="Dream House "/>
        <s v="Get Carter "/>
        <s v="The Lion King "/>
        <s v="Code 46 "/>
        <s v="Wrath of the Titans "/>
        <s v="Firestarter "/>
        <s v="The Haunting "/>
        <s v="Just Visiting "/>
        <s v="Steamboy "/>
        <s v="Looper "/>
        <s v="The Wiz "/>
        <s v="Halloween III: Season of the Witch "/>
        <s v="Lockout "/>
        <s v="Witless Protection "/>
        <s v="The Conjuring "/>
        <s v="Kit Kittredge: An American Girl "/>
        <s v="American Desi "/>
        <s v="How to Train Your Dragon "/>
        <s v="Birth "/>
        <s v="We Are Your Friends "/>
        <s v="Interview with the Vampire: The Vampire Chronicles "/>
        <s v="End of the Spear "/>
        <s v="The Place Beyond the Pines "/>
        <s v="Crossover "/>
        <s v="The Imaginarium of Doctor Parnassus "/>
        <s v="Of Gods and Men "/>
        <s v="Resident Evil "/>
        <s v="Bringing Down the House "/>
        <s v="The Sentinel "/>
        <s v="The Devil Wears Prada "/>
        <s v="Trollhunter "/>
        <s v="Jack and Jill "/>
        <s v="Hoodwinked! "/>
        <s v="Safe Haven "/>
        <s v="Blood Ties "/>
        <s v="Showgirls "/>
        <s v="The Scarlet Letter "/>
        <s v="Away We Go "/>
        <s v="Ghosts of Mississippi "/>
        <s v="The Statement "/>
        <s v="Pandorum "/>
        <s v="The Thomas Crown Affair "/>
        <s v="Best in Show "/>
        <s v="Admission "/>
        <s v="Freaky Friday "/>
        <s v="Bride of Chucky "/>
        <s v="Fear and Loathing in Las Vegas "/>
        <s v="Les couloirs du temps: Les visiteurs II "/>
        <s v="The Woman in Black "/>
        <s v="Speed Racer "/>
        <s v="Oliver! "/>
        <s v="The Insider "/>
        <s v="Bachelorette "/>
        <s v="Flight "/>
        <s v="Zathura: A Space Adventure "/>
        <s v="The Proposition "/>
        <s v="Ishtar "/>
        <s v="The Hotel New Hampshire "/>
        <s v="The Musketeer "/>
        <s v="You Will Meet a Tall Dark Stranger "/>
        <s v="Meet the Spartans "/>
        <s v="Lock, Stock and Two Smoking Barrels "/>
        <s v="The Legend of Suriyothai "/>
        <s v="Juno "/>
        <s v="Toy Story 2 "/>
        <s v="The Soloist "/>
        <s v="Mr 3000 "/>
        <s v="The Contender "/>
        <s v="Chappie "/>
        <s v="Time Bandits "/>
        <s v="The Conjuring 2 "/>
        <s v="Conspiracy Theory "/>
        <s v="Bad Teacher "/>
        <s v="S.W.A.T. "/>
        <s v="Here Comes the Boom "/>
        <s v="Stranger Than Fiction "/>
        <s v="The Taking of Pelham 1 2 3 "/>
        <s v="Better Luck Tomorrow "/>
        <s v="Harriet the Spy "/>
        <s v="The FP "/>
        <s v="Superbabies: Baby Geniuses 2 "/>
        <s v="The Devil's Advocate "/>
        <s v="The Last King of Scotland "/>
        <s v="Final Destination 5 "/>
        <s v="The Jacket "/>
        <s v="Black Mass "/>
        <s v="The Collection "/>
        <s v="Ponyo "/>
        <s v="The Spanish Prisoner "/>
        <s v="Only God Forgives "/>
        <s v="Down to Earth "/>
        <s v="Warrior "/>
        <s v="Wild "/>
        <s v="Ordinary People "/>
        <s v="The Punisher "/>
        <s v="Grosse Pointe Blank "/>
        <s v="Menace II Society "/>
        <s v="Bangkok Dangerous "/>
        <s v="Nine Queens "/>
        <s v="American Pie 2 "/>
        <s v="Agora "/>
        <s v="An American Carol "/>
        <s v="A Nightmare on Elm Street 2: Freddy's Revenge "/>
        <s v="Being John Malkovich "/>
        <s v="Prefontaine "/>
        <s v="The Internship "/>
        <s v="National Treasure "/>
        <s v="Gun Shy "/>
        <s v="Malone "/>
        <s v="Selena "/>
        <s v="The Out-of-Towners "/>
        <s v="Argo "/>
        <s v="Brigham City "/>
        <s v="Lonesome Jim "/>
        <s v="Olympus Has Fallen "/>
        <s v="Gods and Generals "/>
        <s v="Vanilla Sky "/>
        <s v="Days of Thunder "/>
        <s v="Real Women Have Curves "/>
        <s v="The Scorch Trials "/>
        <s v="Puss in Boots "/>
        <s v="Raiders of the Lost Ark "/>
        <s v="Moon "/>
        <s v="Triple 9 "/>
        <s v="Rise of the Planet of the Apes "/>
        <s v="The American "/>
        <s v="Flight of the Intruder "/>
        <s v="Hook "/>
        <s v="Magnolia "/>
        <s v="Criminal "/>
        <s v="Inside Out "/>
        <s v="Jesus' Son "/>
        <s v="Things to Do in Denver When You're Dead "/>
        <s v="Promised Land "/>
        <s v="The Last Stand "/>
        <s v="Jack the Giant Slayer "/>
        <s v="The Losers "/>
        <s v="Trekkies "/>
        <s v="Smokin' Aces "/>
        <s v="K-19: The Widowmaker "/>
        <s v="Ray "/>
        <s v="Space Cowboys "/>
        <s v="Disaster Movie "/>
        <s v="The Core "/>
        <s v="Saw V "/>
        <s v="Lara Croft: Tomb Raider "/>
        <s v="Blood In, Blood Out "/>
        <s v="The Naked Gun 2½: The Smell of Fear "/>
        <s v="Harley Davidson and the Marlboro Man "/>
        <s v="Compliance "/>
        <s v="El Mariachi "/>
        <s v="Ender's Game "/>
        <s v="Boyhood "/>
        <s v="Marie Antoinette "/>
        <s v="The Wedding Planner "/>
        <s v="9 "/>
        <s v="Dragonslayer "/>
        <s v="Flushed Away "/>
        <s v="Riding in Cars with Boys "/>
        <s v="Die Hard "/>
        <s v="Chain Letter "/>
        <s v="Never Again "/>
        <s v="RED 2 "/>
        <s v="The Last of the Mohicans "/>
        <s v="Sholem Aleichem: Laughing in the Darkness "/>
        <s v="Coach Carter "/>
        <s v="Agent Cody Banks "/>
        <s v="The Women "/>
        <s v="Timecop "/>
        <s v="The Godfather "/>
        <s v="Super 8 "/>
        <s v="The Notebook "/>
        <s v="Shaft "/>
        <s v="Star Wars: Episode VI - Return of the Jedi "/>
        <s v="Margaret "/>
        <s v="The Perfect Host "/>
        <s v="Serenity "/>
        <s v="The Princess and the Frog "/>
        <s v="House of Flying Daggers "/>
        <s v="Kick-Ass 2 "/>
        <s v="Maximum Risk "/>
        <s v="Cold Mountain "/>
        <s v="The Holiday "/>
        <s v="Winged Migration "/>
        <s v="Attack the Block "/>
        <s v="The Chronicles of Narnia: The Voyage of the Dawn Treader "/>
        <s v="The Good Thief "/>
        <s v="Runaway Bride "/>
        <s v="The Beach "/>
        <s v="Glee: The 3D Concert Movie "/>
        <s v="Boys and Girls "/>
        <s v="Faithful "/>
        <s v="Dr. No "/>
        <s v="The Rite "/>
        <s v="The Book of Mormon Movie, Volume 1: The Journey "/>
        <s v="Waitress "/>
        <s v="She's the Man "/>
        <s v="Mr. Bean's Holiday "/>
        <s v="Howl's Moving Castle "/>
        <s v="Superman IV: The Quest for Peace "/>
        <s v="Baahubali: The Beginning "/>
        <s v="Peggy Sue Got Married "/>
        <s v="The Cat in the Hat "/>
        <s v="Crazy in Alabama "/>
        <s v="Labor Day "/>
        <s v="Saw II "/>
        <s v="My Bloody Valentine "/>
        <s v="To Die For "/>
        <s v="Resident Evil: Apocalypse "/>
        <s v="The Big Wedding "/>
        <s v="Army of Darkness "/>
        <s v="What's Eating Gilbert Grape "/>
        <s v="Joe Dirt "/>
        <s v="Flipper "/>
        <s v="U-571 "/>
        <s v="Texas Chainsaw 3D "/>
        <s v="Zero Dark Thirty "/>
        <s v="A Knight's Tale "/>
        <s v="Shrek Forever After "/>
        <s v="Garden State "/>
        <s v="Deliver Us from Evil "/>
        <s v="Rat Race "/>
        <s v="That Awkward Moment "/>
        <s v="The Newton Boys "/>
        <s v="Three to Tango "/>
        <s v="Ghost Ship "/>
        <s v="Romeo Must Die "/>
        <s v="Stolen Summer "/>
        <s v="Money Train "/>
        <s v="The Color of Money "/>
        <s v="Yes Man "/>
        <s v="Our Family Wedding "/>
        <s v="Man on the Moon "/>
        <s v="The Angry Birds Movie "/>
        <s v="The Men Who Stare at Goats "/>
        <s v="Beyond Borders "/>
        <s v="Warlock: The Armageddon "/>
        <s v="Somewhere "/>
        <s v="The Right Stuff "/>
        <s v="Spy Kids "/>
        <s v="Shorts "/>
        <s v="Friday the 13th: A New Beginning "/>
        <s v="Friday the 13th Part III "/>
        <s v="3 Days to Kill "/>
        <s v="Kabhi Alvida Naa Kehna "/>
        <s v="Formula 51 "/>
        <s v="Home Run "/>
        <s v="X-Men: Apocalypse "/>
        <s v="Dick Tracy "/>
        <s v="Tomorrowland "/>
        <s v="Spawn "/>
        <s v="About Time "/>
        <s v="Woman in Gold "/>
        <s v="Dumb and Dumberer: When Harry Met Lloyd "/>
        <s v="Robin Hood "/>
        <s v="On Deadly Ground "/>
        <s v="The Man with the Iron Fists "/>
        <s v="Bulworth "/>
        <s v="Thunderbirds "/>
        <s v="Like Mike "/>
        <s v="Beyond the Valley of the Dolls "/>
        <s v="Gracie "/>
        <s v="E.T. the Extra-Terrestrial "/>
        <s v="Megiddo: The Omega Code 2 "/>
        <s v="Cop Out "/>
        <s v="Imaginary Heroes "/>
        <s v="The Great Gatsby "/>
        <s v="On Her Majesty's Secret Service "/>
        <s v="Beverly Hills Cop III "/>
        <s v="The Thin Red Line "/>
        <s v="Serendipity "/>
        <s v="Stay Alive "/>
        <s v="The Bone Collector "/>
        <s v="To Save a Life "/>
        <s v="Tumbleweeds "/>
        <s v="Race to Witch Mountain "/>
        <s v="The Adventures of Sharkboy and Lavagirl 3-D "/>
        <s v="Alex Cross "/>
        <s v="Special "/>
        <s v="A Passage to India "/>
        <s v="Whip It "/>
        <s v="Walking and Talking "/>
        <s v="The Lord of the Rings: The Return of the King "/>
        <s v="Grown Ups "/>
        <s v="D.E.B.S. "/>
        <s v="Beverly Hills Cop II "/>
        <s v="Batman v Superman: Dawn of Justice "/>
        <s v="Kiss the Bride "/>
        <s v="Scream 4 "/>
        <s v="Bill &amp; Ted's Excellent Adventure "/>
        <s v="Knocked Up "/>
        <s v="Borat: Cultural Learnings of America for Make Benefit Glorious Nation of Kazakhstan "/>
        <s v="The Reader "/>
        <s v="The Brothers McMullen "/>
        <s v="Mrs. Doubtfire "/>
        <s v="Paranormal Activity "/>
        <s v="The Last Exorcism "/>
        <s v="Are We There Yet? "/>
        <s v="Cleopatra "/>
        <s v="August: Osage County "/>
        <s v="TRON: Legacy "/>
        <s v="Titanic "/>
        <s v="Mama "/>
        <s v="The Robe "/>
        <s v="Frankenweenie "/>
        <s v="The Lunchbox "/>
        <s v="Simply Irresistible "/>
        <s v="The First Wives Club "/>
        <s v="Arlington Road "/>
        <s v="There Goes My Baby "/>
        <s v="Superbad "/>
        <s v="House on Haunted Hill "/>
        <s v="Beavis and Butt-Head Do America "/>
        <s v="Marci X "/>
        <s v="Horrible Bosses 2 "/>
        <s v="Loser "/>
        <s v="Bedtime Stories "/>
        <s v="Come Early Morning "/>
        <s v="Pushing Tin "/>
        <s v="Steel "/>
        <s v="Ernest &amp; Celestine "/>
        <s v="Monster "/>
        <s v="Rio 2 "/>
        <s v="Mary Poppins "/>
        <s v="Winter Passing "/>
        <s v="Shanghai Noon "/>
        <s v="Final Destination "/>
        <s v="500 Days of Summer "/>
        <s v="P.S. I Love You "/>
        <s v="The Smurfs 2 "/>
        <s v="Pirates of the Caribbean: At World's End"/>
        <s v="The Tree of Life "/>
        <s v="Alfie "/>
        <s v="After the Sunset "/>
        <s v="Next Stop Wonderland "/>
        <s v="Who Killed the Electric Car? "/>
        <s v="Into the Blue "/>
        <s v="The Funeral "/>
        <s v="Iris "/>
        <s v="Sphinx "/>
        <s v="Tales from the Hood "/>
        <s v="Night at the Museum: Battle of the Smithsonian "/>
        <s v="Malibu's Most Wanted "/>
        <s v="School Daze "/>
        <s v="Life as a House "/>
        <s v="The Giver "/>
        <s v="She's Out of My League "/>
        <s v="Life or Something Like It "/>
        <s v="The Secret Life of Pets "/>
        <s v="Love &amp; Basketball "/>
        <s v="Date Night "/>
        <s v="Teenage Mutant Ninja Turtles: Out of the Shadows "/>
        <s v="54 "/>
        <s v="Daddy Day Care "/>
        <s v="Rise of the Guardians "/>
        <s v="Dolphins and Whales 3D: Tribes of the Ocean "/>
        <s v="The Family Stone "/>
        <s v="Highlander "/>
        <s v="Vanity Fair "/>
        <s v="Lucky You "/>
        <s v="Donnie Brasco "/>
        <s v="Step Up Revolution "/>
        <s v="Equilibrium "/>
        <s v="The Ladies Man "/>
        <s v="Deuce Bigalow: Male Gigolo "/>
        <s v="The Protector "/>
        <s v="The Fighter "/>
        <s v="The Boxtrolls "/>
        <s v="The Haunted Mansion "/>
        <s v="We Were Soldiers "/>
        <s v="Private Benjamin "/>
        <s v="Mississippi Mermaid "/>
        <s v="Grease "/>
        <s v="Bad Moms "/>
        <s v="The Corruptor "/>
        <s v="Napoleon Dynamite "/>
        <s v="Thor "/>
        <s v="Walk the Line "/>
        <s v="Skyline "/>
        <s v="Blue Jasmine "/>
        <s v="Barbershop 2: Back in Business "/>
        <s v="Two Brothers "/>
        <s v="Punisher: War Zone "/>
        <s v="Lincoln "/>
        <s v="Larry Crowne "/>
        <s v="What's the Worst That Could Happen? "/>
        <s v="Just Married "/>
        <s v="Elite Squad "/>
        <s v="Ride with the Devil "/>
        <s v="Coraline "/>
        <s v="Nothing to Lose "/>
        <s v="What Planet Are You From? "/>
        <s v="Kundun "/>
        <s v="The Quick and the Dead "/>
        <s v="The Work and the Glory "/>
        <s v="How to Train Your Dragon 2 "/>
        <s v="Superstar "/>
        <s v="The Wash "/>
        <s v="Pay It Forward "/>
        <s v="Arbitrage "/>
        <s v="Holy Man "/>
        <s v="The Dilemma "/>
        <s v="The Expendables 2 "/>
        <s v="Troop Beverly Hills "/>
        <s v="Moonlight Mile "/>
        <s v="Contagion "/>
        <s v="The Runaways "/>
        <s v="Jay and Silent Bob Strike Back "/>
        <s v="Black Knight "/>
        <s v="The Pirates Who Don't Do Anything: A VeggieTales Movie "/>
        <s v="The Lucky Ones "/>
        <s v="Chocolate: Deep Dark Secrets "/>
        <s v="Locker 13 "/>
        <s v="The Happening "/>
        <s v="The Fourth Kind "/>
        <s v="The Invasion "/>
        <s v="Beyond the Black Rainbow "/>
        <s v="The Sticky Fingers of Time "/>
        <s v="Cavite "/>
        <s v="Project Almanac "/>
        <s v="8MM "/>
        <s v="Red Eye "/>
        <s v="Secret Window "/>
        <s v="The Da Vinci Code "/>
        <s v="Angels &amp; Demons "/>
        <s v="The Thirteenth Floor "/>
        <s v="The Gift "/>
        <s v="The Adjustment Bureau "/>
        <s v="WarGames "/>
        <s v="The Ghost Writer "/>
        <s v="Identity "/>
        <s v="Pale Rider "/>
        <s v="The Butterfly Effect "/>
        <s v="The Good, the Bad and the Ugly "/>
        <s v="Memento "/>
        <s v="Blade Runner "/>
        <s v="Shutter Island "/>
        <s v="In Time "/>
        <s v="Pitch Black "/>
        <s v="The Raid: Redemption "/>
        <s v="The Omega Code "/>
        <s v="Buffalo Soldiers "/>
        <s v="Hotel for Dogs "/>
        <s v="Hot Tub Time Machine "/>
        <s v="RoboCop 3 "/>
        <s v="The Longest Ride "/>
        <s v="Casino Jack "/>
        <s v="A Thousand Words "/>
        <s v="The Upside of Anger "/>
        <s v="Bandits "/>
        <s v="The Great Debaters "/>
        <s v="Pride &amp; Prejudice "/>
        <s v="The Dark Knight "/>
        <s v="The Mothman Prophecies "/>
        <s v="Princess Kaiulani "/>
        <s v="Phenomenon "/>
        <s v="Feardotcom "/>
        <s v="For Love of the Game "/>
        <s v="Against the Ropes "/>
        <s v="Alone in the Dark "/>
        <s v="Dead Snow "/>
        <s v="13 Hours "/>
        <s v="The Wild Thornberrys Movie "/>
        <s v="Teacher's Pet "/>
        <s v="When a Stranger Calls "/>
        <s v="Rabbit-Proof Fence "/>
        <s v="Desert Dancer "/>
        <s v="Atlantis: The Lost Empire "/>
        <s v="New Year's Eve "/>
        <s v="Snowpiercer "/>
        <s v="Spice World "/>
        <s v="The Fifth Estate "/>
        <s v="Gravity "/>
        <s v="Star Trek V: The Final Frontier "/>
        <s v="Kate &amp; Leopold "/>
        <s v="New York Stories "/>
        <s v="Black Swan "/>
        <s v="The Hobbit: An Unexpected Journey "/>
        <s v="True Grit "/>
        <s v="Bandslam "/>
        <s v="Burn "/>
        <s v="Reign of Fire "/>
        <s v="In the Land of Women "/>
        <s v="Schindler's List "/>
        <s v="The Players Club "/>
        <s v="Rudderless "/>
        <s v="300 "/>
        <s v="Saw IV "/>
        <s v="George of the Jungle "/>
        <s v="The Rage: Carrie 2 "/>
        <s v="The Nutcracker in 3D "/>
        <s v="Beasts of the Southern Wild "/>
        <s v="Godzilla 2000 "/>
        <s v="Tuck Everlasting "/>
        <s v="Transformers: Dark of the Moon "/>
        <s v="Be Cool "/>
        <s v="Dreamgirls "/>
        <s v="Bring It On "/>
        <s v="Unfriended "/>
        <s v="Winter in Wartime "/>
        <s v="Shark Night 3D "/>
        <s v="The Messenger "/>
        <s v="Home Fries "/>
        <s v="Happiness "/>
        <s v="Eddie the Eagle "/>
        <s v="Nebraska "/>
        <s v="Max "/>
        <s v="Dumb and Dumber To "/>
        <s v="The Greatest Movie Ever Sold "/>
        <s v="The Passion of the Christ "/>
        <s v="I Know What You Did Last Summer "/>
        <s v="The Man from U.N.C.L.E. "/>
        <s v="Transcendence "/>
        <s v="Travelers and Magicians "/>
        <s v="Modern Times "/>
        <s v="200 Cigarettes "/>
        <s v="Freddy vs. Jason "/>
        <s v="The Young and Prodigious T.S. Spivet "/>
        <s v="Training Day "/>
        <s v="Extraordinary Measures "/>
        <s v="Incendies "/>
        <s v="Pacific Rim "/>
        <s v="The Shawshank Redemption "/>
        <s v="The Darkest Hour "/>
        <s v="Outside Providence "/>
        <s v="Cool Runnings "/>
        <s v="The Machinist "/>
        <s v="Courage Under Fire "/>
        <s v="Sex and the City 2 "/>
        <s v="Chernobyl Diaries "/>
        <s v="127 Hours "/>
        <s v="The Wolverine "/>
        <s v="Gettysburg "/>
        <s v="Killer Elite "/>
        <s v="The Full Monty "/>
        <s v="Monsoon Wedding "/>
        <s v="Love Actually "/>
        <s v="The Lego Movie "/>
        <s v="The Texas Chainsaw Massacre 2 "/>
        <s v="Butch Cassidy and the Sundance Kid "/>
        <s v="Zombieland "/>
        <s v="Young Guns "/>
        <s v="Mickey Blue Eyes "/>
        <s v="Beer League "/>
        <s v="Where the Wild Things Are "/>
        <s v="Love's Abiding Joy "/>
        <s v="Whiteout "/>
        <s v="Naturally Native "/>
        <s v="The Adventures of Pluto Nash "/>
        <s v="Raise the Titanic "/>
        <s v="Lovely &amp; Amazing "/>
        <s v="TMNT "/>
        <s v="Kill Bill: Vol. 1 "/>
        <s v="The Wizard of Oz "/>
        <s v="A Lego Brickumentary "/>
        <s v="Boys Don't Cry "/>
        <s v="Piranha 3D "/>
        <s v="Paa "/>
        <s v="Ever After: A Cinderella Story "/>
        <s v="Cape Fear "/>
        <s v="Bride Wars "/>
        <s v="Oculus "/>
        <s v="The Neon Demon "/>
        <s v="My Own Private Idaho "/>
        <s v="Hocus Pocus "/>
        <s v="Fifty Shades of Black "/>
        <s v="The Grand Budapest Hotel "/>
        <s v="Harry Potter and the Prisoner of Azkaban "/>
        <s v="Sanctum "/>
        <s v="Layer Cake "/>
        <s v="Troy "/>
        <s v="Aimee &amp; Jaguar "/>
        <s v="Broken City "/>
        <s v="The Age of Innocence "/>
        <s v="Session 9 "/>
        <s v="Muppets from Space "/>
        <s v="College "/>
        <s v="Valentine "/>
        <s v="Blood Work "/>
        <s v="The Hurt Locker "/>
        <s v="The Net "/>
        <s v="House at the End of the Street "/>
        <s v="Edtv "/>
        <s v="Mr. Turner "/>
        <s v="Made "/>
        <s v="Finishing the Game: The Search for a New Bruce Lee "/>
        <s v="Whale Rider "/>
        <s v="Courageous "/>
        <s v="The Odd Life of Timothy Green "/>
        <s v="Prom "/>
        <s v="You've Got Mail "/>
        <s v="The Tailor of Panama "/>
        <s v="Psycho Beach Party "/>
        <s v="The Man in the Iron Mask "/>
        <s v="In the Land of Blood and Honey "/>
        <s v="Fat Albert "/>
        <s v="San Andreas "/>
        <s v="The Baader Meinhof Complex "/>
        <s v="Priest "/>
        <s v="Corky Romano "/>
        <s v="Under Siege 2: Dark Territory "/>
        <s v="The Land Before Time "/>
        <s v="The Book Thief "/>
        <s v="Out of the Furnace "/>
        <s v="The 5th Quarter "/>
        <s v="Star Trek: First Contact "/>
        <s v="1408 "/>
        <s v="Ride Along "/>
        <s v="Winnie the Pooh "/>
        <s v="G.I. Jane "/>
        <s v="Annie Get Your Gun "/>
        <s v="Seven Pounds "/>
        <s v="J. Edgar "/>
        <s v="The Love Guru "/>
        <s v="Catwoman "/>
        <s v="Nutty Professor II: The Klumps "/>
        <s v="Creepshow 2 "/>
        <s v="Princess Mononoke "/>
        <s v="Frost/Nixon "/>
        <s v="Hereafter "/>
        <s v="Chicken Little "/>
        <s v="There Be Dragons "/>
        <s v="Robin Hood: Prince of Thieves "/>
        <s v="Mad Max: Fury Road "/>
        <s v="Songcatcher "/>
        <s v="John Carter "/>
        <s v="Mad Money "/>
        <s v="The Tale of Despereaux "/>
        <s v="No Escape "/>
        <s v="Green Room "/>
        <s v="The Heart of Me "/>
        <s v="Red Cliff "/>
        <s v="Thr3e "/>
        <s v="The Damned United "/>
        <s v="Unleashed "/>
        <s v="The Hobbit: The Desolation of Smaug "/>
        <s v="Mallrats "/>
        <s v="Mean Machine "/>
        <s v="From Justin to Kelly "/>
        <s v="Two Girls and a Guy "/>
        <s v="Munich "/>
        <s v="The Yellow Handkerchief "/>
        <s v="Green Lantern "/>
        <s v="Rounders "/>
        <s v="Zodiac "/>
        <s v="The Perez Family "/>
        <s v="Fury "/>
        <s v="Wing Commander "/>
        <s v="Mirrors "/>
        <s v="Femme Fatale "/>
        <s v="L.A. Confidential "/>
        <s v="Gulliver's Travels "/>
        <s v="Project X "/>
        <s v="The Borrowers "/>
        <s v="Die Hard with a Vengeance "/>
        <s v="Return to the Blue Lagoon "/>
        <s v="Little White Lies "/>
        <s v="Death at a Funeral "/>
        <s v="eXistenZ "/>
        <s v="The Incredible Hulk "/>
        <s v="Furious 7 "/>
        <s v="Snow White and the Huntsman "/>
        <s v="The Matrix "/>
        <s v="The Last Days on Mars "/>
        <s v="Resurrecting the Champ "/>
        <s v="Insidious "/>
        <s v="Fortress "/>
        <s v="National Lampoon's Vacation "/>
        <s v="Alex &amp; Emma "/>
        <s v="Journey to the Center of the Earth "/>
        <s v="The Forsaken "/>
        <s v="The Legend of Tarzan "/>
        <s v="The Wedding Date "/>
        <s v="Need for Speed "/>
        <s v="Sideways "/>
        <s v="Everest "/>
        <s v="The Hundred-Foot Journey "/>
        <s v="Willard "/>
        <s v="The Ruins "/>
        <s v="A Civil Action "/>
        <s v="Collateral "/>
        <s v="American Wedding "/>
        <s v="The Bodyguard "/>
        <s v="Superman III "/>
        <s v="City of Ember "/>
        <s v="Death Sentence "/>
        <s v="The Lone Ranger "/>
        <s v="Logan's Run "/>
        <s v="Blood and Wine "/>
        <s v="20 Dates "/>
        <s v="Pineapple Express "/>
        <s v="The Amazing Catfish "/>
        <s v="Riddick "/>
        <s v="You Don't Mess with the Zohan "/>
        <s v="Dark Blue "/>
        <s v="Club Dread "/>
        <s v="The Medallion "/>
        <s v="Find Me Guilty "/>
        <s v="What to Expect When You're Expecting "/>
        <s v="Mirror Mirror "/>
        <s v="Lucky Number Slevin "/>
        <s v="Night at the Museum: Secret of the Tomb "/>
        <s v="Atlas Shrugged: Who Is John Galt? "/>
        <s v="The Crow "/>
        <s v="The Singles Ward "/>
        <s v="Good Morning, Vietnam "/>
        <s v="Kiss Kiss Bang Bang "/>
        <s v="I Want Someone to Eat Cheese With "/>
        <s v="Wall Street "/>
        <s v="Hollywood Shuffle "/>
        <s v="Jackass: The Movie "/>
        <s v="Radio Days "/>
        <s v="Danny Collins "/>
        <s v="The Santa Clause 2 "/>
        <s v="Ravenous "/>
        <s v="Ghost "/>
        <s v="The Raven "/>
        <s v="The Life Aquatic with Steve Zissou "/>
        <s v="Madadayo "/>
        <s v="Cinderella "/>
        <s v="Resident Evil: Extinction "/>
        <s v="All About Steve "/>
        <s v="Radio Flyer "/>
        <s v="Zoolander "/>
        <s v="A Mighty Heart "/>
        <s v="Sin City "/>
        <s v="A Simple Plan "/>
        <s v="Get Shorty "/>
        <s v="Beverly Hills Cop "/>
        <s v="The Royal Tenenbaums "/>
        <s v="Hoop Dreams "/>
        <s v="Beetlejuice "/>
        <s v="Slacker "/>
        <s v="You Can Count on Me "/>
        <s v="Celebrity "/>
        <s v="My Week with Marilyn "/>
        <s v="Saw "/>
        <s v="Up Close &amp; Personal "/>
        <s v="Brotherly Love "/>
        <s v="Star Wars: Episode II - Attack of the Clones "/>
        <s v="Forrest Gump "/>
        <s v="Thank You for Smoking "/>
        <s v="Sugar Hill "/>
        <s v="Star Wars: Episode I - The Phantom Menace "/>
        <s v="Halloween 5 "/>
        <s v="Inkheart "/>
        <s v="Four Christmases "/>
        <s v="The Aviator "/>
        <s v="The Boss "/>
        <s v="The Huntsman: Winter's War "/>
        <s v="Bridge of Spies "/>
        <s v="The Last Exorcism Part II "/>
        <s v="My Favorite Martian "/>
        <s v="Road to Perdition "/>
        <s v="Idlewild "/>
        <s v="The Iron Giant "/>
        <s v="Redacted "/>
        <s v="The Town "/>
        <s v="Glengarry Glen Ross "/>
        <s v="School of Rock "/>
        <s v="Easy A "/>
        <s v="Gothika "/>
        <s v="Intolerable Cruelty "/>
        <s v="Littleman "/>
        <s v="The Spectacular Now "/>
        <s v="The Good Guy "/>
        <s v="Hancock "/>
        <s v="The Watcher "/>
        <s v="Orgazmo "/>
        <s v="Herbie Fully Loaded "/>
        <s v="Darling Lili "/>
        <s v="Out of Time "/>
        <s v="Light It Up "/>
        <s v="Non-Stop "/>
        <s v="Snow White and the Seven Dwarfs "/>
        <s v="Total Recall "/>
        <s v="Stolen "/>
        <s v="Maria Full of Grace "/>
        <s v="Billy Elliot "/>
        <s v="Cirque du Freak: The Vampire's Assistant "/>
        <s v="Ladder 49 "/>
        <s v="The Nativity Story "/>
        <s v="Hoot "/>
        <s v="Ri¢hie Ri¢h "/>
        <s v="The Heat "/>
        <s v="Trust the Man "/>
        <s v="One Day "/>
        <s v="From Dusk Till Dawn "/>
        <s v="Slam "/>
        <s v="Star Trek: Generations "/>
        <s v="The Second Best Exotic Marigold Hotel "/>
        <s v="The Bourne Ultimatum "/>
        <s v="Copycat "/>
        <s v="George Washington "/>
        <s v="Syriana "/>
        <s v="Mars Attacks! "/>
        <s v="Drumline "/>
        <s v="Shutter "/>
        <s v="The Brothers Solomon "/>
        <s v="Hulk "/>
        <s v="Cloud Atlas "/>
        <s v="The Boondock Saints II: All Saints Day "/>
        <s v="Flubber "/>
        <s v="Rambo: First Blood Part II "/>
        <s v="Monte Carlo "/>
        <s v="Trance "/>
        <s v="The Saint "/>
        <s v="The Dukes of Hazzard "/>
        <s v="House of D "/>
        <s v="Johnny English "/>
        <s v="The Last Samurai "/>
        <s v="Exorcist: The Beginning "/>
        <s v="Nerve "/>
        <s v="Year One "/>
        <s v="Ong-bak 2 "/>
        <s v="The Squid and the Whale "/>
        <s v="Jimmy Neutron: Boy Genius "/>
        <s v="Adaptation. "/>
        <s v="Police Academy: Mission to Moscow "/>
        <s v="Paranormal Activity 4 "/>
        <s v="Striptease "/>
        <s v="Motherhood "/>
        <s v="Osama "/>
        <s v="Harold &amp; Kumar Escape from Guantanamo Bay "/>
        <s v="Snatch "/>
        <s v="X-Men "/>
        <s v="Battleship "/>
        <s v="Pathology "/>
        <s v="Midnight in the Garden of Good and Evil "/>
        <s v="Prometheus "/>
        <s v="Dudley Do-Right "/>
        <s v="Beverly Hills Chihuahua "/>
        <s v="Meet Dave "/>
        <s v="R100 "/>
        <s v="Over Her Dead Body "/>
        <s v="Cursed "/>
        <s v="Machete "/>
        <s v="Ice Age: The Meltdown "/>
        <s v="Margin Call "/>
        <s v="Before Midnight "/>
        <s v="Batman "/>
        <s v="Up in the Air "/>
        <s v="War, Inc. "/>
        <s v="The Cabin in the Woods "/>
        <s v="Suicide Squad "/>
        <s v="A.I. Artificial Intelligence "/>
        <s v="Sucker Punch "/>
        <s v="Alvin and the Chipmunks: Chipwrecked "/>
        <s v="Armageddon "/>
        <s v="Double Impact "/>
        <s v="The Pursuit of Happyness "/>
        <s v="Jumping the Broom "/>
        <s v="The Ten "/>
        <s v="The Crazies "/>
        <s v="The Young Messiah "/>
        <s v="Clear and Present Danger "/>
        <s v="American Sniper "/>
        <s v="Despicable Me "/>
        <s v="Elysium "/>
        <s v="Ca$h "/>
        <s v="The Road "/>
        <s v="Bee Movie "/>
        <s v="Rango "/>
        <s v="Youth in Revolt "/>
        <s v="Carrie "/>
        <s v="Soul Kitchen "/>
        <s v="Pride and Prejudice and Zombies "/>
        <s v="The Big Lebowski "/>
        <s v="Pan's Labyrinth "/>
        <s v="Another Earth "/>
        <s v="Paycheck "/>
        <s v="Bats "/>
        <s v="A Better Life "/>
        <s v="Don't Say a Word "/>
        <s v="Draft Day "/>
        <s v="Limbo "/>
        <s v="The Bourne Legacy "/>
        <s v="Lords of Dogtown "/>
        <s v="A Beautiful Mind "/>
        <s v="Whatever Works "/>
        <s v="Maggie "/>
        <s v="Trainspotting "/>
        <s v="Vamps "/>
        <s v="God's Not Dead 2 "/>
        <s v="L.I.E. "/>
        <s v="Star Trek: Nemesis "/>
        <s v="Saints and Soldiers "/>
        <s v="Cruel Intentions "/>
        <s v="Yentl "/>
        <s v="Freddy Got Fingered "/>
        <s v="The Grandmaster "/>
        <s v="This Is Where I Leave You "/>
        <s v="The Hunt "/>
        <s v="The Boy in the Striped Pajamas "/>
        <s v="Due Date "/>
        <s v="The To Do List "/>
        <s v="The Call "/>
        <s v="A Walk Among the Tombstones "/>
        <s v="Fled "/>
        <s v="Avatar"/>
        <s v="Sherlock Holmes: A Game of Shadows "/>
        <s v="Country Strong "/>
        <s v="Thunderball "/>
        <s v="The Lost City "/>
        <s v="Digimon: The Movie "/>
        <s v="Wimbledon "/>
        <s v="Se7en "/>
        <s v="The Object of My Affection "/>
        <s v="What Just Happened "/>
        <s v="Addicted "/>
        <s v="Insomnia "/>
        <s v="The Crew "/>
        <s v="The Scorpion King "/>
        <s v="The Golden Child "/>
        <s v="Extreme Ops "/>
        <s v="Shark Tale "/>
        <s v="American Hustle "/>
        <s v="Bound "/>
        <s v="Sliding Doors "/>
        <s v="Star Trek Beyond "/>
        <s v="Aquamarine "/>
        <s v="Star Trek Into Darkness "/>
        <s v="Medicine Man "/>
        <s v="Krampus "/>
        <s v="Wah-Wah "/>
        <s v="District B13 "/>
        <s v="The Pirates! Band of Misfits "/>
        <s v="The Bridge of San Luis Rey "/>
        <s v="In Dreams "/>
        <s v="Highlander: The Final Dimension "/>
        <s v="Iron Man 2 "/>
        <s v="Tombstone "/>
        <s v="My Cousin Vinny "/>
        <s v="The Nutcracker "/>
        <s v="Magic Mike XXL "/>
        <s v="Salvation Boulevard "/>
        <s v="Don Juan DeMarco "/>
        <s v="Resident Evil: Afterlife "/>
        <s v="The New World "/>
        <s v="Noah "/>
        <s v="Bran Nue Dae "/>
        <s v="Any Given Sunday "/>
        <s v="Prison "/>
        <s v="While We're Young "/>
        <s v="Free State of Jones "/>
        <s v="Frozen River "/>
        <s v="[Rec] 2 "/>
        <s v="Dodgeball: A True Underdog Story "/>
        <s v="The Best Man "/>
        <s v="Shooter "/>
        <s v="Born to Fly: Elizabeth Streb vs. Gravity "/>
        <s v="Return to Me "/>
        <s v="An Alan Smithee Film: Burn Hollywood Burn "/>
        <s v="Rollerball "/>
        <s v="Goldfinger "/>
        <s v="Down to You "/>
        <s v="Becoming Jane "/>
        <s v="The Woman Chaser "/>
        <s v="Friends with Money "/>
        <s v="The Intern "/>
        <s v="Open Range "/>
        <s v="Flyboys "/>
        <s v="The Apostle "/>
        <s v="Instructions Not Included "/>
        <s v="Serving Sara "/>
        <s v="Employee of the Month "/>
        <s v="Tae Guk Gi: The Brotherhood of War "/>
        <s v="Inside Man "/>
        <s v="Boiler Room "/>
        <s v="The Jackal "/>
        <s v="Secretary "/>
        <s v="Hesher "/>
        <s v="Arthur Christmas "/>
        <s v="Casino "/>
        <s v="Night Watch "/>
        <s v="Out of Africa "/>
        <s v="The Blood of Heroes "/>
        <s v="Angela's Ashes "/>
        <s v="Radio "/>
        <s v="Shaun of the Dead "/>
        <s v="King's Ransom "/>
        <s v="Saint Ralph "/>
        <s v="White Oleander "/>
        <s v="The Constant Gardener "/>
        <s v="Spy Hard "/>
        <s v="Stoker "/>
        <s v="The Specialist "/>
        <s v="The Good German "/>
        <s v="Thirteen Days "/>
        <s v="The Godfather: Part II "/>
        <s v="As It Is in Heaven "/>
        <s v="Summer of Sam "/>
        <s v="Pontypool "/>
        <s v="Machete Kills "/>
        <s v="The Marine "/>
        <s v="Octopussy "/>
        <s v="Captain America: The Winter Soldier "/>
        <s v="The Missing Person "/>
        <s v="The Lost Skeleton of Cadavra "/>
        <s v="Kangaroo Jack "/>
        <s v="The Wrestler "/>
        <s v="The Bucket List "/>
        <s v="Chasing Amy "/>
        <s v="House of Sand and Fog "/>
        <s v="Dawn of the Planet of the Apes "/>
        <s v="The Promise "/>
        <s v="Anna and the King "/>
        <s v="Hugo "/>
        <s v="Taken 3 "/>
        <s v="Beginners "/>
        <s v="Beautiful Creatures "/>
        <s v="Where the Heart Is "/>
        <s v="Awake "/>
        <s v="Scott Pilgrim vs. the World "/>
        <s v="My Sister's Keeper "/>
        <s v="Hairspray "/>
        <s v="5 Days of War "/>
        <s v="The Shipping News "/>
        <s v="Alive "/>
        <s v="Unstoppable "/>
        <s v="River's Edge "/>
        <s v="Hitch "/>
        <s v="The Rookie "/>
        <s v="Groove "/>
        <s v="November "/>
        <s v="Children of Heaven "/>
        <s v="Here on Earth "/>
        <s v="The Fan "/>
        <s v="Tim and Eric's Billion Dollar Movie "/>
        <s v="The Water Diviner "/>
        <s v="The Game of Their Lives "/>
        <s v="First Knight "/>
        <s v="ChÃ©ri "/>
        <s v="Holes "/>
        <s v="Rent "/>
        <s v="Cliffhanger "/>
        <s v="ParaNorman "/>
        <s v="Wonder Boys "/>
        <s v="Unforgiven "/>
        <s v="Crocodile Dundee II "/>
        <s v="The Debt "/>
        <s v="Last Orders "/>
        <s v="The Other Boleyn Girl "/>
        <s v="Paul Blart: Mall Cop 2 "/>
        <s v="Joe Somebody "/>
        <s v="Red Dragon "/>
        <s v="Blue Crush "/>
        <s v="Bernie "/>
        <s v="Martin Lawrence Live: Runteldat "/>
        <s v="The Martian "/>
        <s v="On the Line "/>
        <s v="Dracula: Pages from a Virgin's Diary "/>
        <s v="Frailty "/>
        <s v="Pirates of the Caribbean: On Stranger Tides "/>
        <s v="Insidious: Chapter 2 "/>
        <s v="Everyone Says I Love You "/>
        <s v="Shine "/>
        <s v="The Hunger Games: Catching Fire "/>
        <s v="Star Trek VI: The Undiscovered Country "/>
        <s v="The Beast from 20,000 Fathoms "/>
        <s v="Abandon "/>
        <s v="Inherent Vice "/>
        <s v="Harry Potter and the Chamber of Secrets "/>
        <s v="The League of Extraordinary Gentlemen "/>
        <s v="Dressed to Kill "/>
        <s v="Thomas and the Magic Railroad "/>
        <s v="A Million Ways to Die in the West "/>
        <s v="Among Giants "/>
        <s v="Cry Freedom "/>
        <s v="The Grace Card "/>
        <s v="The Legend of the Lone Ranger "/>
        <s v="Scary Movie 2 "/>
        <s v="I, Robot "/>
        <s v="Laws of Attraction "/>
        <s v="Bella "/>
        <s v="A Nightmare on Elm Street 5: The Dream Child "/>
        <s v="Legend of the Guardians: The Owls of Ga'Hoole "/>
        <s v="Josie and the Pussycats "/>
        <s v="Diary of a Wimpy Kid: Rodrick Rules "/>
        <s v="The Ladykillers "/>
        <s v="I Am Sam "/>
        <s v="Rambo III "/>
        <s v="Micmacs "/>
        <s v="Stone "/>
        <s v="The Age of Adaline "/>
        <s v="Babe: Pig in the City "/>
        <s v="Dolphin Tale "/>
        <s v="Not Easily Broken "/>
        <s v="Beyond the Mat "/>
        <s v="The Siege "/>
        <s v="All the Real Girls "/>
        <s v="Invictus "/>
        <s v="The Green Inferno "/>
        <s v="The Homesman "/>
        <s v="The Green Mile "/>
        <s v="The Business of Fancydancing "/>
        <s v="The Children of Huang Shi "/>
        <s v="Duplicity "/>
        <s v="30 Minutes or Less "/>
        <s v="8: The Mormon Proposition "/>
        <s v="The Informant! "/>
        <s v="A Christmas Carol "/>
        <s v="Street Kings "/>
        <s v="Disturbing Behavior "/>
        <s v="Mongol: The Rise of Genghis Khan "/>
        <s v="The Adventures of Tintin "/>
        <s v="Blended "/>
        <s v="WALL·E "/>
        <s v="Go for It! "/>
        <s v="House of 1000 Corpses "/>
        <s v="The Alamo "/>
        <s v="Valiant "/>
        <s v="Babel "/>
        <s v="Eragon "/>
        <s v="Bobby "/>
        <s v="Fuel "/>
        <s v="Diary of a Wimpy Kid: Dog Days "/>
        <s v="Shooting Fish "/>
        <s v="Rubber "/>
        <s v="Under the Rainbow "/>
        <s v="Bowling for Columbine "/>
        <s v="Taken "/>
        <s v="April Fool's Day "/>
        <s v="Open Season "/>
        <s v="Reindeer Games "/>
        <s v="Happy Feet "/>
        <s v="March of the Penguins "/>
        <s v="Bend It Like Beckham "/>
        <s v="Charlie's Angels "/>
        <s v="Elf "/>
        <s v="Rio "/>
        <s v="Boogeyman "/>
        <s v="Henry V "/>
        <s v="No Country for Old Men "/>
        <s v="Alien "/>
        <s v="The Matador "/>
        <s v="The Descendants "/>
        <s v="The 33 "/>
        <s v="Black Rain "/>
        <s v="Master and Commander: The Far Side of the World "/>
        <s v="Last Holiday "/>
        <s v="Evil Dead "/>
        <s v="Young Sherlock Holmes "/>
        <s v="Untraceable "/>
        <s v="My Date with Drew "/>
        <s v="Basic "/>
        <s v="How Stella Got Her Groove Back "/>
        <s v="Mighty Joe Young "/>
        <s v="Quantum of Solace "/>
        <s v="The Bridge on the River Kwai "/>
        <s v="The Chronicles of Narnia: The Lion, the Witch and the Wardrobe "/>
        <s v="True Lies "/>
        <s v="Couples Retreat "/>
        <s v="The Mechanic "/>
        <s v="Hero "/>
        <s v="A Time to Kill "/>
        <s v="The Way Way Back "/>
        <s v="Rumble in the Bronx "/>
        <s v="Queen of the Damned "/>
        <s v="The Last Song "/>
        <s v="Finding Nemo "/>
        <s v="Animal House "/>
        <s v="Detroit Rock City "/>
        <s v="Antitrust "/>
        <s v="Home on the Range "/>
        <s v="Christmas with the Kranks "/>
        <s v="A Prairie Home Companion "/>
        <s v="Friday the 13th: The Final Chapter "/>
        <s v="Small Time Crooks "/>
        <s v="Silent Hill: Revelation 3D "/>
        <s v="Basquiat "/>
        <s v="The Good Girl "/>
        <s v="Into the Woods "/>
        <s v="Stepmom "/>
        <s v="The Animal "/>
        <s v="The Best Little Whorehouse in Texas "/>
        <s v="Phone Booth "/>
        <s v="Someone Like You... "/>
        <s v="Jeff, Who Lives at Home "/>
        <s v="The Legend of Bagger Vance "/>
        <s v="Miss Potter "/>
        <s v="Little Shop of Horrors "/>
        <s v="Eraser "/>
        <s v="Out of Sight "/>
        <s v="Ip Man 3 "/>
        <s v="Bad Boys "/>
        <s v="The Killer Inside Me "/>
        <s v="United 93 "/>
        <s v="Michael Clayton "/>
        <s v="The Battle of Shaker Heights "/>
        <s v="The Green Hornet "/>
        <s v="Driven "/>
        <s v="Bullet to the Head "/>
        <s v="Witness "/>
        <s v="My Blueberry Nights "/>
        <s v="Conan the Destroyer "/>
        <s v="Jurassic Park III "/>
        <s v="The Skeleton Key "/>
        <s v="Boogie Nights "/>
        <s v="Sex Drive "/>
        <s v="La otra conquista "/>
        <s v="Silent House "/>
        <s v="Primer "/>
        <s v="Eye for an Eye "/>
        <s v="Downfall "/>
        <s v="Georgia Rule "/>
        <s v="Percy Jackson: Sea of Monsters "/>
        <s v="Winter's Tale "/>
        <s v="Stand by Me "/>
        <s v="I Am Love "/>
        <s v="Lone Wolf McQuade "/>
        <s v="Major League "/>
        <s v="The New Guy "/>
        <s v="The Chorus "/>
        <s v="Daddy Day Camp "/>
        <s v="The Loss of Sexual Innocence "/>
        <s v="Jackie Brown "/>
        <s v="Blade "/>
        <s v="The Break-Up "/>
        <s v="The Puffy Chair "/>
        <s v="The House of the Devil "/>
        <s v="Town &amp; Country "/>
        <s v="The Ugly Truth "/>
        <s v="The Muse "/>
        <s v="Space Jam "/>
        <s v="Turbo "/>
        <s v="Scoop "/>
        <s v="Goal! The Dream Begins "/>
        <s v="Split Second "/>
        <s v="Nowhere to Run "/>
        <s v="The Hoax "/>
        <s v="My Fair Lady "/>
        <s v="What's Your Number? "/>
        <s v="Dance Flick "/>
        <s v="Legally Blonde "/>
        <s v="Stake Land "/>
        <s v="High School Musical 3: Senior Year "/>
        <s v="47 Ronin "/>
        <s v="The Curious Case of Benjamin Button "/>
        <s v="Gory Gory Hallelujah "/>
        <s v="Teenage Mutant Ninja Turtles III "/>
        <s v="The Lords of Salem "/>
        <s v="Nixon "/>
        <s v="In the Company of Men "/>
        <s v="Captain America: The First Avenger "/>
        <s v="The Triplets of Belleville "/>
        <s v="Tangled "/>
        <s v="Birdman or (The Unexpected Virtue of Ignorance) "/>
        <s v="A Nightmare on Elm Street 4: The Dream Master "/>
        <s v="The Secret Life of Bees "/>
        <s v="A Home at the End of the World "/>
        <s v="Dear Wendy "/>
        <s v="Enough Said "/>
        <s v="Pretty Woman "/>
        <s v="Agent Cody Banks 2: Destination London "/>
        <s v="The Astronaut Farmer "/>
        <s v="Cats &amp; Dogs: The Revenge of Kitty Galore "/>
        <s v="Human Traffic "/>
        <s v="Prom Night "/>
        <s v="The Trials of Darryl Hunt "/>
        <s v="Minions "/>
        <s v="Parental Guidance "/>
        <s v="Wanted "/>
        <s v="The Fault in Our Stars "/>
        <s v="12 Rounds "/>
        <s v="Born on the Fourth of July "/>
        <s v="Arthur and the Invisibles "/>
        <s v="The East "/>
        <s v="Gran Torino "/>
        <s v="Legends of the Fall "/>
        <s v="What Lies Beneath "/>
        <s v="The Blind Side "/>
        <s v="Did You Hear About the Morgans? "/>
        <s v="Captain America: Civil War "/>
        <s v="Scooby-Doo 2: Monsters Unleashed "/>
        <s v="About a Boy "/>
        <s v="Marvin's Room "/>
        <s v="I Spy "/>
        <s v="Journey 2: The Mysterious Island "/>
        <s v="A League of Their Own "/>
        <s v="Broken Vessels "/>
        <s v="Collateral Damage "/>
        <s v="Must Love Dogs "/>
        <s v="Escape Plan "/>
        <s v="Save the Last Dance "/>
        <s v="Insidious: Chapter 3 "/>
        <s v="Zoolander 2 "/>
        <s v="Crocodile Dundee "/>
        <s v="Tsotsi "/>
        <s v="Jason X "/>
        <s v="The Host "/>
        <s v="Jingle All the Way "/>
        <s v="Tango &amp; Cash "/>
        <s v="20 Feet from Stardom "/>
        <s v="Fahrenheit 9/11 "/>
        <s v="Analyze This "/>
        <s v="Ghost Rider: Spirit of Vengeance "/>
        <s v="The Replacements "/>
        <s v="American Pie "/>
        <s v="The International "/>
        <s v="2016: Obama's America "/>
        <s v="Repo! The Genetic Opera "/>
        <s v="Bowfinger "/>
        <s v="The Waterboy "/>
        <s v="Two Lovers "/>
        <s v="Money Monster "/>
        <s v="The Count of Monte Cristo "/>
        <s v="Predator "/>
        <s v="Girl, Interrupted "/>
        <s v="Barbershop "/>
        <s v="Dead Man Down "/>
        <s v="Step Up 3D "/>
        <s v="Shrek "/>
        <s v="X-Men 2 "/>
        <s v="The Ballad of Jack and Rose "/>
        <s v="The Transporter "/>
        <s v="Dragon Wars: D-War "/>
        <s v="Diary of a Mad Black Woman "/>
        <s v="Meet the Deedles "/>
        <s v="Flirting with Disaster "/>
        <s v="Flatliners "/>
        <s v="17 Again "/>
        <s v="An Ideal Husband "/>
        <s v="After.Life "/>
        <s v="Zero Effect "/>
        <s v="Six-String Samurai "/>
        <s v="Black Christmas "/>
        <s v="The Hobbit: The Battle of the Five Armies "/>
        <s v="War "/>
        <s v="Excessive Force "/>
        <s v="Rocky Balboa "/>
        <s v="The Quiet "/>
        <s v="Sea of Love "/>
        <s v="The Phantom of the Opera "/>
        <s v="An American Haunting "/>
        <s v="Space Chimps "/>
        <s v="3 Men and a Baby "/>
        <s v="The Hunchback of Notre Dame "/>
        <s v="Takers "/>
        <s v="Call + Response "/>
        <s v="Ali "/>
        <s v="Anchorman: The Legend of Ron Burgundy "/>
        <s v="Antarctica: A Year on Ice "/>
        <s v="A Dog of Flanders "/>
        <s v="Evita "/>
        <s v="Star Trek II: The Wrath of Khan "/>
        <s v="Charlie St. Cloud "/>
        <s v="The Lincoln Lawyer "/>
        <s v="Deconstructing Harry "/>
        <s v="From Paris with Love "/>
        <s v="Wristcutters: A Love Story "/>
        <s v="The Social Network "/>
        <s v="Summer Catch "/>
        <s v="Harold &amp; Kumar Go to White Castle "/>
        <s v="Super Mario Bros. "/>
        <s v="The Lost World: Jurassic Park "/>
        <s v="Head of State "/>
        <s v="The Perfect Storm "/>
        <s v="Cloudy with a Chance of Meatballs "/>
        <s v="Valentine's Day "/>
        <s v="Cube "/>
        <s v="Righteous Kill "/>
        <s v="Soul Surfer "/>
        <s v="I'm Not There. "/>
        <s v="Soul Food "/>
        <s v="The Lazarus Effect "/>
        <s v="Shanghai Knights "/>
        <s v="Hop "/>
        <s v="The Innkeepers "/>
        <s v="Premonition "/>
        <s v="Surf's Up "/>
        <s v="You Only Live Twice "/>
        <s v="The River Wild "/>
        <s v="Walk Hard: The Dewey Cox Story "/>
        <s v="Cheaper by the Dozen 2 "/>
        <s v="The Rugrats Movie "/>
        <s v="Burnt "/>
        <s v="GoldenEye "/>
        <s v="One Hour Photo "/>
        <s v="Mercury Rising "/>
        <s v="Safety Not Guaranteed "/>
        <s v="Raising Helen "/>
        <s v="Alien 3 "/>
        <s v="Mona Lisa Smile "/>
        <s v="Oliver Twist "/>
        <s v="Wolf "/>
        <s v="Angel Eyes "/>
        <s v="Eddie: The Sleepwalking Cannibal "/>
        <s v="Godsend "/>
        <s v="The Ghastly Love of Johnny X "/>
        <s v="Shall We Dance "/>
        <s v="The Thing "/>
        <s v="The Ghost and the Darkness "/>
        <s v="O Brother, Where Art Thou? "/>
        <s v="Sea Rex 3D: Journey to a Prehistoric World "/>
        <s v="Made of Honor "/>
        <s v="Flipped "/>
        <s v="The Italian Job "/>
        <s v="Deceptive Practice: The Mysteries and Mentors of Ricky Jay "/>
        <s v="Happy Feet 2 "/>
        <s v="Gone in Sixty Seconds "/>
        <s v="The Big Year "/>
        <s v="The Relic "/>
        <s v="Twins "/>
        <s v="Drillbit Taylor "/>
        <s v="Kingdom of the Spiders "/>
        <s v="Ulee's Gold "/>
        <s v="Closer "/>
        <s v="The Curse of the Were-Rabbit "/>
        <s v="Gone Girl "/>
        <s v="Leatherheads "/>
        <s v="Central Station "/>
        <s v="Charlie Bartlett "/>
        <s v="The Life Before Her Eyes "/>
        <s v="Gattaca "/>
        <s v="Jupiter Ascending "/>
        <s v="Leap Year "/>
        <s v="Ocean's Twelve "/>
        <s v="Treasure Planet "/>
        <s v="Immortals "/>
        <s v="16 Blocks "/>
        <s v="Lions for Lambs "/>
        <s v="Beastmaster 2: Through the Portal of Time "/>
        <s v="Scary Movie 3 "/>
        <s v="Aloha "/>
        <s v="The Guru "/>
        <s v="Tadpole "/>
        <s v="Bloodsport "/>
        <s v="Battlefield Earth "/>
        <s v="X-Men: First Class "/>
        <s v="The Terminal "/>
        <s v="The Game "/>
        <s v="The Lady from Shanghai "/>
        <s v="Inglourious Basterds "/>
        <s v="Star Trek IV: The Voyage Home "/>
        <s v="Cats Don't Dance "/>
        <s v="Underworld: Evolution "/>
        <s v="Autumn in New York "/>
        <s v="Amistad "/>
        <s v="This Means War "/>
        <s v="Eulogy "/>
        <s v="X-Men: Days of Future Past "/>
        <s v="Being Julia "/>
        <s v="Bridge to Terabithia "/>
        <s v="The Client "/>
        <s v="The Illusionist "/>
        <s v="My Life in Ruins "/>
        <s v="Urbania "/>
        <s v="Pixels "/>
        <s v="The Vatican Tapes "/>
        <s v="You Again "/>
        <s v="The Bounty "/>
        <s v="Step Up 2: The Streets "/>
        <s v="A Scanner Darkly "/>
        <s v="The Indian in the Cupboard "/>
        <s v="Sinbad: Legend of the Seven Seas "/>
        <s v="Down and Out with the Dolls "/>
        <s v="License to Wed "/>
        <s v="Black Book "/>
        <s v="Deep Blue Sea "/>
        <s v="Victor Frankenstein "/>
        <s v="The Theory of Everything "/>
        <s v="For Greater Glory: The True Story of Cristiada "/>
        <s v="The Hunger Games: Mockingjay - Part 1 "/>
        <s v="Atlas Shrugged II: The Strike "/>
        <s v="Predator 2 "/>
        <s v="London Has Fallen "/>
        <s v="The Painted Veil "/>
        <s v="Brave "/>
        <s v="Suspect Zero "/>
        <s v="Keeping the Faith "/>
        <s v="Seven Years in Tibet "/>
        <s v="Pocahontas "/>
        <s v="On the Road "/>
        <s v="Bedazzled "/>
        <s v="Seeking a Friend for the End of the World "/>
        <s v="Star Wars: Episode V - The Empire Strikes Back "/>
        <s v="Scream 3 "/>
        <s v="How the Grinch Stole Christmas "/>
        <s v="Yes "/>
        <s v="Hey Arnold! The Movie "/>
        <s v="The Original Kings of Comedy "/>
        <s v="Our Brand Is Crisis "/>
        <s v="Narc "/>
        <s v="Big Hero 6 "/>
        <s v="Running Scared "/>
        <s v="Poolhall Junkies "/>
        <s v="The Wackness "/>
        <s v="New Nightmare "/>
        <s v="Hearts in Atlantis "/>
        <s v="Character "/>
        <s v="Allegiant "/>
        <s v="Edge of Darkness "/>
        <s v="The Iron Lady "/>
        <s v="Fright Night "/>
        <s v="Zookeeper "/>
        <s v="Spy Kids: All the Time in the World in 4D "/>
        <s v="The Broken Hearts Club: A Romantic Comedy "/>
        <s v="Letters from Iwo Jima "/>
        <s v="Hardball "/>
        <s v="Stripes "/>
        <s v="Edge of Tomorrow "/>
        <s v="My Name Is Khan "/>
        <s v="The House of Mirth "/>
        <s v="Ã†on Flux "/>
        <s v="The Shaggy Dog "/>
        <s v="Airborne "/>
        <s v="Identity Thief "/>
        <s v="The Man with the Golden Gun "/>
        <s v="The Back-up Plan "/>
        <s v="Defendor "/>
        <s v="Baby Geniuses "/>
        <s v="One Night with the King "/>
        <s v="Street Fighter "/>
        <s v="The Dangerous Lives of Altar Boys "/>
        <s v="From Hell "/>
        <s v="Muppets Most Wanted "/>
        <s v="Man on a Ledge "/>
        <s v="The Peacemaker "/>
        <s v="Waiting for Guffman "/>
        <s v="The Campaign "/>
        <s v="The Country Bears "/>
        <s v="Pride and Glory "/>
        <s v="Spider-Man 2 "/>
        <s v="Ratatouille "/>
        <s v="Abraham Lincoln: Vampire Hunter "/>
        <s v="The Longshots "/>
        <s v="The Mummy Returns "/>
        <s v="Catch a Fire "/>
        <s v="Talladega Nights: The Ballad of Ricky Bobby "/>
        <s v="The Sea Inside "/>
        <s v="Burn After Reading "/>
        <s v="Dr. Dolittle 2 "/>
        <s v="Fantastic 4: Rise of the Silver Surfer "/>
        <s v="Back to the Future Part II "/>
        <s v="Drag Me to Hell "/>
        <s v="UHF "/>
        <s v="Thirteen "/>
        <s v="Pitch Perfect 2 "/>
        <s v="Crossroads "/>
        <s v="The Straight Story "/>
        <s v="Flashdance "/>
        <s v="Dead Man Walking "/>
        <s v="Barnyard "/>
        <s v="Infamous "/>
        <s v="The Assassin "/>
        <s v="Walking with Dinosaurs 3D "/>
        <s v="Can't Hardly Wait "/>
        <s v="Brick Mansions "/>
        <s v="Without a Paddle "/>
        <s v="The Texas Chain Saw Massacre "/>
        <s v="Jarhead "/>
        <s v="Clerks "/>
        <s v="Brooklyn "/>
        <s v="Twilight Zone: The Movie "/>
        <s v="Clueless "/>
        <s v="Three Burials "/>
        <s v="The Vow "/>
        <s v="The Greatest "/>
        <s v="Spy Kids 2: Island of Lost Dreams "/>
        <s v="The Work and the Glory II: American Zion "/>
        <s v="Swingers "/>
        <s v="The Words "/>
        <s v="Nowhere in Africa "/>
        <s v="Fatal Attraction "/>
        <s v="Wrong Turn "/>
        <s v="The Last Godfather "/>
        <s v="Max Payne "/>
        <s v="It's Complicated "/>
        <s v="Waking Ned Devine "/>
        <s v="The Legend of Zorro "/>
        <s v="The Roommate "/>
        <s v="The Family Man "/>
        <s v="Aberdeen "/>
        <s v="Annie Hall "/>
        <s v="Deep Rising "/>
        <s v="Corpse Bride "/>
        <s v="Kingpin "/>
        <s v="Rabbit Hole "/>
        <s v="See Spot Run "/>
        <s v="Ransom "/>
        <s v="O "/>
        <s v="Without Limits "/>
        <s v="Superman Returns "/>
        <s v="The Last Emperor "/>
        <s v="Sarah's Key "/>
        <s v="Alvin and the Chipmunks: The Road Chip "/>
        <s v="Boyz n the Hood "/>
        <s v="Bruce Almighty "/>
        <s v="Milk "/>
        <s v="Das Boot "/>
        <s v="A Bridge Too Far "/>
        <s v="Bulletproof Monk "/>
        <s v="The Express "/>
        <s v="Strange Wilderness "/>
        <s v="Think Like a Man Too "/>
        <s v="Timecrimes "/>
        <s v="Robots "/>
        <s v="Halloween 4: The Return of Michael Myers "/>
        <s v="Undiscovered "/>
        <s v="Around the World in 80 Days "/>
        <s v="Observe and Report "/>
        <s v="3 Ninjas Kick Back "/>
        <s v="Heavenly Creatures "/>
        <s v="Kissing Jessica Stein "/>
        <s v="Chain Reaction "/>
        <s v="Mission: Impossible "/>
        <s v="Cutthroat Island "/>
        <s v="Anaconda "/>
        <s v="One Missed Call "/>
        <s v="Incident at Loch Ness "/>
        <s v="Dick "/>
        <s v="Beloved "/>
        <s v="Repo Men "/>
        <s v="Hannibal Rising "/>
        <s v="Tin Cup "/>
        <s v="Congo "/>
        <s v="Enchanted "/>
        <s v="A Most Violent Year "/>
        <s v="Fever Pitch "/>
        <s v="Ta Ra Rum Pum "/>
        <s v="Land of the Dead "/>
        <s v="The Emperor's Club "/>
        <s v="X-Men: The Last Stand "/>
        <s v="The Devil's Own "/>
        <s v="Just Like Heaven "/>
        <s v="Just Go with It "/>
        <s v="Office Space "/>
        <s v="Hustle &amp; Flow "/>
        <s v="Barney's Great Adventure "/>
        <s v="Hard Rain "/>
        <s v="Pain &amp; Gain "/>
        <s v="What a Girl Wants "/>
        <s v="In the Bedroom "/>
        <s v="Thir13en Ghosts "/>
        <s v="Apocalypto "/>
        <s v="How to Deal "/>
        <s v="1911 "/>
        <s v="Whipped "/>
        <s v="The Big Hit "/>
        <s v="The Invention of Lying "/>
        <s v="Nick and Norah's Infinite Playlist "/>
        <s v="Swimfan "/>
        <s v="The Mortal Instruments: City of Bones "/>
        <s v="Beerfest "/>
        <s v="Do the Right Thing "/>
        <s v="Live and Let Die "/>
        <s v="Fantasia "/>
        <s v="Mondays in the Sun "/>
        <s v="Smoke Signals "/>
        <s v="An Education "/>
        <s v="Oldboy "/>
        <s v="Extract "/>
        <s v="Pi "/>
        <s v="The Kite Runner "/>
        <s v="Star Trek III: The Search for Spock "/>
        <s v="Your Highness "/>
        <s v="The Adventurer: The Curse of the Midas Box "/>
        <s v="Wag the Dog "/>
        <s v="Seabiscuit "/>
        <s v="Star Trek: The Motion Picture "/>
        <s v="Pitch Perfect "/>
        <s v="Friday the 13th Part VIII: Jason Takes Manhattan "/>
        <s v="Caravans "/>
        <s v="Blue Valentine "/>
        <s v="The Blues Brothers "/>
        <s v="Self/less "/>
        <s v="Switchback "/>
        <s v="Stuart Little 2 "/>
        <s v="Drive "/>
        <s v="I Served the King of England "/>
        <s v="Veronica Guerin "/>
        <s v="Aladdin "/>
        <s v="Armored "/>
        <s v="Wasabi "/>
        <s v="Edward Scissorhands "/>
        <s v="The Postman "/>
        <s v="Bubble Boy "/>
        <s v="Mr. &amp; Mrs. Smith "/>
        <s v="Daybreakers "/>
        <s v="Metropolis "/>
        <s v="The Orphanage "/>
        <s v="The Day After Tomorrow "/>
        <s v="If I Stay "/>
        <s v="Shaolin Soccer "/>
        <s v="G.I. Joe: The Rise of Cobra "/>
        <s v="Sydney White "/>
        <s v="The Last Time I Committed Suicide "/>
        <s v="A Separation "/>
        <s v="Vampires Suck "/>
        <s v="Aqua Teen Hunger Force Colon Movie Film for Theaters "/>
        <s v="Monsters vs. Aliens "/>
        <s v="Connie and Carla "/>
        <s v="Darkness Falls "/>
        <s v="Men with Brooms "/>
        <s v="Never Let Me Go "/>
        <s v="AVP: Alien vs. Predator "/>
        <s v="Bright Star "/>
        <s v="28 Days "/>
        <s v="Jennifer's Body "/>
        <s v="Scooby-Doo "/>
        <s v="The Nut Job "/>
        <s v="The Wolfman "/>
        <s v="Cars "/>
        <s v="Blade II "/>
        <s v="Escape from Alcatraz "/>
        <s v="Megamind "/>
        <s v="The Gallows "/>
        <s v="Nim's Island "/>
        <s v="Before Sunrise "/>
        <s v="Patch Adams "/>
        <s v="Casa de mi Padre "/>
        <s v="Exotica "/>
        <s v="Super Troopers "/>
        <s v="You Kill Me "/>
        <s v="Anacondas: The Hunt for the Blood Orchid "/>
        <s v="Titan A.E. "/>
        <s v="The Best Man Holiday "/>
        <s v="Duel in the Sun "/>
        <s v="Bridget Jones's Diary "/>
        <s v="Back to the Future "/>
        <s v="Lovely, Still "/>
        <s v="The SpongeBob Movie: Sponge Out of Water "/>
        <s v="Seed of Chucky "/>
        <s v="Showdown in Little Tokyo "/>
        <s v="Star Trek: Insurrection "/>
        <s v="Derailed "/>
        <s v="Child's Play 2 "/>
        <s v="The Prestige "/>
        <s v="The Rundown "/>
        <s v="Boynton Beach Club "/>
        <s v="Machine Gun Preacher "/>
        <s v="The Game Plan "/>
        <s v="xXx "/>
        <s v="28 Weeks Later "/>
        <s v="Peaceful Warrior "/>
        <s v="Trust "/>
        <s v="Cop Land "/>
        <s v="Tropic Thunder "/>
        <s v="Home Alone 2: Lost in New York "/>
        <s v="Blazing Saddles "/>
        <s v="Men in Black II "/>
        <s v="Message in a Bottle "/>
        <s v="Hit and Run "/>
        <s v="Sunshine "/>
        <s v="Saw VI "/>
        <s v="Red Planet "/>
        <s v="Rush Hour 3 "/>
        <s v="Ride Along 2 "/>
        <s v="The Incredibles "/>
        <s v="Y Tu MamÃ¡ TambiÃ©n "/>
        <s v="After Earth "/>
        <s v="Safe Men "/>
        <s v="The Hunger Games: Mockingjay - Part 2 "/>
        <s v="Divine Secrets of the Ya-Ya Sisterhood "/>
        <s v="A Serious Man "/>
        <s v="Raise Your Voice "/>
        <s v="Martian Child "/>
        <s v="Annabelle "/>
        <s v="Hamlet "/>
        <s v="And So It Goes "/>
        <s v="Changing Lanes "/>
        <s v="Alpha and Omega "/>
        <s v="Teen Wolf Too "/>
        <s v="Married Life "/>
        <s v="Room "/>
        <s v="Quills "/>
        <s v="Like Crazy "/>
        <s v="Planet 51 "/>
        <s v="The Last Temptation of Christ "/>
        <s v="The Iceman "/>
        <s v="Escape from L.A. "/>
        <s v="Just My Luck "/>
        <s v="Amigo "/>
        <s v="Isn't She Great "/>
        <s v="Wayne's World "/>
        <s v="Let Me In "/>
        <s v="The R.M. "/>
        <s v="A Very Harold &amp; Kumar 3D Christmas "/>
        <s v="Final Destination 2 "/>
        <s v="The Greatest Show on Earth "/>
        <s v="American Graffiti "/>
        <s v="Source Code "/>
        <s v="Bullets Over Broadway "/>
        <s v="Paddington "/>
        <s v="Flame and Citron "/>
        <s v="Ramona and Beezus "/>
        <s v="Bad Boys II "/>
        <s v="Doctor Zhivago "/>
        <s v="Mrs Henderson Presents "/>
        <s v="Kung Fu Killer "/>
        <s v="Very Bad Things "/>
        <s v="White Noise "/>
        <s v="Miracle at St. Anna "/>
        <s v="Miss Congeniality 2: Armed and Fabulous "/>
        <s v="The Grudge 2 "/>
        <s v="Antz "/>
        <s v="The Broadway Melody "/>
        <s v="Valkyrie "/>
        <s v="Slums of Beverly Hills "/>
        <s v="Big Momma's House 2 "/>
        <s v="The Life of David Gale "/>
        <s v="Life of Pi "/>
        <s v="Eat Pray Love "/>
        <s v="The Cell "/>
        <s v="Monsters, Inc. "/>
        <s v="Who's Your Caddy? "/>
        <s v="Dirty Pretty Things "/>
        <s v="Never Back Down "/>
        <s v="The Bridges of Madison County "/>
        <s v="The Blair Witch Project "/>
        <s v="Lara Croft Tomb Raider: The Cradle of Life "/>
        <s v="Lost in Space "/>
        <s v="Slow Burn "/>
        <s v="Despicable Me 2 "/>
        <s v="A Good Day to Die Hard "/>
        <s v="Die Another Day "/>
        <s v="Starsky &amp; Hutch "/>
        <s v="All the Queen's Men "/>
        <s v="The Pianist "/>
        <s v="Mirrormask "/>
        <s v="City of Ghosts "/>
        <s v="The Addams Family "/>
        <s v="Mystery Men "/>
        <s v="Traffic "/>
        <s v="Kung Fu Panda 2 "/>
        <s v="Ruby in Paradise "/>
        <s v="Big Fish "/>
        <s v="I Don't Know How She Does It "/>
        <s v="Running with Scissors "/>
        <s v="Kung Fu Panda 3 "/>
        <s v="Furry Vengeance "/>
        <s v="Blackhat "/>
        <s v="The Interview "/>
        <s v="Vera Drake "/>
        <s v="Surrogates "/>
        <s v="Spirit: Stallion of the Cimarron "/>
        <s v="One Direction: This Is Us "/>
        <s v="Diary of the Dead "/>
        <s v="Rain Man "/>
        <s v="The Adventures of Ford Fairlane "/>
        <s v="On the Waterfront "/>
        <s v="The Man Who Knew Too Little "/>
        <s v="The Book of Life "/>
        <s v="Wendy and Lucy "/>
        <s v="Spectre "/>
        <s v="Mean Streets "/>
        <s v="Once Upon a Time in America "/>
        <s v="The Purge: Anarchy "/>
        <s v="Silent Hill "/>
        <s v="Toy Story 3 "/>
        <s v="No Reservations "/>
        <s v="Jaws 2 "/>
        <s v="BloodRayne "/>
        <s v="The Lizzie McGuire Movie "/>
        <s v="Now You See Me "/>
        <s v="42 "/>
        <s v="Shadow Conspiracy "/>
        <s v="Synecdoche, New York "/>
        <s v="Me Before You "/>
        <s v="Nacho Libre "/>
        <s v="Resident Evil: Retribution "/>
        <s v="Terminator Salvation "/>
        <s v="The Young Victoria "/>
        <s v="Light Sleeper "/>
        <s v="Unbreakable "/>
        <s v="Do You Believe? "/>
        <s v="Trucker "/>
        <s v="Air Bud "/>
        <s v="Silver Linings Playbook "/>
        <s v="The Running Man "/>
        <s v="Undisputed "/>
        <s v="Fireproof "/>
        <s v="The Sweet Hereafter "/>
        <s v="High Tension "/>
        <s v="Journey from the Fall "/>
        <s v="Alvin and the Chipmunks "/>
        <s v="The Expendables "/>
        <s v="The Hunted "/>
        <s v="The Negotiator "/>
        <s v="There Will Be Blood "/>
        <s v="Varsity Blues "/>
        <s v="Focus "/>
        <s v="Warm Bodies "/>
        <s v="Airplane! "/>
        <s v="Twister "/>
        <s v="Final Destination 3 "/>
        <s v="MacGruber "/>
        <s v="Apollo 13 "/>
        <s v="A Few Good Men "/>
        <s v="A Lot Like Love "/>
        <s v="Unaccompanied Minors "/>
        <s v="Salt "/>
        <s v="Curse of the Golden Flower "/>
        <s v="Signs "/>
        <s v="Old Dogs "/>
        <s v="Changeling "/>
        <s v="Reservoir Dogs "/>
        <s v="The Mist "/>
        <s v="Tootsie "/>
        <s v="From a Whisper to a Scream "/>
        <s v="Snow Falling on Cedars "/>
        <s v="The Silence of the Lambs "/>
        <s v="The Fast and the Furious: Tokyo Drift "/>
        <s v="Million Dollar Baby "/>
        <s v="The Best Exotic Marigold Hotel "/>
        <s v="Van Wilder: Party Liaison "/>
        <s v="Harvard Man "/>
        <s v="Meet the Parents "/>
        <s v="Deep Impact "/>
        <s v="Vampire in Brooklyn "/>
        <s v="The Wraith "/>
        <s v="Hollywood Ending "/>
        <s v="City by the Sea "/>
        <s v="Face/Off "/>
        <s v="Steve Jobs "/>
        <s v="Memoirs of an Invisible Man "/>
        <s v="Critical Care "/>
        <s v="Executive Decision "/>
        <s v="Kill the Messenger "/>
        <s v="Mrs. Winterbourne "/>
        <s v="Batman Begins "/>
        <s v="Garfield "/>
        <s v="Stir of Echoes "/>
        <s v="We Own the Night "/>
        <s v="The BFG "/>
        <s v="12 Years a Slave "/>
        <s v="Civil Brand "/>
        <s v="How to Be Single "/>
        <s v="Unfaithful "/>
        <s v="Road House "/>
        <s v="Joy "/>
        <s v="World War Z "/>
        <s v="30 Days of Night "/>
        <s v="Spy Kids 3-D: Game Over "/>
        <s v="Love in the Time of Cholera "/>
        <s v="Sicko "/>
        <s v="The Other End of the Line "/>
        <s v="He's Just Not That Into You "/>
        <s v="Wicker Park "/>
        <s v="Scary Movie 5 "/>
        <s v="The Lucky One "/>
        <s v="Election "/>
        <s v="The Immigrant "/>
        <s v="Snow Dogs "/>
        <s v="Blonde Ambition "/>
        <s v="Jumper "/>
        <s v="Les MisÃ©rables "/>
        <s v="Edmond "/>
        <s v="Sicario "/>
        <s v="This Is England "/>
        <s v="Control "/>
        <s v="Poultrygeist: Night of the Chicken Dead "/>
        <s v="Starship Troopers "/>
        <s v="Ballistic: Ecks vs. Sever "/>
        <s v="The Toxic Avenger Part II "/>
        <s v="Harry Potter and the Sorcerer's Stone "/>
        <s v="Vertical Limit "/>
        <s v="Ghosts of Mars "/>
        <s v="Knock Off "/>
        <s v="Antwone Fisher "/>
        <s v="Case 39 "/>
        <s v="Aliens in the Attic "/>
        <s v="No Strings Attached "/>
        <s v="You, Me and Dupree "/>
        <s v="Drop Dead Gorgeous "/>
        <s v="Midnight Run "/>
        <s v="The Howling "/>
        <s v="The Descent "/>
        <s v="The Last Witch Hunter "/>
        <s v="Screwed "/>
        <s v="Another Year "/>
        <s v="Big "/>
        <s v="The Smurfs "/>
        <s v="The Jimmy Show "/>
        <s v="Romeo Is Bleeding "/>
        <s v="Mad Max 2: The Road Warrior "/>
        <s v="Liar Liar "/>
        <s v="The Twilight Saga: Breaking Dawn - Part 2 "/>
        <s v="The Horse Boy "/>
        <s v="The Beaver "/>
        <s v="Captain Corelli's Mandolin "/>
        <s v="Prince of Persia: The Sands of Time "/>
        <s v="Interstellar "/>
        <s v="Why Did I Get Married? "/>
        <s v="The Crocodile Hunter: Collision Course "/>
        <s v="The Verdict "/>
        <s v="Witchboard "/>
        <s v="Why Did I Get Married Too? "/>
        <s v="The Bourne Supremacy "/>
        <s v="Hostel "/>
        <s v="Creed "/>
        <s v="Creative Control "/>
        <s v="The Skulls "/>
        <s v="Rescue Dawn "/>
        <s v="Nancy Drew "/>
        <s v="Get Low "/>
        <s v="What Dreams May Come "/>
        <s v="For Your Eyes Only "/>
        <s v="The X Files "/>
        <s v="District 9 "/>
        <s v="Bamboozled "/>
        <s v="Notting Hill "/>
        <s v="The Others "/>
        <s v="The Producers "/>
        <s v="Dark City "/>
        <s v="Grudge Match "/>
        <s v="Analyze That "/>
        <s v="The Exorcist "/>
        <s v="Wild Wild West "/>
        <s v="Cry_Wolf "/>
        <s v="W. "/>
        <s v="Harry Potter and the Goblet of Fire "/>
        <s v="The Adventures of Pinocchio "/>
        <s v="Madagascar "/>
        <s v="The Act of Killing "/>
        <s v="The Duchess "/>
        <s v="The Adventures of Elmo in Grouchland "/>
        <s v="Contact "/>
        <s v="Friday After Next "/>
        <s v="Albert Nobbs "/>
        <s v="Patriot Games "/>
        <s v="The Sum of All Fears "/>
        <s v="When the Game Stands Tall "/>
        <s v="Code Name: The Cleaner "/>
        <s v="September Dawn "/>
        <s v="All the King's Men "/>
        <s v="Julie &amp; Julia "/>
        <s v="Eve's Bayou "/>
        <s v="Waltz with Bashir "/>
        <s v="Body of Lies "/>
        <s v="The Hunting Party "/>
        <s v="Dark Water "/>
        <s v="Selma "/>
        <s v="Take the Lead "/>
        <s v="Teenage Mutant Ninja Turtles II: The Secret of the Ooze "/>
        <s v="Virtuosity "/>
        <s v="The Greatest Story Ever Told "/>
        <s v="Quigley Down Under "/>
        <s v="City of Life and Death "/>
        <s v="Mean Creek "/>
        <s v="The Benchwarmers "/>
        <s v="My Soul to Take "/>
        <s v="The Witch "/>
        <s v="Kung Fu Hustle "/>
        <s v="Semi-Pro "/>
        <s v="Green Zone "/>
        <s v="Nothing But a Man "/>
        <s v="Bless the Child "/>
        <s v="Central Intelligence "/>
        <s v="21 &amp; Over "/>
        <s v="Brown Sugar "/>
        <s v="Ex Machina "/>
        <s v="Stardust "/>
        <s v="The Impossible "/>
        <s v="The Amazing Spider-Man 2 "/>
        <s v="Blue Car "/>
        <s v="The Firm "/>
        <s v="Paul Blart: Mall Cop "/>
        <s v="Howard the Duck "/>
      </sharedItems>
    </cacheField>
    <cacheField name="num_voted_users" numFmtId="0">
      <sharedItems containsSemiMixedTypes="0" containsString="0" containsNumber="1" containsInteger="1">
        <n v="20615.0"/>
        <n v="33958.0"/>
        <n v="36636.0"/>
        <n v="147566.0"/>
        <n v="81866.0"/>
        <n v="53118.0"/>
        <n v="1324680.0"/>
        <n v="55749.0"/>
        <n v="70341.0"/>
        <n v="63923.0"/>
        <n v="292022.0"/>
        <n v="23202.0"/>
        <n v="176606.0"/>
        <n v="505.0"/>
        <n v="13048.0"/>
        <n v="30092.0"/>
        <n v="3479.0"/>
        <n v="42761.0"/>
        <n v="98899.0"/>
        <n v="3258.0"/>
        <n v="11375.0"/>
        <n v="352695.0"/>
        <n v="1119.0"/>
        <n v="87739.0"/>
        <n v="27648.0"/>
        <n v="149285.0"/>
        <n v="6919.0"/>
        <n v="35066.0"/>
        <n v="10139.0"/>
        <n v="30119.0"/>
        <n v="164238.0"/>
        <n v="215255.0"/>
        <n v="488537.0"/>
        <n v="72867.0"/>
        <n v="107815.0"/>
        <n v="208092.0"/>
        <n v="61269.0"/>
        <n v="6046.0"/>
        <n v="3024.0"/>
        <n v="148280.0"/>
        <n v="2004.0"/>
        <n v="16747.0"/>
        <n v="23334.0"/>
        <n v="45703.0"/>
        <n v="44168.0"/>
        <n v="69790.0"/>
        <n v="3611.0"/>
        <n v="146019.0"/>
        <n v="184637.0"/>
        <n v="3924.0"/>
        <n v="59232.0"/>
        <n v="10018.0"/>
        <n v="78343.0"/>
        <n v="189806.0"/>
        <n v="35654.0"/>
        <n v="102071.0"/>
        <n v="22800.0"/>
        <n v="704.0"/>
        <n v="211971.0"/>
        <n v="65299.0"/>
        <n v="186984.0"/>
        <n v="256928.0"/>
        <n v="15200.0"/>
        <n v="7116.0"/>
        <n v="61680.0"/>
        <n v="188652.0"/>
        <n v="97087.0"/>
        <n v="31760.0"/>
        <n v="149922.0"/>
        <n v="12399.0"/>
        <n v="229574.0"/>
        <n v="14301.0"/>
        <n v="2038.0"/>
        <n v="27191.0"/>
        <n v="148172.0"/>
        <n v="9051.0"/>
        <n v="537442.0"/>
        <n v="92789.0"/>
        <n v="26905.0"/>
        <n v="3407.0"/>
        <n v="5557.0"/>
        <n v="18209.0"/>
        <n v="100001.0"/>
        <n v="24183.0"/>
        <n v="6797.0"/>
        <n v="13371.0"/>
        <n v="135404.0"/>
        <n v="80617.0"/>
        <n v="63363.0"/>
        <n v="183425.0"/>
        <n v="5254.0"/>
        <n v="56451.0"/>
        <n v="11369.0"/>
        <n v="64944.0"/>
        <n v="50311.0"/>
        <n v="50170.0"/>
        <n v="134458.0"/>
        <n v="143696.0"/>
        <n v="159868.0"/>
        <n v="6632.0"/>
        <n v="720.0"/>
        <n v="265818.0"/>
        <n v="63969.0"/>
        <n v="111368.0"/>
        <n v="106221.0"/>
        <n v="6476.0"/>
        <n v="67191.0"/>
        <n v="8039.0"/>
        <n v="24019.0"/>
        <n v="27301.0"/>
        <n v="190786.0"/>
        <n v="18286.0"/>
        <n v="142440.0"/>
        <n v="29285.0"/>
        <n v="314630.0"/>
        <n v="98199.0"/>
        <n v="58658.0"/>
        <n v="467613.0"/>
        <n v="58260.0"/>
        <n v="155153.0"/>
        <n v="2215.0"/>
        <n v="43574.0"/>
        <n v="33042.0"/>
        <n v="15104.0"/>
        <n v="64794.0"/>
        <n v="258186.0"/>
        <n v="68417.0"/>
        <n v="38459.0"/>
        <n v="238671.0"/>
        <n v="38399.0"/>
        <n v="80639.0"/>
        <n v="2164.0"/>
        <n v="101888.0"/>
        <n v="131217.0"/>
        <n v="128010.0"/>
        <n v="329969.0"/>
        <n v="137854.0"/>
        <n v="123558.0"/>
        <n v="9361.0"/>
        <n v="534262.0"/>
        <n v="30055.0"/>
        <n v="64748.0"/>
        <n v="34449.0"/>
        <n v="277451.0"/>
        <n v="34592.0"/>
        <n v="116159.0"/>
        <n v="4894.0"/>
        <n v="86902.0"/>
        <n v="12278.0"/>
        <n v="9227.0"/>
        <n v="12263.0"/>
        <n v="24412.0"/>
        <n v="503631.0"/>
        <n v="25346.0"/>
        <n v="74351.0"/>
        <n v="71137.0"/>
        <n v="92074.0"/>
        <n v="26832.0"/>
        <n v="15817.0"/>
        <n v="11077.0"/>
        <n v="40751.0"/>
        <n v="4996.0"/>
        <n v="23940.0"/>
        <n v="162701.0"/>
        <n v="53028.0"/>
        <n v="17757.0"/>
        <n v="83786.0"/>
        <n v="182899.0"/>
        <n v="341058.0"/>
        <n v="881236.0"/>
        <n v="6142.0"/>
        <n v="1618.0"/>
        <n v="5431.0"/>
        <n v="146352.0"/>
        <n v="5116.0"/>
        <n v="101221.0"/>
        <n v="57100.0"/>
        <n v="13762.0"/>
        <n v="127258.0"/>
        <n v="4695.0"/>
        <n v="88132.0"/>
        <n v="23916.0"/>
        <n v="9750.0"/>
        <n v="74009.0"/>
        <n v="252257.0"/>
        <n v="421818.0"/>
        <n v="1950.0"/>
        <n v="54010.0"/>
        <n v="254111.0"/>
        <n v="120798.0"/>
        <n v="77390.0"/>
        <n v="69569.0"/>
        <n v="54657.0"/>
        <n v="152306.0"/>
        <n v="15352.0"/>
        <n v="15730.0"/>
        <n v="54346.0"/>
        <n v="11768.0"/>
        <n v="58349.0"/>
        <n v="190030.0"/>
        <n v="12007.0"/>
        <n v="66308.0"/>
        <n v="19505.0"/>
        <n v="82380.0"/>
        <n v="37446.0"/>
        <n v="321283.0"/>
        <n v="74343.0"/>
        <n v="76010.0"/>
        <n v="18973.0"/>
        <n v="19699.0"/>
        <n v="86347.0"/>
        <n v="19331.0"/>
        <n v="67395.0"/>
        <n v="375456.0"/>
        <n v="1758.0"/>
        <n v="19829.0"/>
        <n v="254841.0"/>
        <n v="448.0"/>
        <n v="80305.0"/>
        <n v="42705.0"/>
        <n v="29661.0"/>
        <n v="739.0"/>
        <n v="316018.0"/>
        <n v="85028.0"/>
        <n v="3571.0"/>
        <n v="16562.0"/>
        <n v="57446.0"/>
        <n v="321795.0"/>
        <n v="193770.0"/>
        <n v="1100446.0"/>
        <n v="11668.0"/>
        <n v="11074.0"/>
        <n v="62607.0"/>
        <n v="8346.0"/>
        <n v="106098.0"/>
        <n v="21530.0"/>
        <n v="5143.0"/>
        <n v="77724.0"/>
        <n v="11965.0"/>
        <n v="8055.0"/>
        <n v="11232.0"/>
        <n v="5863.0"/>
        <n v="10564.0"/>
        <n v="88035.0"/>
        <n v="15517.0"/>
        <n v="269858.0"/>
        <n v="142293.0"/>
        <n v="899.0"/>
        <n v="80861.0"/>
        <n v="60573.0"/>
        <n v="232187.0"/>
        <n v="58137.0"/>
        <n v="52029.0"/>
        <n v="148238.0"/>
        <n v="23671.0"/>
        <n v="49721.0"/>
        <n v="139114.0"/>
        <n v="36542.0"/>
        <n v="183909.0"/>
        <n v="1721.0"/>
        <n v="130070.0"/>
        <n v="80870.0"/>
        <n v="14962.0"/>
        <n v="59805.0"/>
        <n v="171792.0"/>
        <n v="49680.0"/>
        <n v="125114.0"/>
        <n v="226570.0"/>
        <n v="5928.0"/>
        <n v="85629.0"/>
        <n v="78392.0"/>
        <n v="90360.0"/>
        <n v="355810.0"/>
        <n v="70136.0"/>
        <n v="288451.0"/>
        <n v="77673.0"/>
        <n v="11233.0"/>
        <n v="15385.0"/>
        <n v="78974.0"/>
        <n v="30643.0"/>
        <n v="5176.0"/>
        <n v="704766.0"/>
        <n v="45497.0"/>
        <n v="62038.0"/>
        <n v="73006.0"/>
        <n v="5489.0"/>
        <n v="189855.0"/>
        <n v="48973.0"/>
        <n v="149019.0"/>
        <n v="449.0"/>
        <n v="7569.0"/>
        <n v="40305.0"/>
        <n v="18723.0"/>
        <n v="9868.0"/>
        <n v="64387.0"/>
        <n v="74249.0"/>
        <n v="911097.0"/>
        <n v="11202.0"/>
        <n v="45455.0"/>
        <n v="19671.0"/>
        <n v="39529.0"/>
        <n v="24104.0"/>
        <n v="34203.0"/>
        <n v="28629.0"/>
        <n v="36666.0"/>
        <n v="740918.0"/>
        <n v="334345.0"/>
        <n v="5187.0"/>
        <n v="149066.0"/>
        <n v="1520.0"/>
        <n v="49855.0"/>
        <n v="29323.0"/>
        <n v="10585.0"/>
        <n v="12706.0"/>
        <n v="383071.0"/>
        <n v="1468200.0"/>
        <n v="5709.0"/>
        <n v="13523.0"/>
        <n v="44891.0"/>
        <n v="14325.0"/>
        <n v="256695.0"/>
        <n v="1238.0"/>
        <n v="310903.0"/>
        <n v="140740.0"/>
        <n v="167089.0"/>
        <n v="144337.0"/>
        <n v="162037.0"/>
        <n v="17859.0"/>
        <n v="61995.0"/>
        <n v="154955.0"/>
        <n v="76477.0"/>
        <n v="19832.0"/>
        <n v="65201.0"/>
        <n v="85673.0"/>
        <n v="43651.0"/>
        <n v="1347461.0"/>
        <n v="90070.0"/>
        <n v="22639.0"/>
        <n v="34473.0"/>
        <n v="71782.0"/>
        <n v="77987.0"/>
        <n v="207613.0"/>
        <n v="5166.0"/>
        <n v="86556.0"/>
        <n v="44453.0"/>
        <n v="10220.0"/>
        <n v="34191.0"/>
        <n v="55398.0"/>
        <n v="244566.0"/>
        <n v="217373.0"/>
        <n v="152247.0"/>
        <n v="18366.0"/>
        <n v="175524.0"/>
        <n v="111658.0"/>
        <n v="14280.0"/>
        <n v="71202.0"/>
        <n v="50523.0"/>
        <n v="11156.0"/>
        <n v="182661.0"/>
        <n v="174591.0"/>
        <n v="21379.0"/>
        <n v="146364.0"/>
        <n v="809474.0"/>
        <n v="106160.0"/>
        <n v="110486.0"/>
        <n v="38348.0"/>
        <n v="470483.0"/>
        <n v="58227.0"/>
        <n v="3675.0"/>
        <n v="34942.0"/>
        <n v="100821.0"/>
        <n v="42182.0"/>
        <n v="139288.0"/>
        <n v="161471.0"/>
        <n v="60926.0"/>
        <n v="36624.0"/>
        <n v="29341.0"/>
        <n v="56269.0"/>
        <n v="32416.0"/>
        <n v="19986.0"/>
        <n v="70698.0"/>
        <n v="36657.0"/>
        <n v="7367.0"/>
        <n v="98472.0"/>
        <n v="1940.0"/>
        <n v="2541.0"/>
        <n v="708.0"/>
        <n v="2256.0"/>
        <n v="13913.0"/>
        <n v="462669.0"/>
        <n v="87682.0"/>
        <n v="13319.0"/>
        <n v="21359.0"/>
        <n v="3340.0"/>
        <n v="783.0"/>
        <n v="91017.0"/>
        <n v="57363.0"/>
        <n v="314033.0"/>
        <n v="12676.0"/>
        <n v="6200.0"/>
        <n v="17478.0"/>
        <n v="14548.0"/>
        <n v="48806.0"/>
        <n v="106909.0"/>
        <n v="84508.0"/>
        <n v="35833.0"/>
        <n v="406020.0"/>
        <n v="72868.0"/>
        <n v="8885.0"/>
        <n v="47203.0"/>
        <n v="185587.0"/>
        <n v="47900.0"/>
        <n v="31915.0"/>
        <n v="58871.0"/>
        <n v="1290.0"/>
        <n v="126907.0"/>
        <n v="10483.0"/>
        <n v="113483.0"/>
        <n v="66123.0"/>
        <n v="301149.0"/>
        <n v="207287.0"/>
        <n v="21079.0"/>
        <n v="9395.0"/>
        <n v="19586.0"/>
        <n v="26156.0"/>
        <n v="14995.0"/>
        <n v="32311.0"/>
        <n v="64121.0"/>
        <n v="525801.0"/>
        <n v="56813.0"/>
        <n v="110616.0"/>
        <n v="34520.0"/>
        <n v="57996.0"/>
        <n v="25055.0"/>
        <n v="24757.0"/>
        <n v="30230.0"/>
        <n v="266103.0"/>
        <n v="107923.0"/>
        <n v="21223.0"/>
        <n v="145321.0"/>
        <n v="32353.0"/>
        <n v="28005.0"/>
        <n v="56264.0"/>
        <n v="46031.0"/>
        <n v="26513.0"/>
        <n v="38503.0"/>
        <n v="117927.0"/>
        <n v="9338.0"/>
        <n v="10037.0"/>
        <n v="195255.0"/>
        <n v="16617.0"/>
        <n v="16385.0"/>
        <n v="43764.0"/>
        <n v="26767.0"/>
        <n v="160440.0"/>
        <n v="53057.0"/>
        <n v="94172.0"/>
        <n v="43376.0"/>
        <n v="135246.0"/>
        <n v="96129.0"/>
        <n v="47814.0"/>
        <n v="11088.0"/>
        <n v="55889.0"/>
        <n v="30096.0"/>
        <n v="58412.0"/>
        <n v="47227.0"/>
        <n v="18254.0"/>
        <n v="52052.0"/>
        <n v="142416.0"/>
        <n v="613473.0"/>
        <n v="4182.0"/>
        <n v="126357.0"/>
        <n v="225282.0"/>
        <n v="13269.0"/>
        <n v="102123.0"/>
        <n v="112516.0"/>
        <n v="47320.0"/>
        <n v="145974.0"/>
        <n v="115650.0"/>
        <n v="20033.0"/>
        <n v="7721.0"/>
        <n v="115099.0"/>
        <n v="206104.0"/>
        <n v="42644.0"/>
        <n v="234480.0"/>
        <n v="219008.0"/>
        <n v="19805.0"/>
        <n v="17124.0"/>
        <n v="3740.0"/>
        <n v="270441.0"/>
        <n v="24038.0"/>
        <n v="39659.0"/>
        <n v="4767.0"/>
        <n v="48562.0"/>
        <n v="34948.0"/>
        <n v="351274.0"/>
        <n v="8307.0"/>
        <n v="573541.0"/>
        <n v="11403.0"/>
        <n v="185845.0"/>
        <n v="60230.0"/>
        <n v="93790.0"/>
        <n v="30840.0"/>
        <n v="5159.0"/>
        <n v="104066.0"/>
        <n v="48458.0"/>
        <n v="175607.0"/>
        <n v="186485.0"/>
        <n v="64742.0"/>
        <n v="451803.0"/>
        <n v="53977.0"/>
        <n v="18966.0"/>
        <n v="75176.0"/>
        <n v="55895.0"/>
        <n v="259492.0"/>
        <n v="1524.0"/>
        <n v="44838.0"/>
        <n v="40862.0"/>
        <n v="107817.0"/>
        <n v="504419.0"/>
        <n v="61787.0"/>
        <n v="24216.0"/>
        <n v="283418.0"/>
        <n v="667983.0"/>
        <n v="9323.0"/>
        <n v="212499.0"/>
        <n v="81523.0"/>
        <n v="515306.0"/>
        <n v="2302.0"/>
        <n v="119974.0"/>
        <n v="8560.0"/>
        <n v="62770.0"/>
        <n v="1144337.0"/>
        <n v="18693.0"/>
        <n v="343274.0"/>
        <n v="873649.0"/>
        <n v="173551.0"/>
        <n v="119928.0"/>
        <n v="25681.0"/>
        <n v="1238746.0"/>
        <n v="813.0"/>
        <n v="13562.0"/>
        <n v="76303.0"/>
        <n v="27580.0"/>
        <n v="7143.0"/>
        <n v="204327.0"/>
        <n v="66941.0"/>
        <n v="122347.0"/>
        <n v="33067.0"/>
        <n v="54390.0"/>
        <n v="42296.0"/>
        <n v="13320.0"/>
        <n v="450676.0"/>
        <n v="12845.0"/>
        <n v="46396.0"/>
        <n v="47502.0"/>
        <n v="131831.0"/>
        <n v="11132.0"/>
        <n v="21283.0"/>
        <n v="91863.0"/>
        <n v="51459.0"/>
        <n v="85903.0"/>
        <n v="3851.0"/>
        <n v="59352.0"/>
        <n v="173530.0"/>
        <n v="79855.0"/>
        <n v="32002.0"/>
        <n v="127497.0"/>
        <n v="33473.0"/>
        <n v="682155.0"/>
        <n v="18792.0"/>
        <n v="146134.0"/>
        <n v="211226.0"/>
        <n v="86956.0"/>
        <n v="68428.0"/>
        <n v="15664.0"/>
        <n v="22457.0"/>
        <n v="213863.0"/>
        <n v="26773.0"/>
        <n v="80574.0"/>
        <n v="437418.0"/>
        <n v="7314.0"/>
        <n v="65044.0"/>
        <n v="29715.0"/>
        <n v="114407.0"/>
        <n v="24969.0"/>
        <n v="50389.0"/>
        <n v="14147.0"/>
        <n v="185878.0"/>
        <n v="11212.0"/>
        <n v="65979.0"/>
        <n v="166791.0"/>
        <n v="17322.0"/>
        <n v="238916.0"/>
        <n v="9541.0"/>
        <n v="6384.0"/>
        <n v="35718.0"/>
        <n v="86152.0"/>
        <n v="99430.0"/>
        <n v="10413.0"/>
        <n v="7277.0"/>
        <n v="40123.0"/>
        <n v="57140.0"/>
        <n v="46951.0"/>
        <n v="101178.0"/>
        <n v="427357.0"/>
        <n v="3411.0"/>
        <n v="143137.0"/>
        <n v="190990.0"/>
        <n v="74315.0"/>
        <n v="170179.0"/>
        <n v="44248.0"/>
        <n v="81298.0"/>
        <n v="5772.0"/>
        <n v="665575.0"/>
        <n v="323353.0"/>
        <n v="9649.0"/>
        <n v="61396.0"/>
        <n v="30570.0"/>
        <n v="42792.0"/>
        <n v="91640.0"/>
        <n v="28964.0"/>
        <n v="75669.0"/>
        <n v="44502.0"/>
        <n v="31429.0"/>
        <n v="17722.0"/>
        <n v="111609.0"/>
        <n v="72324.0"/>
        <n v="43378.0"/>
        <n v="113963.0"/>
        <n v="34258.0"/>
        <n v="190490.0"/>
        <n v="2427.0"/>
        <n v="39956.0"/>
        <n v="110788.0"/>
        <n v="163492.0"/>
        <n v="293304.0"/>
        <n v="104301.0"/>
        <n v="24438.0"/>
        <n v="28855.0"/>
        <n v="4555.0"/>
        <n v="53132.0"/>
        <n v="107801.0"/>
        <n v="23345.0"/>
        <n v="171418.0"/>
        <n v="124185.0"/>
        <n v="51326.0"/>
        <n v="9566.0"/>
        <n v="5.0"/>
        <n v="166610.0"/>
        <n v="16611.0"/>
        <n v="25344.0"/>
        <n v="148334.0"/>
        <n v="9494.0"/>
        <n v="55617.0"/>
        <n v="22811.0"/>
        <n v="264533.0"/>
        <n v="9104.0"/>
        <n v="9037.0"/>
        <n v="60596.0"/>
        <n v="90827.0"/>
        <n v="120036.0"/>
        <n v="14596.0"/>
        <n v="305340.0"/>
        <n v="12549.0"/>
        <n v="69457.0"/>
        <n v="87351.0"/>
        <n v="178731.0"/>
        <n v="247289.0"/>
        <n v="51892.0"/>
        <n v="75973.0"/>
        <n v="58906.0"/>
        <n v="40274.0"/>
        <n v="6276.0"/>
        <n v="27882.0"/>
        <n v="399651.0"/>
        <n v="25019.0"/>
        <n v="60572.0"/>
        <n v="31649.0"/>
        <n v="382240.0"/>
        <n v="4065.0"/>
        <n v="26598.0"/>
        <n v="236421.0"/>
        <n v="3942.0"/>
        <n v="230931.0"/>
        <n v="235133.0"/>
        <n v="14985.0"/>
        <n v="21202.0"/>
        <n v="65668.0"/>
        <n v="272223.0"/>
        <n v="90046.0"/>
        <n v="8427.0"/>
        <n v="191470.0"/>
        <n v="522040.0"/>
        <n v="291603.0"/>
        <n v="283563.0"/>
        <n v="29008.0"/>
        <n v="16445.0"/>
        <n v="268154.0"/>
        <n v="272534.0"/>
        <n v="2580.0"/>
        <n v="79146.0"/>
        <n v="435864.0"/>
        <n v="107557.0"/>
        <n v="27800.0"/>
        <n v="27378.0"/>
        <n v="155496.0"/>
        <n v="2458.0"/>
        <n v="46205.0"/>
        <n v="164148.0"/>
        <n v="56605.0"/>
        <n v="2412.0"/>
        <n v="6782.0"/>
        <n v="5548.0"/>
        <n v="12601.0"/>
        <n v="101977.0"/>
        <n v="1884.0"/>
        <n v="6147.0"/>
        <n v="235025.0"/>
        <n v="175409.0"/>
        <n v="42664.0"/>
        <n v="57210.0"/>
        <n v="12631.0"/>
        <n v="60988.0"/>
        <n v="101834.0"/>
        <n v="21352.0"/>
        <n v="96233.0"/>
        <n v="52852.0"/>
        <n v="10476.0"/>
        <n v="25465.0"/>
        <n v="4288.0"/>
        <n v="68565.0"/>
        <n v="422432.0"/>
        <n v="27536.0"/>
        <n v="75573.0"/>
        <n v="84070.0"/>
        <n v="12383.0"/>
        <n v="16299.0"/>
        <n v="72259.0"/>
        <n v="203458.0"/>
        <n v="229679.0"/>
        <n v="192462.0"/>
        <n v="4265.0"/>
        <n v="34383.0"/>
        <n v="51349.0"/>
        <n v="118684.0"/>
        <n v="136973.0"/>
        <n v="222099.0"/>
        <n v="6025.0"/>
        <n v="5507.0"/>
        <n v="31791.0"/>
        <n v="14015.0"/>
        <n v="24735.0"/>
        <n v="75152.0"/>
        <n v="5321.0"/>
        <n v="188457.0"/>
        <n v="22844.0"/>
        <n v="306320.0"/>
        <n v="7025.0"/>
        <n v="43358.0"/>
        <n v="5161.0"/>
        <n v="73501.0"/>
        <n v="32671.0"/>
        <n v="72443.0"/>
        <n v="259379.0"/>
        <n v="19336.0"/>
        <n v="701607.0"/>
        <n v="8904.0"/>
        <n v="100837.0"/>
        <n v="24790.0"/>
        <n v="8023.0"/>
        <n v="2676.0"/>
        <n v="23747.0"/>
        <n v="260981.0"/>
        <n v="15052.0"/>
        <n v="7894.0"/>
        <n v="44788.0"/>
        <n v="148490.0"/>
        <n v="28606.0"/>
        <n v="18561.0"/>
        <n v="138863.0"/>
        <n v="136048.0"/>
        <n v="33887.0"/>
        <n v="311075.0"/>
        <n v="63855.0"/>
        <n v="106528.0"/>
        <n v="5674.0"/>
        <n v="113451.0"/>
        <n v="326494.0"/>
        <n v="117212.0"/>
        <n v="70382.0"/>
        <n v="21409.0"/>
        <n v="1398.0"/>
        <n v="11388.0"/>
        <n v="17307.0"/>
        <n v="14904.0"/>
        <n v="54478.0"/>
        <n v="13086.0"/>
        <n v="146766.0"/>
        <n v="12233.0"/>
        <n v="11693.0"/>
        <n v="39541.0"/>
        <n v="168398.0"/>
        <n v="85531.0"/>
        <n v="7904.0"/>
        <n v="26100.0"/>
        <n v="70292.0"/>
        <n v="4100.0"/>
        <n v="150618.0"/>
        <n v="580999.0"/>
        <n v="400292.0"/>
        <n v="126746.0"/>
        <n v="185258.0"/>
        <n v="36363.0"/>
        <n v="11634.0"/>
        <n v="412454.0"/>
        <n v="113068.0"/>
        <n v="116910.0"/>
        <n v="181737.0"/>
        <n v="45102.0"/>
        <n v="111625.0"/>
        <n v="124501.0"/>
        <n v="88451.0"/>
        <n v="227824.0"/>
        <n v="224671.0"/>
        <n v="76267.0"/>
        <n v="100571.0"/>
        <n v="77305.0"/>
        <n v="9830.0"/>
        <n v="10791.0"/>
        <n v="46158.0"/>
        <n v="60467.0"/>
        <n v="27492.0"/>
        <n v="95367.0"/>
        <n v="21933.0"/>
        <n v="110432.0"/>
        <n v="71919.0"/>
        <n v="54101.0"/>
        <n v="187181.0"/>
        <n v="330152.0"/>
        <n v="477300.0"/>
        <n v="64682.0"/>
        <n v="8295.0"/>
        <n v="65499.0"/>
        <n v="139329.0"/>
        <n v="37269.0"/>
        <n v="13190.0"/>
        <n v="1573.0"/>
        <n v="6528.0"/>
        <n v="104481.0"/>
        <n v="34730.0"/>
        <n v="26051.0"/>
        <n v="49300.0"/>
        <n v="6808.0"/>
        <n v="3579.0"/>
        <n v="77394.0"/>
        <n v="89403.0"/>
        <n v="8546.0"/>
        <n v="137377.0"/>
        <n v="28807.0"/>
        <n v="94407.0"/>
        <n v="217740.0"/>
        <n v="313797.0"/>
        <n v="3086.0"/>
        <n v="89568.0"/>
        <n v="101411.0"/>
        <n v="72803.0"/>
        <n v="4757.0"/>
        <n v="222018.0"/>
        <n v="140499.0"/>
        <n v="47988.0"/>
        <n v="15843.0"/>
        <n v="2715.0"/>
        <n v="76828.0"/>
        <n v="36491.0"/>
        <n v="48225.0"/>
        <n v="18042.0"/>
        <n v="31130.0"/>
        <n v="15231.0"/>
        <n v="9424.0"/>
        <n v="35314.0"/>
        <n v="114797.0"/>
        <n v="2631.0"/>
        <n v="1661.0"/>
        <n v="272839.0"/>
        <n v="23696.0"/>
        <n v="91176.0"/>
        <n v="4972.0"/>
        <n v="25572.0"/>
        <n v="24854.0"/>
        <n v="96565.0"/>
        <n v="208422.0"/>
        <n v="6011.0"/>
        <n v="34079.0"/>
        <n v="76016.0"/>
        <n v="4081.0"/>
        <n v="430055.0"/>
        <n v="6095.0"/>
        <n v="4180.0"/>
        <n v="248123.0"/>
        <n v="3135.0"/>
        <n v="219171.0"/>
        <n v="210542.0"/>
        <n v="156143.0"/>
        <n v="49405.0"/>
        <n v="24145.0"/>
        <n v="23023.0"/>
        <n v="26413.0"/>
        <n v="418214.0"/>
        <n v="17025.0"/>
        <n v="9283.0"/>
        <n v="8962.0"/>
        <n v="40359.0"/>
        <n v="217480.0"/>
        <n v="41239.0"/>
        <n v="47573.0"/>
        <n v="7630.0"/>
        <n v="42547.0"/>
        <n v="15015.0"/>
        <n v="117739.0"/>
        <n v="237872.0"/>
        <n v="42621.0"/>
        <n v="52069.0"/>
        <n v="15079.0"/>
        <n v="104356.0"/>
        <n v="28247.0"/>
        <n v="81783.0"/>
        <n v="67824.0"/>
        <n v="24012.0"/>
        <n v="4124.0"/>
        <n v="115050.0"/>
        <n v="36372.0"/>
        <n v="65628.0"/>
        <n v="18520.0"/>
        <n v="2448.0"/>
        <n v="26390.0"/>
        <n v="23660.0"/>
        <n v="141179.0"/>
        <n v="9285.0"/>
        <n v="982637.0"/>
        <n v="45815.0"/>
        <n v="16474.0"/>
        <n v="120416.0"/>
        <n v="23527.0"/>
        <n v="81026.0"/>
        <n v="54501.0"/>
        <n v="28159.0"/>
        <n v="544665.0"/>
        <n v="19412.0"/>
        <n v="49820.0"/>
        <n v="13145.0"/>
        <n v="11257.0"/>
        <n v="11815.0"/>
        <n v="56338.0"/>
        <n v="18762.0"/>
        <n v="59041.0"/>
        <n v="283480.0"/>
        <n v="333847.0"/>
        <n v="86422.0"/>
        <n v="52509.0"/>
        <n v="94435.0"/>
        <n v="3198.0"/>
        <n v="106755.0"/>
        <n v="19230.0"/>
        <n v="6884.0"/>
        <n v="54787.0"/>
        <n v="5603.0"/>
        <n v="394317.0"/>
        <n v="127528.0"/>
        <n v="177729.0"/>
        <n v="4302.0"/>
        <n v="68935.0"/>
        <n v="45031.0"/>
        <n v="188887.0"/>
        <n v="17461.0"/>
        <n v="9682.0"/>
        <n v="324671.0"/>
        <n v="45729.0"/>
        <n v="105446.0"/>
        <n v="361169.0"/>
        <n v="31089.0"/>
        <n v="38398.0"/>
        <n v="124941.0"/>
        <n v="77415.0"/>
        <n v="102248.0"/>
        <n v="11612.0"/>
        <n v="23480.0"/>
        <n v="59462.0"/>
        <n v="21212.0"/>
        <n v="34620.0"/>
        <n v="76331.0"/>
        <n v="1920.0"/>
        <n v="35965.0"/>
        <n v="128285.0"/>
        <n v="186879.0"/>
        <n v="189923.0"/>
        <n v="7519.0"/>
        <n v="399138.0"/>
        <n v="69989.0"/>
        <n v="169023.0"/>
        <n v="154621.0"/>
        <n v="29738.0"/>
        <n v="2280.0"/>
        <n v="6454.0"/>
        <n v="80903.0"/>
        <n v="61966.0"/>
        <n v="623757.0"/>
        <n v="10771.0"/>
        <n v="522030.0"/>
        <n v="512749.0"/>
        <n v="9673.0"/>
        <n v="175196.0"/>
        <n v="86077.0"/>
        <n v="245989.0"/>
        <n v="8983.0"/>
        <n v="21406.0"/>
        <n v="955174.0"/>
        <n v="18035.0"/>
        <n v="14656.0"/>
        <n v="150308.0"/>
        <n v="31788.0"/>
        <n v="761.0"/>
        <n v="96569.0"/>
        <n v="69172.0"/>
        <n v="353442.0"/>
        <n v="8279.0"/>
        <n v="2308.0"/>
        <n v="55539.0"/>
        <n v="297250.0"/>
        <n v="2189.0"/>
        <n v="45775.0"/>
        <n v="109445.0"/>
        <n v="68211.0"/>
        <n v="224013.0"/>
        <n v="3668.0"/>
        <n v="59569.0"/>
        <n v="68159.0"/>
        <n v="38513.0"/>
        <n v="30765.0"/>
        <n v="12983.0"/>
        <n v="1415.0"/>
        <n v="28041.0"/>
        <n v="242188.0"/>
        <n v="132.0"/>
        <n v="132963.0"/>
        <n v="159198.0"/>
        <n v="97.0"/>
        <n v="128682.0"/>
        <n v="12077.0"/>
        <n v="78635.0"/>
        <n v="11729.0"/>
        <n v="10282.0"/>
        <n v="49948.0"/>
        <n v="67893.0"/>
        <n v="20837.0"/>
        <n v="56402.0"/>
        <n v="109894.0"/>
        <n v="40511.0"/>
        <n v="29058.0"/>
        <n v="189683.0"/>
        <n v="99035.0"/>
        <n v="82133.0"/>
        <n v="52533.0"/>
        <n v="17349.0"/>
        <n v="129995.0"/>
        <n v="365104.0"/>
        <n v="5648.0"/>
        <n v="38076.0"/>
        <n v="328159.0"/>
        <n v="142067.0"/>
        <n v="2720.0"/>
        <n v="414070.0"/>
        <n v="30255.0"/>
        <n v="50653.0"/>
        <n v="421658.0"/>
        <n v="25332.0"/>
        <n v="15448.0"/>
        <n v="3322.0"/>
        <n v="90938.0"/>
        <n v="41496.0"/>
        <n v="1439.0"/>
        <n v="7242.0"/>
        <n v="139426.0"/>
        <n v="8697.0"/>
        <n v="192775.0"/>
        <n v="4377.0"/>
        <n v="32003.0"/>
        <n v="294163.0"/>
        <n v="42678.0"/>
        <n v="157863.0"/>
        <n v="513158.0"/>
        <n v="94049.0"/>
        <n v="30394.0"/>
        <n v="28573.0"/>
        <n v="10885.0"/>
        <n v="11747.0"/>
        <n v="7900.0"/>
        <n v="87665.0"/>
        <n v="5794.0"/>
        <n v="64190.0"/>
        <n v="806.0"/>
        <n v="12388.0"/>
        <n v="1742.0"/>
        <n v="348007.0"/>
        <n v="3433.0"/>
        <n v="160321.0"/>
        <n v="361767.0"/>
        <n v="9903.0"/>
        <n v="10667.0"/>
        <n v="5294.0"/>
        <n v="1338.0"/>
        <n v="736638.0"/>
        <n v="267980.0"/>
        <n v="75345.0"/>
        <n v="70194.0"/>
        <n v="2870.0"/>
        <n v="16340.0"/>
        <n v="60508.0"/>
        <n v="728685.0"/>
        <n v="4875.0"/>
        <n v="1727.0"/>
        <n v="70205.0"/>
        <n v="7354.0"/>
        <n v="155532.0"/>
        <n v="2047.0"/>
        <n v="199039.0"/>
        <n v="138582.0"/>
        <n v="136104.0"/>
        <n v="79330.0"/>
        <n v="13324.0"/>
        <n v="166693.0"/>
        <n v="145422.0"/>
        <n v="167750.0"/>
        <n v="23408.0"/>
        <n v="2941.0"/>
        <n v="18711.0"/>
        <n v="53687.0"/>
        <n v="15267.0"/>
        <n v="246492.0"/>
        <n v="67856.0"/>
        <n v="5699.0"/>
        <n v="81611.0"/>
        <n v="1938.0"/>
        <n v="44130.0"/>
        <n v="28276.0"/>
        <n v="198066.0"/>
        <n v="327367.0"/>
        <n v="16651.0"/>
        <n v="307029.0"/>
        <n v="203111.0"/>
        <n v="37412.0"/>
        <n v="3080.0"/>
        <n v="213668.0"/>
        <n v="112671.0"/>
        <n v="95274.0"/>
        <n v="323207.0"/>
        <n v="67978.0"/>
        <n v="11913.0"/>
        <n v="8367.0"/>
        <n v="24033.0"/>
        <n v="8217.0"/>
        <n v="17436.0"/>
        <n v="5664.0"/>
        <n v="166269.0"/>
        <n v="27543.0"/>
        <n v="696338.0"/>
        <n v="118951.0"/>
        <n v="95529.0"/>
        <n v="65951.0"/>
        <n v="101386.0"/>
        <n v="24997.0"/>
        <n v="52958.0"/>
        <n v="37495.0"/>
        <n v="12276.0"/>
        <n v="85333.0"/>
        <n v="313866.0"/>
        <n v="62861.0"/>
        <n v="72646.0"/>
        <n v="87785.0"/>
        <n v="8134.0"/>
        <n v="29967.0"/>
        <n v="46221.0"/>
        <n v="8603.0"/>
        <n v="25462.0"/>
        <n v="8058.0"/>
        <n v="67115.0"/>
        <n v="3122.0"/>
        <n v="67760.0"/>
        <n v="91151.0"/>
        <n v="162909.0"/>
        <n v="9689.0"/>
        <n v="74435.0"/>
        <n v="156717.0"/>
        <n v="117719.0"/>
        <n v="89687.0"/>
        <n v="156267.0"/>
        <n v="20201.0"/>
        <n v="85833.0"/>
        <n v="16863.0"/>
        <n v="102338.0"/>
        <n v="188116.0"/>
        <n v="63084.0"/>
        <n v="19732.0"/>
        <n v="87331.0"/>
        <n v="52286.0"/>
        <n v="101899.0"/>
        <n v="5695.0"/>
        <n v="8161.0"/>
        <n v="29994.0"/>
        <n v="119622.0"/>
        <n v="61151.0"/>
        <n v="47169.0"/>
        <n v="3911.0"/>
        <n v="119213.0"/>
        <n v="6062.0"/>
        <n v="28429.0"/>
        <n v="22748.0"/>
        <n v="150764.0"/>
        <n v="11584.0"/>
        <n v="791783.0"/>
        <n v="259083.0"/>
        <n v="229012.0"/>
        <n v="19824.0"/>
        <n v="364948.0"/>
        <n v="9264.0"/>
        <n v="520104.0"/>
        <n v="121259.0"/>
        <n v="6069.0"/>
        <n v="5049.0"/>
        <n v="84118.0"/>
        <n v="11498.0"/>
        <n v="17810.0"/>
        <n v="8693.0"/>
        <n v="479047.0"/>
        <n v="91092.0"/>
        <n v="375240.0"/>
        <n v="76094.0"/>
        <n v="606.0"/>
        <n v="129719.0"/>
        <n v="307639.0"/>
        <n v="116681.0"/>
        <n v="1275.0"/>
        <n v="1649.0"/>
        <n v="122187.0"/>
        <n v="69676.0"/>
        <n v="14062.0"/>
        <n v="135286.0"/>
        <n v="604904.0"/>
        <n v="5475.0"/>
        <n v="89424.0"/>
        <n v="41620.0"/>
        <n v="33158.0"/>
        <n v="17770.0"/>
        <n v="270790.0"/>
        <n v="70885.0"/>
        <n v="101840.0"/>
        <n v="53884.0"/>
        <n v="149528.0"/>
        <n v="7921.0"/>
        <n v="88146.0"/>
        <n v="157519.0"/>
        <n v="93494.0"/>
        <n v="62981.0"/>
        <n v="336235.0"/>
        <n v="203963.0"/>
        <n v="160776.0"/>
        <n v="53126.0"/>
        <n v="21394.0"/>
        <n v="60910.0"/>
        <n v="115687.0"/>
        <n v="666937.0"/>
        <n v="9693.0"/>
        <n v="16268.0"/>
        <n v="172080.0"/>
        <n v="98794.0"/>
        <n v="36494.0"/>
        <n v="5817.0"/>
        <n v="320284.0"/>
        <n v="83097.0"/>
        <n v="995415.0"/>
        <n v="77684.0"/>
        <n v="40776.0"/>
        <n v="155745.0"/>
        <n v="78256.0"/>
        <n v="15427.0"/>
        <n v="220758.0"/>
        <n v="548573.0"/>
        <n v="82804.0"/>
        <n v="182983.0"/>
        <n v="38438.0"/>
        <n v="31323.0"/>
        <n v="149680.0"/>
        <n v="103787.0"/>
        <n v="69534.0"/>
        <n v="2582.0"/>
        <n v="191912.0"/>
        <n v="55994.0"/>
        <n v="65709.0"/>
        <n v="8146.0"/>
        <n v="402645.0"/>
        <n v="4743.0"/>
        <n v="10132.0"/>
        <n v="88542.0"/>
        <n v="74630.0"/>
        <n v="152591.0"/>
        <n v="21034.0"/>
        <n v="105144.0"/>
        <n v="63274.0"/>
        <n v="600266.0"/>
        <n v="29839.0"/>
        <n v="37611.0"/>
        <n v="24921.0"/>
        <n v="8239.0"/>
        <n v="361924.0"/>
        <n v="13455.0"/>
        <n v="60516.0"/>
        <n v="22897.0"/>
        <n v="296787.0"/>
        <n v="181025.0"/>
        <n v="25210.0"/>
        <n v="10417.0"/>
        <n v="59545.0"/>
        <n v="1351.0"/>
        <n v="355137.0"/>
        <n v="46417.0"/>
        <n v="47800.0"/>
        <n v="147128.0"/>
        <n v="33850.0"/>
        <n v="61321.0"/>
        <n v="17596.0"/>
        <n v="266310.0"/>
        <n v="43027.0"/>
        <n v="15617.0"/>
        <n v="41737.0"/>
        <n v="12197.0"/>
        <n v="22309.0"/>
        <n v="50415.0"/>
        <n v="92464.0"/>
        <n v="641997.0"/>
        <n v="64625.0"/>
        <n v="557489.0"/>
        <n v="20827.0"/>
        <n v="53919.0"/>
        <n v="114321.0"/>
        <n v="227072.0"/>
        <n v="52846.0"/>
        <n v="88049.0"/>
        <n v="62271.0"/>
        <n v="130094.0"/>
        <n v="126893.0"/>
        <n v="63390.0"/>
        <n v="49739.0"/>
        <n v="4293.0"/>
        <n v="782437.0"/>
        <n v="79141.0"/>
        <n v="13026.0"/>
        <n v="34488.0"/>
        <n v="10073.0"/>
        <n v="1633.0"/>
        <n v="136667.0"/>
        <n v="819.0"/>
        <n v="78241.0"/>
        <n v="408302.0"/>
        <n v="168172.0"/>
        <n v="12437.0"/>
        <n v="31359.0"/>
        <n v="14786.0"/>
        <n v="15455.0"/>
        <n v="7098.0"/>
        <n v="29971.0"/>
        <n v="196422.0"/>
        <n v="4195.0"/>
        <n v="530870.0"/>
        <n v="417971.0"/>
        <n v="49676.0"/>
        <n v="119286.0"/>
        <n v="263329.0"/>
        <n v="127345.0"/>
        <n v="12821.0"/>
        <n v="31798.0"/>
        <n v="110073.0"/>
        <n v="475.0"/>
        <n v="104089.0"/>
        <n v="11816.0"/>
        <n v="30314.0"/>
        <n v="195043.0"/>
        <n v="37901.0"/>
        <n v="30077.0"/>
        <n v="106820.0"/>
        <n v="86890.0"/>
        <n v="318955.0"/>
        <n v="15684.0"/>
        <n v="3203.0"/>
        <n v="60884.0"/>
        <n v="237848.0"/>
        <n v="16741.0"/>
        <n v="40481.0"/>
        <n v="6318.0"/>
        <n v="43084.0"/>
        <n v="27918.0"/>
        <n v="46493.0"/>
        <n v="99236.0"/>
        <n v="1038.0"/>
        <n v="48621.0"/>
        <n v="284792.0"/>
        <n v="13830.0"/>
        <n v="22753.0"/>
        <n v="28209.0"/>
        <n v="44198.0"/>
        <n v="13210.0"/>
        <n v="407601.0"/>
        <n v="74626.0"/>
        <n v="242420.0"/>
        <n v="47574.0"/>
        <n v="65474.0"/>
        <n v="403014.0"/>
        <n v="49671.0"/>
        <n v="117096.0"/>
        <n v="1207.0"/>
        <n v="56501.0"/>
        <n v="39690.0"/>
        <n v="30667.0"/>
        <n v="132954.0"/>
        <n v="310540.0"/>
        <n v="33186.0"/>
        <n v="46239.0"/>
        <n v="27305.0"/>
        <n v="644348.0"/>
        <n v="18109.0"/>
        <n v="152826.0"/>
        <n v="22797.0"/>
        <n v="58184.0"/>
        <n v="15130.0"/>
        <n v="13727.0"/>
        <n v="428916.0"/>
        <n v="10895.0"/>
        <n v="28589.0"/>
        <n v="82082.0"/>
        <n v="5463.0"/>
        <n v="300110.0"/>
        <n v="4719.0"/>
        <n v="1489.0"/>
        <n v="485430.0"/>
        <n v="29649.0"/>
        <n v="20885.0"/>
        <n v="239752.0"/>
        <n v="4360.0"/>
        <n v="187170.0"/>
        <n v="8707.0"/>
        <n v="126307.0"/>
        <n v="12411.0"/>
        <n v="198701.0"/>
        <n v="30058.0"/>
        <n v="42144.0"/>
        <n v="286178.0"/>
        <n v="54104.0"/>
        <n v="60370.0"/>
        <n v="45900.0"/>
        <n v="78008.0"/>
        <n v="14612.0"/>
        <n v="49874.0"/>
        <n v="12037.0"/>
        <n v="45992.0"/>
        <n v="8531.0"/>
        <n v="4257.0"/>
        <n v="121432.0"/>
        <n v="73068.0"/>
        <n v="45859.0"/>
        <n v="96693.0"/>
        <n v="39768.0"/>
        <n v="213226.0"/>
        <n v="7147.0"/>
        <n v="139749.0"/>
        <n v="57873.0"/>
        <n v="25303.0"/>
        <n v="133526.0"/>
        <n v="37156.0"/>
        <n v="264047.0"/>
        <n v="67707.0"/>
        <n v="43205.0"/>
        <n v="8692.0"/>
        <n v="6595.0"/>
        <n v="12856.0"/>
        <n v="36145.0"/>
        <n v="88518.0"/>
        <n v="414976.0"/>
        <n v="1666.0"/>
        <n v="414345.0"/>
        <n v="385871.0"/>
        <n v="44099.0"/>
        <n v="12164.0"/>
        <n v="20449.0"/>
        <n v="172965.0"/>
        <n v="45890.0"/>
        <n v="64989.0"/>
        <n v="76099.0"/>
        <n v="160418.0"/>
        <n v="119807.0"/>
        <n v="74169.0"/>
        <n v="186977.0"/>
        <n v="149998.0"/>
        <n v="8000.0"/>
        <n v="7984.0"/>
        <n v="1389.0"/>
        <n v="25371.0"/>
        <n v="259519.0"/>
        <n v="145580.0"/>
        <n v="83788.0"/>
        <n v="92850.0"/>
        <n v="115216.0"/>
        <n v="36029.0"/>
        <n v="85589.0"/>
        <n v="18697.0"/>
        <n v="83234.0"/>
        <n v="19079.0"/>
        <n v="332276.0"/>
        <n v="86664.0"/>
        <n v="35130.0"/>
        <n v="124242.0"/>
        <n v="73347.0"/>
        <n v="39508.0"/>
        <n v="48245.0"/>
        <n v="38215.0"/>
        <n v="200260.0"/>
        <n v="52496.0"/>
        <n v="43485.0"/>
        <n v="254404.0"/>
        <n v="5673.0"/>
        <n v="159931.0"/>
        <n v="255447.0"/>
        <n v="5936.0"/>
        <n v="1768.0"/>
        <n v="19126.0"/>
        <n v="10446.0"/>
        <n v="452465.0"/>
        <n v="983.0"/>
        <n v="203154.0"/>
        <n v="13215.0"/>
        <n v="206776.0"/>
        <n v="60476.0"/>
        <n v="6000.0"/>
        <n v="138246.0"/>
        <n v="114287.0"/>
        <n v="661017.0"/>
        <n v="260607.0"/>
        <n v="32567.0"/>
        <n v="403836.0"/>
        <n v="79461.0"/>
        <n v="4795.0"/>
        <n v="182802.0"/>
        <n v="241030.0"/>
        <n v="17319.0"/>
        <n v="345198.0"/>
        <n v="6221.0"/>
        <n v="22345.0"/>
        <n v="30284.0"/>
        <n v="114241.0"/>
        <n v="106416.0"/>
        <n v="74691.0"/>
        <n v="4407.0"/>
        <n v="121058.0"/>
        <n v="49311.0"/>
        <n v="110394.0"/>
        <n v="60165.0"/>
        <n v="74945.0"/>
        <n v="77029.0"/>
        <n v="88529.0"/>
        <n v="157016.0"/>
        <n v="23181.0"/>
        <n v="83269.0"/>
        <n v="14473.0"/>
        <n v="24668.0"/>
        <n v="52055.0"/>
        <n v="184561.0"/>
        <n v="266020.0"/>
        <n v="79892.0"/>
        <n v="61317.0"/>
        <n v="111117.0"/>
        <n v="10832.0"/>
        <n v="85086.0"/>
        <n v="22447.0"/>
        <n v="592582.0"/>
        <n v="4122.0"/>
        <n v="709.0"/>
        <n v="125036.0"/>
        <n v="154.0"/>
        <n v="92702.0"/>
        <n v="26755.0"/>
        <n v="16582.0"/>
        <n v="44394.0"/>
        <n v="1155770.0"/>
        <n v="287822.0"/>
        <n v="396396.0"/>
        <n v="58416.0"/>
        <n v="681857.0"/>
        <n v="12053.0"/>
        <n v="20176.0"/>
        <n v="242599.0"/>
        <n v="89351.0"/>
        <n v="92295.0"/>
        <n v="202967.0"/>
        <n v="15814.0"/>
        <n v="118483.0"/>
        <n v="182757.0"/>
        <n v="10369.0"/>
        <n v="82331.0"/>
        <n v="106446.0"/>
        <n v="9004.0"/>
        <n v="74274.0"/>
        <n v="176169.0"/>
        <n v="5156.0"/>
        <n v="13661.0"/>
        <n v="1595.0"/>
        <n v="116642.0"/>
        <n v="75864.0"/>
        <n v="397.0"/>
        <n v="37714.0"/>
        <n v="116762.0"/>
        <n v="88714.0"/>
        <n v="214091.0"/>
        <n v="33570.0"/>
        <n v="62756.0"/>
        <n v="27149.0"/>
        <n v="36033.0"/>
        <n v="5917.0"/>
        <n v="31898.0"/>
        <n v="188679.0"/>
        <n v="45603.0"/>
        <n v="34774.0"/>
        <n v="151580.0"/>
        <n v="37493.0"/>
        <n v="128850.0"/>
        <n v="171882.0"/>
        <n v="41664.0"/>
        <n v="8008.0"/>
        <n v="65297.0"/>
        <n v="35131.0"/>
        <n v="216032.0"/>
        <n v="137003.0"/>
        <n v="138661.0"/>
        <n v="187595.0"/>
        <n v="54447.0"/>
        <n v="93367.0"/>
        <n v="76791.0"/>
        <n v="8309.0"/>
        <n v="16372.0"/>
        <n v="75920.0"/>
        <n v="57040.0"/>
        <n v="2419.0"/>
        <n v="32224.0"/>
        <n v="57831.0"/>
        <n v="271691.0"/>
        <n v="5721.0"/>
        <n v="100743.0"/>
        <n v="27130.0"/>
        <n v="109620.0"/>
        <n v="22570.0"/>
        <n v="3943.0"/>
        <n v="35848.0"/>
        <n v="45271.0"/>
        <n v="84325.0"/>
        <n v="5332.0"/>
        <n v="22521.0"/>
        <n v="31952.0"/>
        <n v="69355.0"/>
        <n v="13998.0"/>
        <n v="42876.0"/>
        <n v="2417.0"/>
        <n v="148379.0"/>
        <n v="47819.0"/>
        <n v="128306.0"/>
        <n v="52805.0"/>
        <n v="202341.0"/>
        <n v="33856.0"/>
        <n v="30651.0"/>
        <n v="211765.0"/>
        <n v="17997.0"/>
        <n v="53471.0"/>
        <n v="21998.0"/>
        <n v="11148.0"/>
        <n v="15074.0"/>
        <n v="7584.0"/>
        <n v="3624.0"/>
        <n v="281842.0"/>
        <n v="2253.0"/>
        <n v="75347.0"/>
        <n v="8708.0"/>
        <n v="362912.0"/>
        <n v="59941.0"/>
        <n v="60293.0"/>
        <n v="138941.0"/>
        <n v="85423.0"/>
        <n v="25870.0"/>
        <n v="120202.0"/>
        <n v="4583.0"/>
        <n v="2932.0"/>
        <n v="43328.0"/>
        <n v="20310.0"/>
        <n v="28257.0"/>
        <n v="4862.0"/>
        <n v="12980.0"/>
        <n v="55665.0"/>
        <n v="2629.0"/>
        <n v="1215718.0"/>
        <n v="181443.0"/>
        <n v="12188.0"/>
        <n v="84824.0"/>
        <n v="371639.0"/>
        <n v="1358.0"/>
        <n v="104119.0"/>
        <n v="85362.0"/>
        <n v="298590.0"/>
        <n v="297014.0"/>
        <n v="189812.0"/>
        <n v="6375.0"/>
        <n v="181380.0"/>
        <n v="184824.0"/>
        <n v="41509.0"/>
        <n v="22679.0"/>
        <n v="21554.0"/>
        <n v="67797.0"/>
        <n v="264186.0"/>
        <n v="793059.0"/>
        <n v="134869.0"/>
        <n v="6359.0"/>
        <n v="73886.0"/>
        <n v="30479.0"/>
        <n v="11439.0"/>
        <n v="31817.0"/>
        <n v="69980.0"/>
        <n v="859.0"/>
        <n v="422606.0"/>
        <n v="45317.0"/>
        <n v="42892.0"/>
        <n v="4518.0"/>
        <n v="114294.0"/>
        <n v="23076.0"/>
        <n v="72326.0"/>
        <n v="2330.0"/>
        <n v="24826.0"/>
        <n v="8687.0"/>
        <n v="12029.0"/>
        <n v="105568.0"/>
        <n v="58498.0"/>
        <n v="107408.0"/>
        <n v="7228.0"/>
        <n v="96690.0"/>
        <n v="181058.0"/>
        <n v="376600.0"/>
        <n v="167967.0"/>
        <n v="27257.0"/>
        <n v="471220.0"/>
        <n v="136367.0"/>
        <n v="43442.0"/>
        <n v="38298.0"/>
        <n v="11283.0"/>
        <n v="63599.0"/>
        <n v="6921.0"/>
        <n v="892.0"/>
        <n v="4582.0"/>
        <n v="130272.0"/>
        <n v="15939.0"/>
        <n v="4756.0"/>
        <n v="39105.0"/>
        <n v="86251.0"/>
        <n v="101730.0"/>
        <n v="19364.0"/>
        <n v="24407.0"/>
        <n v="14322.0"/>
        <n v="127571.0"/>
        <n v="17533.0"/>
        <n v="27675.0"/>
        <n v="49486.0"/>
        <n v="123553.0"/>
        <n v="172.0"/>
        <n v="49077.0"/>
        <n v="98629.0"/>
        <n v="17373.0"/>
        <n v="18310.0"/>
        <n v="225122.0"/>
        <n v="45394.0"/>
        <n v="261317.0"/>
        <n v="10777.0"/>
        <n v="59380.0"/>
        <n v="30210.0"/>
        <n v="275869.0"/>
        <n v="40883.0"/>
        <n v="32049.0"/>
        <n v="103241.0"/>
        <n v="18140.0"/>
        <n v="4391.0"/>
        <n v="170027.0"/>
        <n v="4654.0"/>
        <n v="15358.0"/>
        <n v="161448.0"/>
        <n v="536314.0"/>
        <n v="188637.0"/>
        <n v="76199.0"/>
        <n v="150082.0"/>
        <n v="10104.0"/>
        <n v="11798.0"/>
        <n v="48999.0"/>
        <n v="197412.0"/>
        <n v="49205.0"/>
        <n v="12466.0"/>
        <n v="57479.0"/>
        <n v="81644.0"/>
        <n v="11101.0"/>
        <n v="143121.0"/>
        <n v="36253.0"/>
        <n v="8070.0"/>
        <n v="21606.0"/>
        <n v="69197.0"/>
        <n v="833.0"/>
        <n v="221128.0"/>
        <n v="15047.0"/>
        <n v="5612.0"/>
        <n v="95860.0"/>
        <n v="41574.0"/>
        <n v="16260.0"/>
        <n v="43709.0"/>
        <n v="246803.0"/>
        <n v="7470.0"/>
        <n v="11983.0"/>
        <n v="180479.0"/>
        <n v="39260.0"/>
        <n v="128593.0"/>
        <n v="30771.0"/>
        <n v="2037.0"/>
        <n v="11704.0"/>
        <n v="241.0"/>
        <n v="163130.0"/>
        <n v="63108.0"/>
        <n v="65037.0"/>
        <n v="6555.0"/>
        <n v="336.0"/>
        <n v="589.0"/>
        <n v="57349.0"/>
        <n v="104564.0"/>
        <n v="94108.0"/>
        <n v="147504.0"/>
        <n v="314253.0"/>
        <n v="207839.0"/>
        <n v="51996.0"/>
        <n v="79909.0"/>
        <n v="200035.0"/>
        <n v="71842.0"/>
        <n v="132423.0"/>
        <n v="177828.0"/>
        <n v="39451.0"/>
        <n v="357579.0"/>
        <n v="503509.0"/>
        <n v="845580.0"/>
        <n v="461609.0"/>
        <n v="786092.0"/>
        <n v="304318.0"/>
        <n v="193962.0"/>
        <n v="148221.0"/>
        <n v="4682.0"/>
        <n v="20730.0"/>
        <n v="16271.0"/>
        <n v="139184.0"/>
        <n v="35018.0"/>
        <n v="50041.0"/>
        <n v="14757.0"/>
        <n v="30842.0"/>
        <n v="19007.0"/>
        <n v="57038.0"/>
        <n v="47626.0"/>
        <n v="193455.0"/>
        <n v="1676169.0"/>
        <n v="63677.0"/>
        <n v="1201.0"/>
        <n v="63839.0"/>
        <n v="17309.0"/>
        <n v="26034.0"/>
        <n v="37626.0"/>
        <n v="54601.0"/>
        <n v="47764.0"/>
        <n v="12218.0"/>
        <n v="1231.0"/>
        <n v="34711.0"/>
        <n v="23486.0"/>
        <n v="1177.0"/>
        <n v="72591.0"/>
        <n v="66579.0"/>
        <n v="181472.0"/>
        <n v="28377.0"/>
        <n v="29282.0"/>
        <n v="582917.0"/>
        <n v="43743.0"/>
        <n v="64595.0"/>
        <n v="13692.0"/>
        <n v="551363.0"/>
        <n v="637246.0"/>
        <n v="240962.0"/>
        <n v="11958.0"/>
        <n v="575.0"/>
        <n v="107859.0"/>
        <n v="27689.0"/>
        <n v="865020.0"/>
        <n v="4345.0"/>
        <n v="12672.0"/>
        <n v="607235.0"/>
        <n v="111087.0"/>
        <n v="56168.0"/>
        <n v="13065.0"/>
        <n v="2508.0"/>
        <n v="70336.0"/>
        <n v="5442.0"/>
        <n v="17983.0"/>
        <n v="326180.0"/>
        <n v="59435.0"/>
        <n v="55901.0"/>
        <n v="70141.0"/>
        <n v="44329.0"/>
        <n v="9230.0"/>
        <n v="20823.0"/>
        <n v="29608.0"/>
        <n v="7159.0"/>
        <n v="55329.0"/>
        <n v="32507.0"/>
        <n v="91082.0"/>
        <n v="18915.0"/>
        <n v="97045.0"/>
        <n v="13223.0"/>
        <n v="179235.0"/>
        <n v="105585.0"/>
        <n v="175960.0"/>
        <n v="172707.0"/>
        <n v="1747.0"/>
        <n v="143086.0"/>
        <n v="13010.0"/>
        <n v="89101.0"/>
        <n v="11347.0"/>
        <n v="305929.0"/>
        <n v="14281.0"/>
        <n v="80429.0"/>
        <n v="381148.0"/>
        <n v="1689764.0"/>
        <n v="49312.0"/>
        <n v="7736.0"/>
        <n v="69733.0"/>
        <n v="281649.0"/>
        <n v="40126.0"/>
        <n v="59581.0"/>
        <n v="52642.0"/>
        <n v="279179.0"/>
        <n v="328067.0"/>
        <n v="21940.0"/>
        <n v="105556.0"/>
        <n v="82232.0"/>
        <n v="19397.0"/>
        <n v="318634.0"/>
        <n v="246698.0"/>
        <n v="19234.0"/>
        <n v="152089.0"/>
        <n v="386217.0"/>
        <n v="42614.0"/>
        <n v="29968.0"/>
        <n v="6930.0"/>
        <n v="87677.0"/>
        <n v="1289.0"/>
        <n v="31918.0"/>
        <n v="103.0"/>
        <n v="20295.0"/>
        <n v="2933.0"/>
        <n v="6041.0"/>
        <n v="53786.0"/>
        <n v="735784.0"/>
        <n v="291875.0"/>
        <n v="1220.0"/>
        <n v="77551.0"/>
        <n v="72552.0"/>
        <n v="7295.0"/>
        <n v="57958.0"/>
        <n v="127503.0"/>
        <n v="79094.0"/>
        <n v="85688.0"/>
        <n v="9866.0"/>
        <n v="36996.0"/>
        <n v="60494.0"/>
        <n v="9509.0"/>
        <n v="475518.0"/>
        <n v="382255.0"/>
        <n v="47003.0"/>
        <n v="134070.0"/>
        <n v="381672.0"/>
        <n v="5153.0"/>
        <n v="63548.0"/>
        <n v="36267.0"/>
        <n v="43839.0"/>
        <n v="14637.0"/>
        <n v="11011.0"/>
        <n v="20467.0"/>
        <n v="34356.0"/>
        <n v="332065.0"/>
        <n v="48909.0"/>
        <n v="58366.0"/>
        <n v="35599.0"/>
        <n v="17933.0"/>
        <n v="15053.0"/>
        <n v="1656.0"/>
        <n v="34232.0"/>
        <n v="15401.0"/>
        <n v="37398.0"/>
        <n v="12702.0"/>
        <n v="151812.0"/>
        <n v="23728.0"/>
        <n v="4617.0"/>
        <n v="125219.0"/>
        <n v="31414.0"/>
        <n v="9380.0"/>
        <n v="147497.0"/>
        <n v="29602.0"/>
        <n v="97089.0"/>
        <n v="10966.0"/>
        <n v="35918.0"/>
        <n v="61753.0"/>
        <n v="98741.0"/>
        <n v="83171.0"/>
        <n v="1245.0"/>
        <n v="97838.0"/>
        <n v="209396.0"/>
        <n v="75903.0"/>
        <n v="15600.0"/>
        <n v="60326.0"/>
        <n v="3167.0"/>
        <n v="232710.0"/>
        <n v="102728.0"/>
        <n v="43300.0"/>
        <n v="87451.0"/>
        <n v="39391.0"/>
        <n v="15956.0"/>
        <n v="221552.0"/>
        <n v="88682.0"/>
        <n v="80140.0"/>
        <n v="63912.0"/>
        <n v="3865.0"/>
        <n v="145257.0"/>
        <n v="552503.0"/>
        <n v="2794.0"/>
        <n v="212204.0"/>
        <n v="16831.0"/>
        <n v="31209.0"/>
        <n v="48675.0"/>
        <n v="28845.0"/>
        <n v="1966.0"/>
        <n v="36894.0"/>
        <n v="4057.0"/>
        <n v="32307.0"/>
        <n v="85198.0"/>
        <n v="483540.0"/>
        <n v="99033.0"/>
        <n v="29463.0"/>
        <n v="23606.0"/>
        <n v="5933.0"/>
        <n v="176936.0"/>
        <n v="6723.0"/>
        <n v="223393.0"/>
        <n v="121676.0"/>
        <n v="301279.0"/>
        <n v="1761.0"/>
        <n v="303185.0"/>
        <n v="14747.0"/>
        <n v="86205.0"/>
        <n v="28584.0"/>
        <n v="414219.0"/>
        <n v="53160.0"/>
        <n v="157051.0"/>
        <n v="16222.0"/>
        <n v="299258.0"/>
        <n v="14129.0"/>
        <n v="18395.0"/>
        <n v="89547.0"/>
        <n v="77493.0"/>
        <n v="326286.0"/>
        <n v="278232.0"/>
        <n v="228554.0"/>
        <n v="1217752.0"/>
        <n v="28570.0"/>
        <n v="18442.0"/>
        <n v="202800.0"/>
        <n v="23383.0"/>
        <n v="71183.0"/>
        <n v="11520.0"/>
        <n v="85323.0"/>
        <n v="7319.0"/>
        <n v="42372.0"/>
        <n v="38248.0"/>
        <n v="136954.0"/>
        <n v="149966.0"/>
        <n v="134625.0"/>
        <n v="52894.0"/>
        <n v="15169.0"/>
        <n v="60062.0"/>
        <n v="23302.0"/>
        <n v="293662.0"/>
        <n v="162331.0"/>
        <n v="89972.0"/>
        <n v="49934.0"/>
        <n v="52908.0"/>
        <n v="60156.0"/>
        <n v="181792.0"/>
        <n v="39847.0"/>
        <n v="7772.0"/>
        <n v="1622.0"/>
        <n v="255257.0"/>
        <n v="1229.0"/>
        <n v="125305.0"/>
        <n v="156348.0"/>
        <n v="17261.0"/>
        <n v="23823.0"/>
        <n v="29861.0"/>
        <n v="28068.0"/>
        <n v="57266.0"/>
        <n v="70838.0"/>
        <n v="262160.0"/>
        <n v="67223.0"/>
        <n v="1900.0"/>
        <n v="136580.0"/>
        <n v="1099.0"/>
        <n v="98348.0"/>
        <n v="175962.0"/>
        <n v="2963.0"/>
        <n v="119150.0"/>
        <n v="2770.0"/>
        <n v="67992.0"/>
        <n v="24256.0"/>
        <n v="20810.0"/>
        <n v="34561.0"/>
        <n v="29990.0"/>
        <n v="154199.0"/>
        <n v="72886.0"/>
        <n v="139535.0"/>
        <n v="3466.0"/>
        <n v="103737.0"/>
        <n v="149549.0"/>
        <n v="33088.0"/>
        <n v="10410.0"/>
        <n v="201084.0"/>
        <n v="24150.0"/>
        <n v="656640.0"/>
        <n v="50656.0"/>
        <n v="62986.0"/>
        <n v="126464.0"/>
        <n v="209133.0"/>
        <n v="18980.0"/>
        <n v="189413.0"/>
        <n v="15103.0"/>
        <n v="22145.0"/>
        <n v="20576.0"/>
        <n v="71679.0"/>
        <n v="299127.0"/>
        <n v="11370.0"/>
        <n v="744.0"/>
        <n v="464310.0"/>
        <n v="1251222.0"/>
        <n v="191998.0"/>
        <n v="3119.0"/>
        <n v="534658.0"/>
        <n v="22929.0"/>
        <n v="60232.0"/>
        <n v="48500.0"/>
        <n v="264318.0"/>
        <n v="16984.0"/>
        <n v="37750.0"/>
        <n v="178118.0"/>
        <n v="13506.0"/>
        <n v="10883.0"/>
        <n v="200359.0"/>
        <n v="4603.0"/>
        <n v="128455.0"/>
        <n v="8824.0"/>
        <n v="280228.0"/>
        <n v="75675.0"/>
        <n v="210680.0"/>
        <n v="276746.0"/>
        <n v="89557.0"/>
        <n v="76560.0"/>
        <n v="39471.0"/>
        <n v="105591.0"/>
        <n v="7759.0"/>
        <n v="343648.0"/>
        <n v="22220.0"/>
        <n v="30396.0"/>
        <n v="36431.0"/>
        <n v="1547.0"/>
        <n v="45895.0"/>
        <n v="3116.0"/>
        <n v="200647.0"/>
        <n v="133348.0"/>
        <n v="240241.0"/>
        <n v="36914.0"/>
        <n v="30474.0"/>
        <n v="98354.0"/>
        <n v="35990.0"/>
        <n v="48753.0"/>
        <n v="8143.0"/>
        <n v="6562.0"/>
        <n v="49612.0"/>
        <n v="133177.0"/>
        <n v="7833.0"/>
        <n v="106111.0"/>
        <n v="219091.0"/>
        <n v="1976.0"/>
        <n v="60504.0"/>
        <n v="22369.0"/>
        <n v="491077.0"/>
        <n v="42315.0"/>
        <n v="6246.0"/>
        <n v="109188.0"/>
        <n v="172217.0"/>
        <n v="28649.0"/>
        <n v="26609.0"/>
        <n v="9517.0"/>
        <n v="212106.0"/>
        <n v="284825.0"/>
        <n v="53251.0"/>
        <n v="63625.0"/>
        <n v="117606.0"/>
        <n v="32951.0"/>
        <n v="92640.0"/>
        <n v="52136.0"/>
        <n v="66382.0"/>
        <n v="7479.0"/>
        <n v="114692.0"/>
        <n v="317166.0"/>
        <n v="28635.0"/>
        <n v="4303.0"/>
        <n v="76770.0"/>
        <n v="24570.0"/>
        <n v="60295.0"/>
        <n v="23943.0"/>
        <n v="143251.0"/>
        <n v="24958.0"/>
        <n v="51204.0"/>
        <n v="34896.0"/>
        <n v="3662.0"/>
        <n v="7559.0"/>
        <n v="113918.0"/>
        <n v="600996.0"/>
        <n v="452928.0"/>
        <n v="202382.0"/>
        <n v="26849.0"/>
        <n v="31751.0"/>
        <n v="456260.0"/>
        <n v="8176.0"/>
        <n v="17829.0"/>
        <n v="31640.0"/>
        <n v="1658.0"/>
        <n v="21268.0"/>
        <n v="26126.0"/>
        <n v="165792.0"/>
        <n v="194249.0"/>
        <n v="92599.0"/>
        <n v="95362.0"/>
        <n v="269033.0"/>
        <n v="270238.0"/>
        <n v="20008.0"/>
        <n v="277172.0"/>
        <n v="118992.0"/>
        <n v="238747.0"/>
        <n v="197584.0"/>
        <n v="22838.0"/>
        <n v="322395.0"/>
        <n v="28736.0"/>
        <n v="338383.0"/>
        <n v="7973.0"/>
        <n v="15315.0"/>
        <n v="93272.0"/>
        <n v="1449.0"/>
        <n v="69663.0"/>
        <n v="325264.0"/>
        <n v="385943.0"/>
        <n v="338087.0"/>
        <n v="7663.0"/>
        <n v="177401.0"/>
        <n v="105902.0"/>
        <n v="183208.0"/>
        <n v="64646.0"/>
        <n v="108248.0"/>
        <n v="29203.0"/>
        <n v="23775.0"/>
        <n v="537419.0"/>
        <n v="467234.0"/>
        <n v="71387.0"/>
        <n v="89816.0"/>
        <n v="8294.0"/>
        <n v="13174.0"/>
        <n v="40362.0"/>
        <n v="39357.0"/>
        <n v="5158.0"/>
        <n v="229823.0"/>
        <n v="43903.0"/>
        <n v="610568.0"/>
        <n v="58967.0"/>
        <n v="30219.0"/>
        <n v="469561.0"/>
        <n v="7444.0"/>
        <n v="4501.0"/>
        <n v="8509.0"/>
        <n v="58450.0"/>
        <n v="17725.0"/>
        <n v="149222.0"/>
        <n v="9503.0"/>
        <n v="39788.0"/>
        <n v="24557.0"/>
        <n v="54242.0"/>
        <n v="170155.0"/>
        <n v="132386.0"/>
        <n v="272789.0"/>
        <n v="29517.0"/>
        <n v="88241.0"/>
        <n v="87950.0"/>
        <n v="7073.0"/>
        <n v="886204.0"/>
        <n v="338635.0"/>
        <n v="14814.0"/>
        <n v="82073.0"/>
        <n v="8369.0"/>
        <n v="5164.0"/>
        <n v="51842.0"/>
        <n v="1023511.0"/>
        <n v="15582.0"/>
        <n v="23767.0"/>
        <n v="5975.0"/>
        <n v="218771.0"/>
        <n v="3914.0"/>
        <n v="102129.0"/>
        <n v="39798.0"/>
        <n v="4821.0"/>
        <n v="132415.0"/>
        <n v="358416.0"/>
        <n v="41138.0"/>
        <n v="53607.0"/>
        <n v="30462.0"/>
        <n v="395573.0"/>
        <n v="17443.0"/>
        <n v="29867.0"/>
        <n v="2670.0"/>
        <n v="55928.0"/>
        <n v="36877.0"/>
        <n v="2919.0"/>
        <n v="11003.0"/>
        <n v="16194.0"/>
        <n v="522371.0"/>
        <n v="95241.0"/>
        <n v="82743.0"/>
        <n v="1153.0"/>
        <n v="38202.0"/>
        <n v="3788.0"/>
        <n v="41310.0"/>
        <n v="131447.0"/>
        <n v="70771.0"/>
        <n v="200022.0"/>
        <n v="1388.0"/>
        <n v="97047.0"/>
        <n v="2705.0"/>
        <n v="30325.0"/>
        <n v="3077.0"/>
        <n v="21746.0"/>
        <n v="55597.0"/>
        <n v="185345.0"/>
        <n v="6525.0"/>
        <n v="256213.0"/>
        <n v="40.0"/>
        <n v="16469.0"/>
        <n v="2971.0"/>
        <n v="22264.0"/>
        <n v="139432.0"/>
        <n v="12324.0"/>
        <n v="46204.0"/>
        <n v="524.0"/>
        <n v="19715.0"/>
        <n v="130661.0"/>
        <n v="54096.0"/>
        <n v="35565.0"/>
        <n v="11622.0"/>
        <n v="22105.0"/>
        <n v="14315.0"/>
        <n v="37681.0"/>
        <n v="31943.0"/>
        <n v="273108.0"/>
        <n v="41313.0"/>
        <n v="88225.0"/>
        <n v="67949.0"/>
        <n v="43965.0"/>
        <n v="35446.0"/>
        <n v="333542.0"/>
        <n v="47097.0"/>
        <n v="52339.0"/>
        <n v="4792.0"/>
        <n v="16995.0"/>
        <n v="32370.0"/>
        <n v="395921.0"/>
        <n v="3229.0"/>
        <n v="4976.0"/>
        <n v="25549.0"/>
        <n v="111351.0"/>
        <n v="29621.0"/>
        <n v="84620.0"/>
        <n v="50148.0"/>
        <n v="21481.0"/>
        <n v="45231.0"/>
        <n v="790926.0"/>
        <n v="13543.0"/>
        <n v="31227.0"/>
        <n v="22212.0"/>
        <n v="59248.0"/>
        <n v="27486.0"/>
        <n v="74374.0"/>
        <n v="496749.0"/>
        <n v="1268.0"/>
        <n v="4117.0"/>
        <n v="23476.0"/>
        <n v="251349.0"/>
        <n v="184795.0"/>
        <n v="114070.0"/>
        <n v="56665.0"/>
        <n v="317542.0"/>
        <n v="8215.0"/>
        <n v="31080.0"/>
        <n v="245333.0"/>
        <n v="133436.0"/>
        <n v="73349.0"/>
        <n v="67796.0"/>
        <n v="27044.0"/>
        <n v="63216.0"/>
        <n v="273921.0"/>
        <n v="74476.0"/>
        <n v="98693.0"/>
        <n v="12128.0"/>
        <n v="28542.0"/>
        <n v="38949.0"/>
        <n v="149947.0"/>
        <n v="11763.0"/>
        <n v="244840.0"/>
        <n v="26434.0"/>
        <n v="3562.0"/>
        <n v="2787.0"/>
        <n v="7403.0"/>
        <n v="38533.0"/>
        <n v="7988.0"/>
        <n v="53341.0"/>
        <n v="2613.0"/>
        <n v="55350.0"/>
        <n v="8924.0"/>
        <n v="58222.0"/>
        <n v="41685.0"/>
        <n v="96096.0"/>
        <n v="72287.0"/>
        <n v="54643.0"/>
        <n v="277505.0"/>
        <n v="44096.0"/>
        <n v="55441.0"/>
        <n v="5016.0"/>
        <n v="84357.0"/>
        <n v="23473.0"/>
        <n v="8433.0"/>
        <n v="204063.0"/>
        <n v="26066.0"/>
        <n v="45396.0"/>
        <n v="1466.0"/>
        <n v="472488.0"/>
        <n v="1555.0"/>
        <n v="59982.0"/>
        <n v="370704.0"/>
        <n v="109214.0"/>
        <n v="30083.0"/>
        <n v="43013.0"/>
        <n v="498397.0"/>
        <n v="55513.0"/>
        <n v="4812.0"/>
        <n v="7909.0"/>
        <n v="61935.0"/>
        <n v="387616.0"/>
        <n v="141533.0"/>
        <n v="23986.0"/>
        <n v="2855.0"/>
        <n v="136093.0"/>
        <n v="811.0"/>
        <n v="9913.0"/>
        <n v="2099.0"/>
        <n v="1400.0"/>
        <n v="119590.0"/>
        <n v="387632.0"/>
        <n v="18771.0"/>
        <n v="9607.0"/>
        <n v="29659.0"/>
        <n v="65785.0"/>
        <n v="18900.0"/>
        <n v="18727.0"/>
        <n v="84131.0"/>
        <n v="121937.0"/>
        <n v="92106.0"/>
        <n v="24657.0"/>
        <n v="34985.0"/>
        <n v="93767.0"/>
        <n v="24868.0"/>
        <n v="17948.0"/>
        <n v="2326.0"/>
        <n v="6790.0"/>
        <n v="58023.0"/>
        <n v="9233.0"/>
        <n v="124222.0"/>
        <n v="21468.0"/>
        <n v="21370.0"/>
        <n v="782610.0"/>
        <n v="460.0"/>
        <n v="8087.0"/>
        <n v="41727.0"/>
        <n v="77935.0"/>
        <n v="1138.0"/>
        <n v="52888.0"/>
        <n v="72809.0"/>
        <n v="94892.0"/>
        <n v="17328.0"/>
        <n v="37635.0"/>
        <n v="177383.0"/>
        <n v="87165.0"/>
        <n v="718837.0"/>
        <n v="1015.0"/>
        <n v="60709.0"/>
        <n v="16832.0"/>
        <n v="15788.0"/>
        <n v="243799.0"/>
        <n v="108076.0"/>
        <n v="38142.0"/>
        <n v="578.0"/>
        <n v="15665.0"/>
        <n v="6705.0"/>
        <n v="26185.0"/>
        <n v="2061.0"/>
        <n v="123090.0"/>
        <n v="483756.0"/>
        <n v="10624.0"/>
        <n v="65270.0"/>
        <n v="31113.0"/>
        <n v="132501.0"/>
        <n v="45984.0"/>
        <n v="89806.0"/>
        <n v="145350.0"/>
        <n v="147597.0"/>
        <n v="165333.0"/>
        <n v="25960.0"/>
        <n v="23441.0"/>
        <n v="612060.0"/>
        <n v="563827.0"/>
        <n v="40514.0"/>
        <n v="205284.0"/>
        <n v="21098.0"/>
        <n v="39306.0"/>
        <n v="168207.0"/>
        <n v="21215.0"/>
        <n v="125016.0"/>
        <n v="14870.0"/>
        <n v="40964.0"/>
        <n v="4285.0"/>
        <n v="49926.0"/>
        <n v="5427.0"/>
        <n v="22955.0"/>
        <n v="330784.0"/>
        <n v="149444.0"/>
        <n v="286506.0"/>
        <n v="190439.0"/>
        <n v="83506.0"/>
        <n v="117999.0"/>
        <n v="149414.0"/>
        <n v="99558.0"/>
        <n v="115813.0"/>
        <n v="29843.0"/>
        <n v="43991.0"/>
        <n v="62421.0"/>
        <n v="692482.0"/>
        <n v="90177.0"/>
        <n v="30682.0"/>
        <n v="25558.0"/>
        <n v="13581.0"/>
        <n v="27548.0"/>
        <n v="19655.0"/>
        <n v="29488.0"/>
        <n v="31169.0"/>
        <n v="49888.0"/>
        <n v="15885.0"/>
        <n v="37952.0"/>
        <n v="46482.0"/>
        <n v="47383.0"/>
        <n v="7748.0"/>
        <n v="207934.0"/>
        <n v="19709.0"/>
        <n v="56005.0"/>
        <n v="45296.0"/>
        <n v="23864.0"/>
        <n v="49349.0"/>
        <n v="84424.0"/>
        <n v="71708.0"/>
        <n v="21912.0"/>
        <n v="172405.0"/>
        <n v="28483.0"/>
        <n v="83374.0"/>
        <n v="133367.0"/>
        <n v="3806.0"/>
        <n v="136019.0"/>
        <n v="34435.0"/>
        <n v="39247.0"/>
        <n v="66966.0"/>
        <n v="44208.0"/>
        <n v="62009.0"/>
        <n v="219501.0"/>
        <n v="87447.0"/>
        <n v="189032.0"/>
        <n v="72715.0"/>
        <n v="1024.0"/>
        <n v="18566.0"/>
        <n v="72639.0"/>
        <n v="9845.0"/>
        <n v="248354.0"/>
        <n v="20539.0"/>
        <n v="86627.0"/>
        <n v="41288.0"/>
        <n v="271794.0"/>
        <n v="14031.0"/>
        <n v="49007.0"/>
        <n v="28805.0"/>
        <n v="44151.0"/>
        <n v="12339.0"/>
        <n v="2877.0"/>
        <n v="239540.0"/>
        <n v="191437.0"/>
        <n v="102167.0"/>
        <n v="4067.0"/>
        <n v="30160.0"/>
        <n v="4102.0"/>
        <n v="163665.0"/>
        <n v="9294.0"/>
        <n v="112167.0"/>
        <n v="62424.0"/>
        <n v="66840.0"/>
        <n v="50919.0"/>
        <n v="8391.0"/>
        <n v="17074.0"/>
        <n v="14581.0"/>
        <n v="66959.0"/>
        <n v="58957.0"/>
        <n v="10161.0"/>
        <n v="131801.0"/>
        <n v="34263.0"/>
        <n v="43795.0"/>
        <n v="116994.0"/>
        <n v="459346.0"/>
        <n v="179.0"/>
        <n v="25086.0"/>
        <n v="20376.0"/>
        <n v="23996.0"/>
        <n v="11550.0"/>
        <n v="508818.0"/>
        <n v="42462.0"/>
        <n v="294810.0"/>
        <n v="395087.0"/>
        <n v="36108.0"/>
        <n v="19440.0"/>
        <n v="12049.0"/>
        <n v="9003.0"/>
        <n v="49240.0"/>
        <n v="213476.0"/>
        <n v="11092.0"/>
        <n v="19707.0"/>
        <n v="10233.0"/>
        <n v="19194.0"/>
        <n v="27664.0"/>
        <n v="771.0"/>
        <n v="142403.0"/>
        <n v="21176.0"/>
        <n v="299852.0"/>
        <n v="249688.0"/>
        <n v="22823.0"/>
        <n v="76842.0"/>
        <n v="25843.0"/>
        <n v="41856.0"/>
        <n v="561773.0"/>
        <n v="112175.0"/>
        <n v="98403.0"/>
        <n v="223127.0"/>
        <n v="29523.0"/>
        <n v="272670.0"/>
        <n v="33180.0"/>
        <n v="144021.0"/>
        <n v="20163.0"/>
        <n v="41663.0"/>
        <n v="67296.0"/>
        <n v="71754.0"/>
        <n v="531.0"/>
        <n v="61417.0"/>
        <n v="25883.0"/>
        <n v="177653.0"/>
        <n v="47876.0"/>
        <n v="54190.0"/>
        <n v="34964.0"/>
        <n v="74743.0"/>
        <n v="25063.0"/>
        <n v="38985.0"/>
        <n v="92461.0"/>
        <n v="68406.0"/>
        <n v="75365.0"/>
        <n v="9540.0"/>
        <n v="113152.0"/>
        <n v="123940.0"/>
        <n v="87745.0"/>
        <n v="48322.0"/>
        <n v="315549.0"/>
        <n v="80196.0"/>
        <n v="9010.0"/>
        <n v="20419.0"/>
        <n v="56874.0"/>
        <n v="119450.0"/>
        <n v="29613.0"/>
        <n v="19611.0"/>
        <n v="104991.0"/>
        <n v="290949.0"/>
        <n v="125421.0"/>
        <n v="22147.0"/>
        <n v="54147.0"/>
        <n v="47297.0"/>
        <n v="467113.0"/>
        <n v="405973.0"/>
        <n v="9408.0"/>
        <n v="237248.0"/>
        <n v="21506.0"/>
        <n v="10472.0"/>
        <n v="2265.0"/>
        <n v="15088.0"/>
        <n v="62037.0"/>
        <n v="146899.0"/>
        <n v="30836.0"/>
        <n v="12366.0"/>
        <n v="5613.0"/>
        <n v="19918.0"/>
        <n v="354228.0"/>
        <n v="72673.0"/>
        <n v="922.0"/>
        <n v="162130.0"/>
        <n v="13485.0"/>
        <n v="30213.0"/>
        <n v="96654.0"/>
        <n v="22207.0"/>
        <n v="8860.0"/>
        <n v="36918.0"/>
        <n v="102933.0"/>
        <n v="46961.0"/>
        <n v="48.0"/>
        <n v="79186.0"/>
        <n v="267921.0"/>
        <n v="2482.0"/>
        <n v="781.0"/>
        <n v="29205.0"/>
        <n v="91414.0"/>
        <n v="47364.0"/>
        <n v="173848.0"/>
        <n v="35586.0"/>
        <n v="97775.0"/>
        <n v="46076.0"/>
        <n v="479453.0"/>
        <n v="12993.0"/>
        <n v="155262.0"/>
        <n v="38203.0"/>
        <n v="278362.0"/>
        <n v="15046.0"/>
        <n v="133076.0"/>
        <n v="152601.0"/>
        <n v="95437.0"/>
        <n v="160511.0"/>
        <n v="73368.0"/>
        <n v="35514.0"/>
        <n v="48346.0"/>
        <n v="5275.0"/>
        <n v="28513.0"/>
        <n v="81444.0"/>
        <n v="24089.0"/>
        <n v="27260.0"/>
        <n v="62364.0"/>
        <n v="54077.0"/>
        <n v="75280.0"/>
        <n v="32544.0"/>
        <n v="55630.0"/>
        <n v="42737.0"/>
        <n v="14005.0"/>
        <n v="61360.0"/>
        <n v="199025.0"/>
        <n v="97938.0"/>
        <n v="54314.0"/>
        <n v="101287.0"/>
        <n v="30890.0"/>
        <n v="207686.0"/>
        <n v="61490.0"/>
        <n v="25474.0"/>
        <n v="43559.0"/>
        <n v="19686.0"/>
        <n v="22449.0"/>
        <n v="344.0"/>
        <n v="35508.0"/>
        <n v="258078.0"/>
        <n v="225102.0"/>
        <n v="296.0"/>
        <n v="54421.0"/>
        <n v="60460.0"/>
        <n v="285623.0"/>
        <n v="774.0"/>
        <n v="32399.0"/>
        <n v="218341.0"/>
        <n v="34809.0"/>
        <n v="19176.0"/>
        <n v="87538.0"/>
        <n v="50199.0"/>
        <n v="3274.0"/>
        <n v="5744.0"/>
        <n v="168314.0"/>
        <n v="98160.0"/>
        <n v="569841.0"/>
        <n v="28951.0"/>
        <n v="56654.0"/>
        <n v="12125.0"/>
        <n v="220591.0"/>
        <n v="139593.0"/>
        <n v="71276.0"/>
        <n v="284852.0"/>
        <n v="71527.0"/>
        <n v="138190.0"/>
        <n v="112769.0"/>
        <n v="41170.0"/>
        <n v="2281.0"/>
        <n v="111526.0"/>
        <n v="39782.0"/>
        <n v="13622.0"/>
        <n v="5178.0"/>
        <n v="57578.0"/>
        <n v="65464.0"/>
        <n v="518537.0"/>
        <n v="303864.0"/>
        <n v="261069.0"/>
        <n v="19236.0"/>
        <n v="885175.0"/>
        <n v="61621.0"/>
        <n v="5600.0"/>
        <n v="156225.0"/>
        <n v="56509.0"/>
        <n v="147641.0"/>
        <n v="7690.0"/>
        <n v="514125.0"/>
        <n v="10680.0"/>
        <n v="110390.0"/>
        <n v="45798.0"/>
        <n v="295375.0"/>
        <n v="15033.0"/>
        <n v="2742.0"/>
        <n v="89770.0"/>
        <n v="7199.0"/>
        <n v="41273.0"/>
        <n v="17982.0"/>
        <n v="67653.0"/>
        <n v="89383.0"/>
        <n v="20688.0"/>
        <n v="36144.0"/>
        <n v="91.0"/>
        <n v="32157.0"/>
        <n v="59507.0"/>
        <n v="99043.0"/>
        <n v="28618.0"/>
        <n v="265507.0"/>
        <n v="3665.0"/>
        <n v="305008.0"/>
        <n v="105478.0"/>
        <n v="69484.0"/>
        <n v="77656.0"/>
        <n v="273556.0"/>
        <n v="16555.0"/>
        <n v="44816.0"/>
        <n v="96385.0"/>
        <n v="119675.0"/>
        <n v="33107.0"/>
        <n v="81888.0"/>
        <n v="87203.0"/>
        <n v="837759.0"/>
        <n v="98535.0"/>
        <n v="141414.0"/>
        <n v="2725.0"/>
        <n v="4564.0"/>
        <n v="4687.0"/>
        <n v="11476.0"/>
        <n v="34098.0"/>
        <n v="279093.0"/>
        <n v="88590.0"/>
        <n v="8535.0"/>
        <n v="27266.0"/>
        <n v="38191.0"/>
        <n v="30339.0"/>
        <n v="9171.0"/>
        <n v="44296.0"/>
        <n v="75201.0"/>
        <n v="82327.0"/>
        <n v="85024.0"/>
        <n v="44662.0"/>
        <n v="15866.0"/>
        <n v="6084.0"/>
        <n v="132149.0"/>
        <n v="22649.0"/>
        <n v="48629.0"/>
        <n v="431620.0"/>
        <n v="69759.0"/>
        <n v="6377.0"/>
        <n v="110614.0"/>
        <n v="14888.0"/>
        <n v="5061.0"/>
        <n v="97664.0"/>
        <n v="73950.0"/>
        <n v="40654.0"/>
        <n v="31836.0"/>
        <n v="19547.0"/>
        <n v="5796.0"/>
        <n v="53115.0"/>
        <n v="12047.0"/>
        <n v="124765.0"/>
        <n v="24285.0"/>
        <n v="125198.0"/>
        <n v="46451.0"/>
        <n v="22697.0"/>
        <n v="106790.0"/>
        <n v="3875.0"/>
        <n v="53053.0"/>
        <n v="411164.0"/>
        <n v="473887.0"/>
        <n v="128629.0"/>
        <n v="3174.0"/>
        <n v="248045.0"/>
        <n v="9334.0"/>
        <n v="130776.0"/>
        <n v="64556.0"/>
        <n v="248468.0"/>
        <n v="33884.0"/>
        <n v="213275.0"/>
        <n v="340085.0"/>
        <n v="158354.0"/>
        <n v="21416.0"/>
        <n v="68222.0"/>
        <n v="97697.0"/>
        <n v="34219.0"/>
        <n v="63733.0"/>
        <n v="35172.0"/>
        <n v="73193.0"/>
        <n v="21396.0"/>
        <n v="14143.0"/>
        <n v="9427.0"/>
        <n v="8913.0"/>
        <n v="37885.0"/>
        <n v="32103.0"/>
        <n v="37479.0"/>
        <n v="96410.0"/>
        <n v="143525.0"/>
        <n v="181749.0"/>
        <n v="73249.0"/>
        <n v="25613.0"/>
        <n v="123390.0"/>
        <n v="34194.0"/>
        <n v="145852.0"/>
        <n v="7394.0"/>
        <n v="44885.0"/>
        <n v="564.0"/>
        <n v="63951.0"/>
        <n v="59637.0"/>
        <n v="10672.0"/>
        <n v="55101.0"/>
        <n v="87494.0"/>
        <n v="912.0"/>
        <n v="107772.0"/>
        <n v="69860.0"/>
        <n v="21245.0"/>
        <n v="71574.0"/>
        <n v="29147.0"/>
        <n v="85844.0"/>
        <n v="2601.0"/>
        <n v="192940.0"/>
        <n v="26551.0"/>
        <n v="188785.0"/>
        <n v="63459.0"/>
        <n v="40618.0"/>
        <n v="7392.0"/>
        <n v="98989.0"/>
        <n v="17333.0"/>
        <n v="5841.0"/>
        <n v="240396.0"/>
        <n v="70274.0"/>
        <n v="12937.0"/>
        <n v="9418.0"/>
        <n v="94139.0"/>
        <n v="296904.0"/>
        <n v="136673.0"/>
        <n v="168203.0"/>
        <n v="40277.0"/>
        <n v="42324.0"/>
        <n v="16673.0"/>
        <n v="18571.0"/>
        <n v="15310.0"/>
        <n v="40878.0"/>
        <n v="103022.0"/>
        <n v="29629.0"/>
        <n v="2599.0"/>
        <n v="68720.0"/>
        <n v="52467.0"/>
        <n v="6701.0"/>
        <n v="50197.0"/>
        <n v="14018.0"/>
        <n v="40346.0"/>
        <n v="300542.0"/>
        <n v="21102.0"/>
        <n v="73539.0"/>
        <n v="26624.0"/>
        <n v="3291.0"/>
        <n v="16059.0"/>
        <n v="6082.0"/>
        <n v="87768.0"/>
        <n v="86374.0"/>
        <n v="37911.0"/>
        <n v="34471.0"/>
        <n v="142496.0"/>
        <n v="45799.0"/>
        <n v="36223.0"/>
        <n v="2909.0"/>
        <n v="78883.0"/>
        <n v="14354.0"/>
        <n v="383427.0"/>
        <n v="45602.0"/>
        <n v="82819.0"/>
        <n v="172878.0"/>
        <n v="200293.0"/>
        <n v="33567.0"/>
        <n v="2724.0"/>
        <n v="26893.0"/>
        <n v="161168.0"/>
        <n v="48095.0"/>
        <n v="32415.0"/>
        <n v="65512.0"/>
        <n v="236000.0"/>
        <n v="4670.0"/>
        <n v="24834.0"/>
        <n v="94292.0"/>
        <n v="74887.0"/>
        <n v="16300.0"/>
        <n v="107028.0"/>
        <n v="54710.0"/>
        <n v="59524.0"/>
        <n v="74957.0"/>
        <n v="71321.0"/>
        <n v="8224.0"/>
        <n v="112138.0"/>
        <n v="356181.0"/>
        <n v="37530.0"/>
        <n v="142619.0"/>
        <n v="68119.0"/>
        <n v="58743.0"/>
        <n v="85237.0"/>
        <n v="4191.0"/>
        <n v="67604.0"/>
        <n v="57661.0"/>
        <n v="63330.0"/>
        <n v="213898.0"/>
        <n v="22961.0"/>
        <n v="141425.0"/>
        <n v="142448.0"/>
        <n v="57674.0"/>
        <n v="9740.0"/>
        <n v="36471.0"/>
        <n v="431578.0"/>
        <n v="6183.0"/>
        <n v="16234.0"/>
        <n v="260939.0"/>
        <n v="26236.0"/>
        <n v="29392.0"/>
        <n v="357581.0"/>
        <n v="56403.0"/>
        <n v="25541.0"/>
        <n v="348861.0"/>
        <n v="105797.0"/>
        <n v="111841.0"/>
        <n v="120189.0"/>
        <n v="333248.0"/>
        <n v="83893.0"/>
        <n v="56923.0"/>
        <n v="174578.0"/>
        <n v="37700.0"/>
        <n v="1686.0"/>
        <n v="39095.0"/>
        <n v="12160.0"/>
        <n v="114553.0"/>
        <n v="6838.0"/>
        <n v="3709.0"/>
        <n v="109873.0"/>
        <n v="143628.0"/>
        <n v="21360.0"/>
        <n v="34597.0"/>
        <n v="92712.0"/>
        <n v="71424.0"/>
        <n v="89442.0"/>
        <n v="263853.0"/>
        <n v="158267.0"/>
        <n v="87090.0"/>
        <n v="172754.0"/>
        <n v="13521.0"/>
        <n v="28109.0"/>
        <n v="183288.0"/>
        <n v="80580.0"/>
        <n v="17169.0"/>
        <n v="14112.0"/>
        <n v="76151.0"/>
        <n v="16224.0"/>
        <n v="22243.0"/>
        <n v="52244.0"/>
        <n v="11600.0"/>
        <n v="6304.0"/>
        <n v="171568.0"/>
        <n v="732212.0"/>
        <n v="1560.0"/>
        <n v="34359.0"/>
        <n v="28632.0"/>
        <n v="12561.0"/>
        <n v="56741.0"/>
        <n v="62584.0"/>
        <n v="31371.0"/>
        <n v="844052.0"/>
        <n v="82731.0"/>
        <n v="746.0"/>
        <n v="52972.0"/>
        <n v="44021.0"/>
        <n v="142569.0"/>
        <n v="212167.0"/>
        <n v="20426.0"/>
        <n v="34224.0"/>
        <n v="69576.0"/>
        <n v="307539.0"/>
        <n v="200077.0"/>
        <n v="95294.0"/>
        <n v="270207.0"/>
        <n v="28942.0"/>
        <n v="29322.0"/>
        <n v="190132.0"/>
        <n v="76207.0"/>
        <n v="47612.0"/>
        <n v="121084.0"/>
        <n v="28621.0"/>
        <n v="479166.0"/>
        <n v="91377.0"/>
        <n v="158720.0"/>
        <n v="2735.0"/>
        <n v="166137.0"/>
        <n v="102125.0"/>
        <n v="81699.0"/>
        <n v="30618.0"/>
        <n v="8895.0"/>
        <n v="57281.0"/>
        <n v="10986.0"/>
        <n v="8465.0"/>
        <n v="8014.0"/>
        <n v="161288.0"/>
        <n v="44795.0"/>
        <n v="46813.0"/>
        <n v="41259.0"/>
        <n v="39680.0"/>
        <n v="55567.0"/>
        <n v="54021.0"/>
        <n v="44103.0"/>
        <n v="463.0"/>
        <n v="1977.0"/>
        <n v="114610.0"/>
        <n v="92237.0"/>
        <n v="651.0"/>
        <n v="55008.0"/>
        <n v="120786.0"/>
        <n v="9456.0"/>
        <n v="379462.0"/>
        <n v="29385.0"/>
        <n v="49207.0"/>
        <n v="14247.0"/>
        <n v="13874.0"/>
        <n v="178126.0"/>
        <n v="55816.0"/>
        <n v="13505.0"/>
        <n v="5900.0"/>
        <n v="39331.0"/>
        <n v="41763.0"/>
        <n v="15697.0"/>
        <n v="51252.0"/>
        <n v="38658.0"/>
        <n v="124641.0"/>
        <n v="4546.0"/>
        <n v="183247.0"/>
        <n v="31968.0"/>
        <n v="88270.0"/>
        <n v="440084.0"/>
        <n v="63493.0"/>
        <n v="79877.0"/>
        <n v="585659.0"/>
        <n v="13815.0"/>
        <n v="34848.0"/>
        <n v="80556.0"/>
        <n v="54631.0"/>
        <n v="186786.0"/>
        <n v="102747.0"/>
        <n v="58402.0"/>
        <n v="3299.0"/>
        <n v="286877.0"/>
        <n v="165618.0"/>
        <n v="169914.0"/>
        <n v="120795.0"/>
        <n v="2236.0"/>
        <n v="497946.0"/>
        <n v="20275.0"/>
        <n v="4387.0"/>
        <n v="96607.0"/>
        <n v="53970.0"/>
        <n v="170684.0"/>
        <n v="182718.0"/>
        <n v="2039.0"/>
        <n v="350698.0"/>
        <n v="16437.0"/>
        <n v="20000.0"/>
        <n v="64322.0"/>
        <n v="38983.0"/>
        <n v="247020.0"/>
        <n v="20307.0"/>
        <n v="151424.0"/>
        <n v="44143.0"/>
        <n v="22161.0"/>
        <n v="40800.0"/>
        <n v="383784.0"/>
        <n v="14429.0"/>
        <n v="100890.0"/>
        <n v="23928.0"/>
        <n v="45580.0"/>
        <n v="12241.0"/>
        <n v="275868.0"/>
        <n v="221000.0"/>
        <n v="92364.0"/>
        <n v="172792.0"/>
        <n v="544884.0"/>
        <n v="59068.0"/>
        <n v="51314.0"/>
        <n v="30628.0"/>
        <n v="447979.0"/>
        <n v="66511.0"/>
        <n v="3803.0"/>
        <n v="55842.0"/>
        <n v="44723.0"/>
        <n v="65551.0"/>
        <n v="104831.0"/>
        <n v="286095.0"/>
        <n v="44931.0"/>
        <n v="245152.0"/>
        <n v="4977.0"/>
        <n v="2792.0"/>
        <n v="12942.0"/>
        <n v="533607.0"/>
        <n v="112669.0"/>
        <n v="21542.0"/>
        <n v="17068.0"/>
        <n v="26720.0"/>
        <n v="55040.0"/>
        <n v="775.0"/>
        <n v="57276.0"/>
        <n v="270226.0"/>
        <n v="35830.0"/>
        <n v="107227.0"/>
        <n v="372990.0"/>
        <n v="35312.0"/>
        <n v="149337.0"/>
        <n v="184641.0"/>
        <n v="160281.0"/>
        <n v="144053.0"/>
        <n v="102861.0"/>
        <n v="35888.0"/>
        <n v="208817.0"/>
        <n v="181879.0"/>
        <n v="58297.0"/>
        <n v="8398.0"/>
        <n v="245621.0"/>
        <n v="36455.0"/>
        <n v="271592.0"/>
        <n v="31191.0"/>
        <n v="199056.0"/>
        <n v="664719.0"/>
        <n v="220475.0"/>
        <n v="77366.0"/>
        <n v="1324.0"/>
        <n v="12375.0"/>
        <n v="887467.0"/>
        <n v="179500.0"/>
        <n v="482064.0"/>
        <n v="75306.0"/>
        <n v="89128.0"/>
        <n v="3754.0"/>
        <n v="260442.0"/>
        <n v="135601.0"/>
        <n v="17262.0"/>
        <n v="10082.0"/>
        <n v="21613.0"/>
        <n v="21319.0"/>
        <n v="283967.0"/>
        <n v="93548.0"/>
        <n v="17365.0"/>
        <n v="1427.0"/>
        <n v="40858.0"/>
        <n v="32382.0"/>
        <n v="5668.0"/>
        <n v="980946.0"/>
        <n v="58961.0"/>
        <n v="62468.0"/>
        <n v="72693.0"/>
        <n v="12572.0"/>
        <n v="439176.0"/>
        <n v="553.0"/>
        <n v="39440.0"/>
        <n v="63067.0"/>
        <n v="42987.0"/>
        <n v="75329.0"/>
        <n v="465019.0"/>
        <n v="138435.0"/>
        <n v="40227.0"/>
        <n v="19114.0"/>
        <n v="66610.0"/>
        <n v="4820.0"/>
        <n v="132048.0"/>
        <n v="44979.0"/>
        <n v="50337.0"/>
        <n v="76882.0"/>
        <n v="73640.0"/>
        <n v="20616.0"/>
        <n v="20219.0"/>
        <n v="4995.0"/>
        <n v="243053.0"/>
        <n v="243834.0"/>
        <n v="9971.0"/>
        <n v="196217.0"/>
        <n v="99177.0"/>
        <n v="51353.0"/>
        <n v="5931.0"/>
        <n v="221521.0"/>
        <n v="16761.0"/>
        <n v="4663.0"/>
        <n v="444683.0"/>
        <n v="49536.0"/>
        <n v="43006.0"/>
        <n v="11512.0"/>
        <n v="26493.0"/>
        <n v="60555.0"/>
        <n v="16580.0"/>
        <n v="168717.0"/>
        <n v="27265.0"/>
        <n v="54042.0"/>
        <n v="22773.0"/>
        <n v="154938.0"/>
        <n v="58752.0"/>
        <n v="6965.0"/>
        <n v="23629.0"/>
        <n v="153468.0"/>
        <n v="66593.0"/>
        <n v="480.0"/>
        <n v="10735.0"/>
        <n v="133966.0"/>
        <n v="220392.0"/>
        <n v="185394.0"/>
        <n v="586.0"/>
        <n v="39764.0"/>
        <n v="28099.0"/>
        <n v="222403.0"/>
        <n v="928227.0"/>
        <n v="9811.0"/>
        <n v="5663.0"/>
        <n v="26310.0"/>
        <n v="7664.0"/>
        <n v="348232.0"/>
        <n v="138814.0"/>
        <n v="146708.0"/>
        <n v="1048.0"/>
        <n v="26846.0"/>
        <n v="84641.0"/>
        <n v="15877.0"/>
        <n v="19147.0"/>
        <n v="83560.0"/>
        <n v="72085.0"/>
        <n v="85720.0"/>
        <n v="531737.0"/>
        <n v="8720.0"/>
        <n v="203269.0"/>
        <n v="268581.0"/>
        <n v="35140.0"/>
        <n v="156929.0"/>
        <n v="46480.0"/>
        <n v="69319.0"/>
        <n v="284252.0"/>
        <n v="129601.0"/>
        <n v="23021.0"/>
        <n v="40941.0"/>
        <n v="385670.0"/>
        <n v="4086.0"/>
        <n v="266636.0"/>
        <n v="23836.0"/>
        <n v="61777.0"/>
        <n v="2045.0"/>
        <n v="200556.0"/>
        <n v="19284.0"/>
        <n v="19616.0"/>
        <n v="81442.0"/>
        <n v="86504.0"/>
        <n v="12596.0"/>
        <n v="9785.0"/>
        <n v="2618.0"/>
        <n v="20740.0"/>
        <n v="79264.0"/>
        <n v="6915.0"/>
        <n v="46107.0"/>
        <n v="174248.0"/>
        <n v="22010.0"/>
        <n v="44966.0"/>
        <n v="61114.0"/>
        <n v="21767.0"/>
        <n v="42765.0"/>
        <n v="23579.0"/>
        <n v="6484.0"/>
        <n v="15230.0"/>
        <n v="8429.0"/>
        <n v="26407.0"/>
        <n v="40651.0"/>
        <n v="16411.0"/>
        <n v="66483.0"/>
        <n v="99353.0"/>
        <n v="67005.0"/>
        <n v="110364.0"/>
        <n v="891.0"/>
        <n v="12093.0"/>
        <n v="33354.0"/>
        <n v="60407.0"/>
        <n v="5971.0"/>
        <n v="289508.0"/>
        <n v="212085.0"/>
        <n v="145270.0"/>
        <n v="321227.0"/>
        <n v="3142.0"/>
        <n v="88844.0"/>
        <n v="84209.0"/>
        <n v="33669.0"/>
      </sharedItems>
    </cacheField>
    <cacheField name="plot_keywords" numFmtId="0">
      <sharedItems>
        <s v="alien|cult film|mission control|product placement|rescue"/>
        <s v="athlete|extreme sports|fbi|fbi agent|heist"/>
        <s v="1980s|hockey|ice hockey|olympics|soviet union"/>
        <s v="balladeer|bar|drifter|mexican|revenge"/>
        <s v="altering history|alternate history|amateur radio|ham radio|paranormal phenomena"/>
        <s v="casino|football|sheriff|special forces|violence"/>
        <s v="black comedy|cunnilingus|neo noir|nonlinear timeline|postmodern"/>
        <s v="curse|death|island|love|magic"/>
        <s v="boy|disease|hemophagia|speed|vampire"/>
        <s v="african american|black history|civil rights|ku klux klan|nation of islam"/>
        <s v="army|helicopter|somali|somalia|warlord"/>
        <s v="father son relationship|interracial relationship|neo western|sheriff|texas"/>
        <s v="police surveillance|surveillance van|tailing a suspect|tourist|venice italy"/>
        <s v="divorce|friend|jewish|lent|restaurant"/>
        <s v="film set|movie set|sequel|slow motion|urban legend"/>
        <s v="first daughter|photographer|prague|president|secret service agent"/>
        <s v="conjoined twins|independent film|low budget film|separation|twin"/>
        <s v="crocodile|eaten alive|lake|maine|sheriff"/>
        <s v="health care|heart transplant|hospital|hostage|insurance"/>
        <s v="hoop|horseback riding|love|pirate|singer"/>
        <s v="bestiality|brother sister incest|fisting|hit on the head with a pipe|wedding"/>
        <s v="accident|conspiracy|police|police officer|village"/>
        <s v="basketball|catholic|coach|college|nun"/>
        <s v="misfit|police|police academy|police cadet|police officer"/>
        <s v="ghost|new york city|phantom|skull|superhero"/>
        <s v="freddy krueger|lucid dream|serial killer|slasher|sleep deprivation"/>
        <s v="baby|friendship|macau|practical joke|selfie"/>
        <s v="embarrassment|falling in love|love|love triangle|revelation"/>
        <s v="bank|black comedy|main characters killed off|money|robbery"/>
        <s v="hospital|kansas city|obsession|salesman|soap opera"/>
        <s v="black u.s. president|president|secret service|tour|white house"/>
        <s v="box office hit|dc comics|gotham|mayor|penguin"/>
        <s v="alien|human versus alien|monster|rescue mission|space marine"/>
        <s v="hired killer|marriage|neighbor|on the run|store clerk"/>
        <s v="bartender|christmas|christmas eve|department store|drink"/>
        <s v="blood|death|hybrid|vampire|werewolf"/>
        <s v="celebrity|party|pig|starlet|writer"/>
        <s v="blood splatter|island|motorboat|ninja|sequel to cult film"/>
        <s v="car hitting pedestrian|china|fan|nineteenth century|reversal of fortune"/>
        <s v="chase|fbi|garage|spy|surveillance"/>
        <s v="cheerleader|father son relationship|football coach|loss of father|mother son relationship"/>
        <s v="9 year old|blood|gramophone|house|missing children"/>
        <s v="beach|friend|friendship|happiness|neighbor"/>
        <s v="butler|housekeeper|manor|servant|service"/>
        <s v="bank|infidelity|millionaire|money|scam"/>
        <s v="ghost|ghostbuster|ghostbusters|male objectification|reboot"/>
        <s v="cancun mexico|mexico|spring break|vacation|wisconsin"/>
        <s v="africa|madagascar|new york city|sequel|zoo"/>
        <s v="friendship|graduation|revenge|vampire|werewolf"/>
        <s v="drugs|ex cop|gun fu|machismo|shootout"/>
        <s v="kidnapping|partner|ransom|school|secret service"/>
        <s v="colon in title|horse|kentucky|overalls|six word title"/>
        <s v="dragon|england|human dragon relationship|king|knight"/>
        <s v="capitalist|detective|investigation|new york city|police"/>
        <s v="animate doll|doll|england|nanny|surprise ending"/>
        <s v="baptism|greek|greek restaurant|prejudice|travel agency"/>
        <s v="factory|flint michigan|general motors|michigan|quest"/>
        <s v="love crime|love triangle|lust|sister sister relationship|unrequited love"/>
        <s v="disney spoof|fairy tale|prince|princess|tough guy"/>
        <s v="farm|handheld camera|impostor|rap|rock paper scissors"/>
        <s v="binoculars|electronic tag|house arrest|neighbor|watching someone"/>
        <s v="casino|heist|manmade earthquake|revenge|tunnel boring machine"/>
        <s v="gang banger|sequel|shakespeare's hamlet|student|time machine"/>
        <s v="detective|detective novel|fantasy sequence|hallucination|writer"/>
        <s v="burlesque|dancer|iowa|small town girl|stage"/>
        <s v="governor|intern|manager|ohio|politics"/>
        <s v="desert planet|dune|giant worm|space travel|spice"/>
        <s v="farm|female protagonist|hannah montana|horseback riding|overalls"/>
        <s v="brother brother relationship|brother sister relationship|good versus evil|king|narnia"/>
        <s v="christian|coach|faith|football|football team"/>
        <s v="assassin|ex soldier|gangster|hanged man|mysterious past"/>
        <s v="flash of genius|genius|intellectual property|professor|university"/>
        <s v="based on play|blood|independent film|teenager|zombie"/>
        <s v="africa|anthropologist|murder|poacher|psychiatrist"/>
        <s v="austria|children|governess|love|orchestral music score"/>
        <s v="christmas|family dinner|husband wife conflict|husband wife kiss|large family"/>
        <s v="assassination attempt|capitalism|cocaine|cuban american|cuban refugee"/>
        <s v="alien|escape|hunting|hybrid|predator"/>
        <s v="cult film|halloween|killer|michael myers|serial killer"/>
        <s v="dog|friend|neighborhood|planet|star"/>
        <s v="desert storm|fbi|fbi agent|fragmentation grenade|woman kills attacker"/>
        <s v="american|lieutenant colonel|mission|rescue|soldier"/>
        <s v="clone|cloning|future|laser gun|murder"/>
        <s v="diamond|duck|monkey|spy|stuntman"/>
        <s v="musician|number in title|recording|sibling"/>
        <s v="aging|hdtv|high definition television|love|marriage"/>
        <s v="19th century|california|revenge|training|zorro"/>
        <s v="carl jung|patient|psychoanalysis|russian|sigmund freud"/>
        <s v="black dahlia|boxer|corpse|death|partner"/>
        <s v="cartoon on tv|reference to frankenstein|reference to jimi hendrix|scene during end credits|surrealism"/>
        <s v="gold|gold mine|miner|railroad|surveyor"/>
        <s v="bad|dragon|grandfather|orb|warrior"/>
        <s v="alcoholic drink|bar|drink|drinking|drunk"/>
        <s v="drugs|flood|hallucination|lieutenant|murder investigation"/>
        <s v="band|drummer|jazz|pennsylvania|song"/>
        <s v="architect|bank|cayman islands|meeting|murder"/>
        <s v="coming of age|friendship|private school|student|teacher"/>
        <s v="analyst|defection|navy|soviet submarine|submarine"/>
        <s v="bounty hunter|brother sister team|death of loved one|hansel and gretel|supernatural power"/>
        <s v="bar|box office flop|hostage|new orleans louisiana|police"/>
        <s v="older man younger man relationship|punching bag|school teacher|undressing|unrequited love"/>
        <s v="bank|bank clerk|gangster|loki|mask"/>
        <s v="makeover|party|playboy|playboy mansion|sorority"/>
        <s v="anti hero|criminal|greed|prostitute|tough guy"/>
        <s v="fire|jungle|remake|tiger|wolf"/>
        <s v="bare chested male|chips|two word title"/>
        <s v="father|penguin|snowglobe|son|winter"/>
        <s v="1930s|depression|play|theatre|union"/>
        <s v="american|french|saigon|vietnam|vietnamese"/>
        <s v="anger|family reunion|father son reunion|hugging|movie making"/>
        <s v="love|necktie|partner|rock music|tuxedo"/>
        <s v="commitment|marriage|pizza|title appears in writing|woman wearing only a man's shirt"/>
        <s v="creature|demon|king|reward|warrior"/>
        <s v="5th century|boy|capri|roman legion|soldier"/>
        <s v="drag queen|physical appearance|princess|queen|sequel"/>
        <s v="best friend|chick flick|male female friendship|promise|wedding"/>
        <s v="flight|flight attendant|kentucky|shoes|travel"/>
        <s v="crossword puzzle|cryptography|enigma code|gay lead character|world war two"/>
        <s v="abandoned|depot|dwarf|newfoundland new jersey|train"/>
        <s v="book|found footage|research|snuff film|writer"/>
        <s v="arab|bare chested male|foreign legion|french foreign legion|morocco"/>
        <s v="disposing of a dead body|high school student|murder|sociopath|teenage boy"/>
        <s v="fbi director|guinea pig|household appliance|secret agent|talking mouse"/>
        <s v="desert|friend|friendship|minimal dialogue|water"/>
        <s v="boat on fire|drug smuggling|fbi|fbi agent|small town"/>
        <s v="college|drugs|hidden camera|tattoo|undercover"/>
        <s v="hotel|maid|new york city|place name in title|the bronx"/>
        <s v="directed by star|indian american|spelling|spelling bee|two word title"/>
        <s v="albanian|revenge|revenge motive|teenage daughter|vacation"/>
        <s v="car breakdown|diner|jeep|paranoia|violence"/>
        <s v="angel|devil|flask|hell|the devil"/>
        <s v="1st century|based on the bible|miracle|religion|resurrection"/>
        <s v="army|black soldier|military uniform|prejudice|u.s. civil war"/>
        <s v="alien|estranged couple|ocean|submarine|underwater"/>
        <s v="gangster|gun|internal affairs|police|police officer"/>
        <s v="children|studio logo segues into film|temple|village|white dinner jacket"/>
        <s v="gold|gulf war|iraq|kuwait|map"/>
        <s v="alien|alien race|convention|fan|general"/>
        <s v="best friend|cartoon on tv|custody battle|gay|gay friend"/>
        <s v="cheerfulness|female protagonist|garden gnome|magical realism|waitress"/>
        <s v="ant|miniaturization|punishment|shrinking|sudden change in size"/>
        <s v="cigarette smoking|dea|drugs|inspired by true events|undercover"/>
        <s v="fair|pakistan|prison|rescue|stranded"/>
        <s v="education|english teacher|poet|professor|student"/>
        <s v="cover band|fired from a job|heavy metal|rock star|tribute band"/>
        <s v="barbed wire|british|cavalry|horse|world war one"/>
        <s v="boy|caretaker|dam|evacuation|orphanage"/>
        <s v="battle|massacre|navigator|navy|rescue"/>
        <s v="gay pride|highway travel|president|road movie|u.s. president"/>
        <s v="blackmail|investigation|murder|panties pulled down|prostitution"/>
        <s v="alcatraz|fbi|gold|prison|undercover"/>
        <s v="daughter|englishman|ex con|revenge|young woman"/>
        <s v="king|king george vi|speech|speech therapist|throne"/>
        <s v="blood splatter|fbi|murder|secretary general|united nations"/>
        <s v="boyhood friend|manager|plasma tv|prodigy|star"/>
        <s v="babysitter|halloween|house|neighbor|suburb"/>
        <s v="alien|high school|ohio|photographer|water"/>
        <s v="auction|montreal|secret|violin|violinist"/>
        <s v="ballet|dance|dancer|dancing|love"/>
        <s v="jesuit|jew|pope|priest|ss"/>
        <s v="baby|cartoon on tv|cartoonist|dog|mask"/>
        <s v="cave bear|cro magnon|neanderthal|survival|tradition"/>
        <s v="campaigning|candidate|election|governor|president"/>
        <s v="community service|love|punishment|school|student"/>
        <s v="ambulance|ghost|hell|paramedic|rescue"/>
        <s v="friendship|honor|iraq war|soldier|texas"/>
        <s v="college|depression|grief|mental breakdown|post september 11 2001"/>
        <s v="law enforcement|police|robocop|robot|technology"/>
        <s v="army|brother sister relationship|dystopia|father son relationship|narrated by character"/>
        <s v="army|invasion|killed in action|normandy|soldier"/>
        <s v="awol|demand|driver|drugs|roses"/>
        <s v="film student|marriage|mental breakdown|movie star|obsession"/>
        <s v="cia|cia agent|fbi|mexico|train"/>
        <s v="general|gi joe|martial arts|ninja|president"/>
        <s v="jester|kansas|oz|princess|tornado"/>
        <s v="imperial japan|japan|japanese army|japanese soldier|world war two"/>
        <s v="colonel|general|military|prison|three star general"/>
        <s v="colombia|dream|love|surfer|village"/>
        <s v="battle|fight|mission|pg 13 sequel to r rated franchise|rescue"/>
        <s v="1960s|boy|ghost|murder|small town"/>
        <s v="art thief|insurance|mask|master thief|reference to iron maiden"/>
        <s v="coach|soccer|soccer coach|soccer mom|soccer team"/>
        <s v="caramel|friendship|police|secret|suitor"/>
        <s v="drug cartel|drug lord|james bond 007|personal vendetta|vengeance"/>
        <s v="curse|dark fantasy|fairy|king|kingdom"/>
        <s v="car motorcycle chase|one against many|oracle|prophecy|stylized violence"/>
        <s v="erectile dysfunction|mugger|mugging|subway robbery|therapy"/>
        <s v="biological father|dad|drinking|product placement|wilhelm scream"/>
        <s v="air raid|black smoke|japanese military|japanese navy|sunday"/>
        <s v="boy|christmas|christmas eve|north pole|train"/>
        <s v="captain|desert|major|park ranger|utah"/>
        <s v="breaking the fourth wall|looking at the camera|remake|serial killer|violence"/>
        <s v="blood splatter|friend|lapd|mexican|violence"/>
        <s v="black comedy|bureaucracy|dream|terrorist|wrongful arrest"/>
        <s v="countess|leo tolstoy|russian|wealth|writing"/>
        <s v="alaska|dog|friendship|gold|yukon"/>
        <s v="baby|childbirth|death|karma|publicist"/>
        <s v="crying woman|plot|suspect|waitress|younger man older woman relationship"/>
        <s v="critically bashed|kung fu|martial artist|martial arts|ninja"/>
        <s v="1920s|jack russell terrier|modern silent movie|movie star|movie studio"/>
        <s v="college|cruise|drag|female armpit hair|sorority"/>
        <s v="bodyguard|death of husband|male nanny|nanny|wrestling match"/>
        <s v="atlanta georgia|competition|dancer|death|fraternity"/>
        <s v="cruise|escape|ocean|passenger|water"/>
        <s v="based on stage musical based on film|child abuse|film director|italian|mistress"/>
        <s v="fish out of water|japanese|loneliness|older man younger woman relationship|unlikely friendship"/>
        <s v="box office hit|doctor|dog|first part|tiger"/>
        <s v="death|drug dealer|limousine|limousine driver|one night"/>
        <s v="best friend|friend|mother daughter relationship|small town|texas"/>
        <s v="boat|crocodile|garbage can|knife|paramount pictures"/>
        <s v="amnesia|reference to anastasia romanov|romanov|russia|russian revolution"/>
        <s v="brutality|evil|jason voorhees|paranormal phenomena|terror"/>
        <s v="based on true story|police|rescue|rubble|trapped"/>
        <s v="bar|divorce|friend|girl|male objectification"/>
        <s v="box office flop|critically bashed|gay rights|new york city|stonewall riots"/>
        <s v="cheerleader|cheerleading movie|neo noir|neo western|texas ranger"/>
        <s v="arena|boxing|boxing movie|robot|robot battle"/>
        <s v="church|cigarette smoking|deacon|twin brother|twins"/>
        <s v="cheerleader|foreign exchange student|incestuous desire|incestuous kiss|prom"/>
        <s v="army cid|cover up|military|murder|woman in military"/>
        <s v="african american|cadillac|disguise|secret agent|undercover"/>
        <s v="artist|black comedy"/>
        <s v="animal name in title|ape abducts a woman|gorilla|island|king kong"/>
        <s v="experiment|fast food|food industry|meal|overeating"/>
        <s v="college|misogyny|money|new friend|party"/>
        <s v="hostage|museum|natural history museum|news reporter|reporter"/>
        <s v="apartment building|found footage|television|trapped|virus"/>
        <s v="blood|book|love|potion|professor"/>
        <s v="creature|pact|plot twist|village|woods"/>
        <s v="epic|evil wizard|middle earth|ring|wizard"/>
        <s v="17th century|book|death|warlock|witch hunter"/>
        <s v="friend|friendship|rowing|storm|summer camp"/>
        <s v="court martial|death|girl|no man's land|soldier"/>
        <s v="aunt|immigrant|looting|love|nightclub singer"/>
        <s v="based on novel|depression|psychiatric ward|suicide attempt|therapy"/>
        <s v="bank|bank clerk|birthday|mail order bride|russian"/>
        <s v="box office flop|company|invention|roommate|surfer"/>
        <s v="child beauty pageant|grandson|hidden camera|jackass|road trip"/>
        <s v="mini dress|mini skirt|money|voyeur|voyeurism"/>
        <s v="male objectification|manipulative behavior|modern day adaptation|narcissistic woman|promiscuous woman"/>
        <s v="based on article|blindness|box office flop|massage therapist|regaining sight"/>
        <s v="cancer|gay bar|lesbian kiss|partner|public hearing"/>
        <s v="afghanistan|detainee|guantanamo bay|taxi|torture"/>
        <s v="afghanistan|death of soldier|presumed dead|prisoner|war trauma"/>
        <s v="based on tv series|love|prequel|the flintstones|title appears in song"/>
        <s v="airport|fuel|plane|police|terrorist"/>
        <s v="bright light|midnight|pet|small town|water"/>
        <s v="american|battalion|catholic|mexican|sergeant"/>
        <s v="cunnilingus|drug trafficking|lawyer|no panties|shootout"/>
        <s v="collision course|computer|cruise|diamonds|ship run aground"/>
        <s v="capture|computer hacker|mission|rogue agent|spy"/>
        <s v="alien|battle|defense|independence day|mothership"/>
        <s v="human versus dinosaur|lizard|primate|time travel|tyrannosaurus rex"/>
        <s v="boxer|boxing|dream|great depression|love"/>
        <s v="competition|dance contest|friend|money|street dancing"/>
        <s v="desert|fight|hill|murder|mutant"/>
        <s v="cider|farm|farmer|fox|tale"/>
        <s v="african american|catastrophe|family relationships|farewell scene|therapy"/>
        <s v="bounty hunter|escape|necromonger|planet|warrior"/>
        <s v="friend|obscenity|scam|vacant lot|van"/>
        <s v="coach|convict|football|prison|warden"/>
        <s v="angel|diner|faith|human race|religious faith"/>
        <s v="death|exorcism|heaven|priest|sin eater"/>
        <s v="children|identity|lawsuit|lawyer|sperm donor"/>
        <s v="based on poem|based on true story|china|one word title|the huns"/>
        <s v="battle of the bands|bill and ted|heaven|hell|robot"/>
        <s v="1970s|afterlife|heaven|pedophile|rape"/>
        <s v="coma|mysterious villain|police chase|shooting range|sniper"/>
        <s v="cross country|cross country trip|highway travel|on the road|road movie"/>
        <s v="camera focus on female butt|gay bar|millionaire|singing in a car|two word title"/>
        <s v="1810s|female protagonist|horseback riding|inheritance|three word title"/>
        <s v="boy|conscience|fairy|jiminy cricket|pinocchio"/>
        <s v="gay|graduate student|sister sister relationship|sprite|uncle nephew relationship"/>
        <s v="alien friendship|alien invasion|australia|flying car|mother daughter relationship"/>
        <s v="briefcase full of money|character repeating someone else's dialogue|character says i love you|friendship|reference to cinderella"/>
        <s v="beach|civil war|desert|dictator|ship"/>
        <s v="adult humor|best friend|friend|halloween|teenage girl"/>
        <s v="car chase|gangsta|gun fight|hitman|kitten"/>
        <s v="plastic surgeon|rejuvenation|revenge|rival|rivalry"/>
        <s v="con|grifter|lap dance|organized crime|shot in the forehead"/>
        <s v="box office flop|circus|imaginary friend|magician|one word title"/>
        <s v="able to see the dead|ghost|plot twist|psychic|surprise ending"/>
        <s v="astronaut|electrocuted in bathtub|mission|pilot|sister"/>
        <s v="birthday|doll|murder|serial killer|voodoo"/>
        <s v="basketball|mentor|new york|school|writing"/>
        <s v="birthday|boxing|coach|gym|olympics"/>
        <s v="butler|critically bashed|cure|freeze|gotham"/>
        <s v="company|corporate takeover|executive|magazine|new boss"/>
        <s v="children|epic|friend|girl|quest"/>
        <s v="basketball|german immigrant|opera|two word title|war orphan"/>
        <s v="murder|power|psychotronic|tough cop|union"/>
        <s v="alcoholic|beer|bicycle|new neighbor|yard sale"/>
        <s v="1930s|bomb|city|invisibility|the shadow"/>
        <s v="actor|client|new york|protection|scandal"/>
        <s v="food|inventor|island|orangutan|scientist"/>
        <s v="cat|diamond|ford mustang|james bond 007|yanked off bikini top"/>
        <s v="death star|empire|galactic war|princess|rebellion"/>
        <s v="actor playing himself|battle|boots|penis|womb"/>
        <s v="artificial intelligence|box office flop|fighter jet|navy|pilot"/>
        <s v="fbi agent|murder|performing arts school|scene during end credits|undercover"/>
        <s v="death|death of wife|murder|thief|violence"/>
        <s v="best friend|dinner|garage|narcotics anonymous|recovery"/>
        <s v="bail bond|bounty hunter|jeans|shot in the butt|title directed by female"/>
        <s v="driving a car down stairs|duct tape gag|held captive|murder of a police officer|sailing"/>
        <s v="choreographer|dance|dancer|dancing|hip hop"/>
        <s v="criminal|dirty cop|flashback|limping|suspect"/>
        <s v="alien|fight|storm|survival|tripod"/>
        <s v="alien|boy|nurse|school|school nurse"/>
        <s v="cold war|hungary|mole|spy|woman on top"/>
        <s v="blind date|law clerk|love|manhattan new york city|world trade center manhattan new york city"/>
        <s v="bus trip|parental love|retirement|surprise visit|train ride"/>
        <s v="california|desert|dying words|money|race"/>
        <s v="bank|bank fraud|bank manager|gambling|toronto"/>
        <s v="best friend|party|rival|scavenger hunt|sleepover"/>
        <s v="sandman|spider man|symbiote|venom|villain"/>
        <s v="ambiguous ending|corporate espionage|dream|subconscious|thief"/>
        <s v="answering machine|home movie|lithium|schizophrenic|video diary"/>
        <s v="based on short film|reference to avenged sevenfold|reference to slayer|switching lights on and off|two word title"/>
        <s v="ancient greece|forbidden love|hercules|king|slavery"/>
        <s v="future|kidnapping|missing file|paris france|year 2054"/>
        <s v="arms dealer|fictional government agency|mission|rescue|vatican"/>
        <s v="1955 chevrolet|nurse|peeping tom|reference to brooklyn dodgers|spying"/>
        <s v="based on novel|concrete wall|maze|open ended|teenage boy"/>
        <s v="casino|father son relationship|jackpot|judge|wedding"/>
        <s v="18 wheeler|mutant|ninja|sewer|turtle"/>
        <s v="future|sail|sea|smoker|water"/>
        <s v="boy|canada|hell|misunderstanding|refrence to liza minnelli"/>
        <s v="acrophobia|jamaica|male bonding|prostitute|tragedy"/>
        <s v="concert|love|music industry|panties|pole dancer"/>
        <s v="alien|extraterrestrial|invasion|marine|mission"/>
        <s v="1970s|cult film|official james bond series|submarine|world war three"/>
        <s v="fighter plane|jet fighter|refueling|russia|soviet union"/>
        <s v="country house|murder|producer|servant|shooting party"/>
        <s v="developer|divorce|lawyer|love|new york city"/>
        <s v="colonel|honor|lieutenant|pilot|racism"/>
        <s v="anti establishment|dark humor|fighting|multiple personality disorder|surprise ending"/>
        <s v="desert|giant worm|monster|pipe bomb|small town"/>
        <s v="chief of staff|contest|president|singing|terrorist"/>
        <s v="altering history|cartoon on tv|childhood|image consultant|one two combo"/>
        <s v="emaciation|ship|starvation|vomiting|whale"/>
        <s v="artificial insemination|best friend|new york city|sperm|sperm donor"/>
        <s v="american revolution|british|french|hero|standoff"/>
        <s v="deathbed|play|playwright|prison|theater"/>
        <s v="face slap|formula|overweight|professor|teacher"/>
        <s v="actor|conjoined twins|cook|internet|short order cook"/>
        <s v="dissection|male pubic hair|medical school|medical student|train"/>
        <s v="actor|breasts|film actress|nosferatu|vampire"/>
        <s v="bahamas|fisherman|hook|island|roommate"/>
        <s v="assassin|demon|hero|nazi|superhero"/>
        <s v="12th century|crusader|jerusalem|knight|medieval times"/>
        <s v="chase|heist|london england|mobster|safe deposit"/>
        <s v="boy|christmas|christmas pageant|friendship|illegitimate son"/>
        <s v="actor|audition|muse|playwright|theater"/>
        <s v="bail|crystal meth|family relationships|female protagonist|search for father"/>
        <s v="carnival|coma|death|monkey|nightmare"/>
        <s v="assassin|battle|heroine|martial arts|spin off"/>
        <s v="bar|job|long distance relationship|male pubic hair|pubic hair"/>
        <s v="camelot|dragon|excalibur|knight|sword"/>
        <s v="blackheart|devil|father|ghost|mephistopheles"/>
        <s v="boy|inspiration|reference to peter pan|stage play|widow"/>
        <s v="b movie|birthday|chinese|demon|small town"/>
        <s v="argument|evidence|fingerprints|murder|murder weapon"/>
        <s v="caribbean|curse|governor|pirate|undead"/>
        <s v="based on manga|biker gang|gifted child|post thermonuclear war|science runs amok"/>
        <s v="box office flop|critically bashed|portal|teleportation|troubled production"/>
        <s v="bust|dea|drug cartel|justice|tragic hero"/>
        <s v="casino|espionage|free running|james bond|terrorist"/>
        <s v="earthquake|fire|lava|rescue|volcano"/>
        <s v="15th birthday|birthday|gay|party|security guard"/>
        <s v="camera shot from inside human body|diamond|evil man|heist|terrorism"/>
        <s v="fbi|murder|ring|witness protection|witness protection program"/>
        <s v="babysitting|experiment|nightmare|possession|twin"/>
        <s v="alien|close encounter of the third kind|mothership|ufo|vision"/>
        <s v="bechdel test failed|money|multiple outcomes|repeated event|subway"/>
        <s v="50s|film within a film|hollywood|illegitimate pregnancy|twins"/>
        <s v="civil war|female protagonist|post civil war|reference to friedrich schiller|u.s. civil war"/>
        <s v="actor|dream sequence|genius recluse|jew|religion"/>
        <s v="cannibal|car accident|leatherface|psychopath|slaughterhouse"/>
        <s v="academy award|gay|high school|reporter|teacher"/>
        <s v="alien|android|bomb|future|weapon"/>
        <s v="based on novel|inheritance|provence|uncle|wine"/>
        <s v="shower|stripper|tap dancing|underwear|undressing"/>
        <s v="barefoot|endorsement|surfboard|virtual reality|waves"/>
        <s v="creature|curse|exorcism|girl|village"/>
        <s v="escape|prison|prison escape|sadism|solitary confinement"/>
        <s v="cobbler|desert|gold|princess|thief"/>
        <s v="drugs|music producer|rock music|title directed by female|vegetarian"/>
        <s v="colorado|diner|iraq|nuclear missile|president"/>
        <s v="eiffel tower at night|honeymoon|implied insemination|party|taxi driver"/>
        <s v="artificial intelligence|based on comic book|captain america|marvel cinematic universe|superhero"/>
        <s v="1960s|based on a true story|gangster|identical twins|murder"/>
        <s v="cartoon tiger|coming of age|tiger|tigger|title directed by female"/>
        <s v="death|jason voorhees|massacre|slaughter|telekinesis"/>
        <s v="black panther|hells angels|on the run|racist|racist cop"/>
        <s v="camp|die hard scenario|female protagonist|island|vice president"/>
        <s v="1990s|police|prison|rescue|year 1997"/>
        <s v="dysfunctional family|gang|greaser|holding someone's head underwater|rivalry"/>
        <s v="butcher|civil war|gangster|new york city|revenge"/>
        <s v="home invasion|police officer shot|police officer shot in the chest|psychopath|three word title"/>
        <s v="1950s|drug overdose|gang|gang war|new york city"/>
        <s v="delaware|feud|island|undead|zombie"/>
        <s v="england|marriage|muslim|pakistani|salford"/>
        <s v="antarctica|dog|siberian husky|sled dog|survival"/>
        <s v="bride|friend|honeymoon|insurance|insurance company"/>
        <s v="arena|lava bomb|mount vesuvius|pompeii|slave"/>
        <s v="baseball|based on true story|india|sports agent|training"/>
        <s v="bear attack|cauterizing a wound|native american|revenge|survival"/>
        <s v="captain|pilot|reporter|robot|scientist"/>
        <s v="brothel|death of husband|ex lover|haunted by the past|redemption"/>
        <s v="american|bare chested male bondage|cia|detention|interrogation"/>
        <s v="alcoholic|doppelganger|group therapy|self mutilation|twin actresses for twin sisters"/>
        <s v="dog|father son relationship|inventor|talking dog|time travel"/>
        <s v="death of girlfriend|funeral|ghost|ouija|spirit"/>
        <s v="job offer|roller coaster|slow motion action scene|slow motion sequence|television"/>
        <s v="new york|new york cosmos|professional sports|soccer|soccer team"/>
        <s v="apartment|bully|fight|karate|master"/>
        <s v="blogger|pastor|reference to the shawshank redemption|taser|tasered"/>
        <s v="battle|convict|death|mind control|role playing"/>
        <s v="amusement park|dysfunctional family|road trip|sequel|vacation"/>
        <s v="1920s|golden age|midnight|paris france|time travel romance"/>
        <s v="band|magazine|rolling stone magazine|smoking marijuana|tour"/>
        <s v="alien|earth|female alien|mission|secret"/>
        <s v="boy|boys' school|death|friend|orphan"/>
        <s v="die hard scenario|earth viewed from space|race against time|race car driver|title at the end"/>
        <s v="bounty hunter|manchuria|map|train|treasure"/>
        <s v="baltimore colts|diner|marriage|salesman|wedding"/>
        <s v="20 years later|drummer|hdtv|rock band|rock star"/>
        <s v="assassination|boxing|casino|conspiracy|long take"/>
        <s v="attorney|cat and mouse|fbi|pan am|pilot"/>
        <s v="coincidence|cult film|overalls|suburb|vomiting"/>
        <s v="biological father|college|motorcycle|sperm|sperm donor"/>
        <s v="battle|fight|fighting|martial artist|snake"/>
        <s v="mission|navy seal|terrorist|torture|valor"/>
        <s v="decapitation|neighbor|neighborhood|next door neighbor|zombie"/>
        <s v="clone|cloning|construction|same actor playing two characters simultaneously on screen|year 1996"/>
        <s v="1990s|high school|high school teacher|teacher inspires students|teaching"/>
        <s v="dream|hawaii|hawaiian shirt|short term memory loss|veterinarian"/>
        <s v="1990s|chick flick|funeral|gay relationship|wedding"/>
        <s v="africa|apartheid|nelson mandela|president|resistance"/>
        <s v="acorn|herd|iceberg|ocean|pirate"/>
        <s v="grace|groom|horse|montana|western u.s."/>
        <s v="campaign|election|president|presidential election|satire"/>
        <s v="bare chested boy|doctor|escort|infidelity|prostitute"/>
        <s v="cartoon on tv|cat|dog|scientist|secret agent"/>
        <s v="bully|first crush|school|social outcast|taunting"/>
        <s v="female fighter|island|martial arts|parachute|tournament"/>
        <s v="army|china|emperor|mummy|shangri la"/>
        <s v="faith|mental patient|priest|scheme|teacher"/>
        <s v="19th century|exhibition|gilbert and sullivan|gilbert and sullivan's princess ida|japanese"/>
        <s v="absent father|big brother|community service|live action role playing|peter pan syndrome"/>
        <s v="beach|cowboy|cowboy hat|neo western|valley"/>
        <s v="bear|mayor|park|sabotage|yogi bear"/>
        <s v="creature feature|human versus spider|spider|spider feature|woman sheriff"/>
        <s v="airfield|car|car stunt|driver|private jet"/>
        <s v="boat|gang|hong kong|triad|vacation"/>
        <s v="castle|france|professor|student|time machine"/>
        <s v="box office hit|cat|first part|mouse|orphanage"/>
        <s v="blackmail|burglar|critically bashed|leonardo da vinci|prison"/>
        <s v="contamination|corporate crime|environmental issue|female protagonist|working single mother"/>
        <s v="art class|diner|friend|graduation|high school"/>
        <s v="campus|death|friend|professor|urban legend"/>
        <s v="church|love|mexico|politics|priest"/>
        <s v="cathedral|dauphin|france|trial|wartime rape"/>
        <s v="halfway house|key|reality|schizophrenia|spider"/>
        <s v="friend|intervention|moving|secret|slacker"/>
        <s v="cosmonaut|footprint|found footage|moon|secret mission"/>
        <s v="disguise|mask|master of disguise|restaurant|waiter"/>
        <s v="dragonfly|hero|high school|soaking wet|supervillian origin"/>
        <s v="1950s|director|friend|friendship|transvestism"/>
        <s v="dinosaur|jurassic park|survival|theme park|tyrannosaurus rex"/>
        <s v="blaxploitation|hanukkah|jewish|kwanzaa|santa claus"/>
        <s v="1970s|clark kent|planet|superhero|year 1978"/>
        <s v="army rangers|convict|criminal|escape|prison"/>
        <s v="dance|dancer|dancing|horse|tap dancing"/>
        <s v="housewife|lesbian|novel|party|reading"/>
        <s v="artificial heart|heart|horse penis|prostitute|stripper"/>
        <s v="art dealer|fake painting|macguffin|moustache|stolen painting"/>
        <s v="bride|greece|island|mediterranean|wedding"/>
        <s v="baby rattle|famous line|murder|passenger|snake"/>
        <s v="cult film|gambling debt|job|off screen murder|revenge"/>
        <s v="block party|marching band|neighborhood|new york city|tyrannosaurus rex"/>
        <s v="ark|change|congressman|depiction of god|flood"/>
        <s v="brownstone|burglar|money|panic|panic room"/>
        <s v="college|drugs|harvard|pot|smoke"/>
        <s v="chaos|museum|museum of natural history|night watchman|watchman"/>
        <s v="corrupt judge|tax evasion|tough cop|white suit|year 1930"/>
        <s v="death|doctor|gypsy|judge|lawyer"/>
        <s v="labor|labor union|leader|mafia|union"/>
        <s v="dream|italian|kenya|ranch|snake"/>
        <s v="best friend|cancer|survival rate|therapist|vomiting"/>
        <s v="boss' daughter|crush|house sitter|housesitting|love interest"/>
        <s v="cia|cia agent|terrorist|twin|twin brother"/>
        <s v="archipelago|guillotine|island|prison|redemption"/>
        <s v="dog|gambler|gambling|gangster|professor"/>
        <s v="danger|drug cartel|female cop|female police officer|fugitive"/>
        <s v="coming of age|depression|gay|high school|mental illness"/>
        <s v="based on true story|hijab|journalism|prison|reference to mahmoud ahmedinejad"/>
        <s v="addiction|diet pill|drug addiction|fast motion scene|heroin"/>
        <s v="actress|drive in|female protagonist|movie star|woman shot in the forehead"/>
        <s v="dognapping|gangster|misfiring gun|screenwriter|shih tzu"/>
        <s v="little girl|park|spy|statue of liberty|television van"/>
        <s v="california|hostage|hostage negotiator|organized crime|police"/>
        <s v="banana boat|boat|christmas|sea|shark"/>
        <s v="directorial debut|fantasy sequence|nurse|old age home|prison"/>
        <s v="alien|escape|manager|neighborhood watch|ohio"/>
        <s v="1990s|bar|car accident|nightclub|whipped cream"/>
        <s v="con|con man|courier|long con|murder"/>
        <s v="friendship|frontier|honor|outpost|soldier"/>
        <s v="1990s|christmas|christmas eve|sleigh|surrealism"/>
        <s v="lizard|outcast|spider|spider man|teenager"/>
        <s v="betrayal|debauchery|lust|palace|saddam hussein"/>
        <s v="comedy of manners|false identity|farce|love|period drama"/>
        <s v="bel air california|book|friends who live together|the muppets|tribute band"/>
        <s v="best friend|funeral|girl|overalls|summer"/>
        <s v="alcatraz|fbi|general|hostage|rocket"/>
        <s v="dying|to do list|twenty something|underwear|voyeur"/>
        <s v="friendship|jeans|pants|summer|vacation"/>
        <s v="card trick|london england|magician|rain machine|rooftop"/>
        <s v="belching|number in title|party|reference to nicki minaj|sneezing"/>
        <s v="box office hit|future|lifted by the throat|star trek|vulcan"/>
        <s v="drug dealer|superhero|tragedy|tragic hero|tragic love"/>
        <s v="combat|computer|general|military|reporter"/>
        <s v="ark|catastrophe|geologist|president|writer"/>
        <s v="controlled environment|fictional reality show|hidden camera|innocence lost|simulated reality"/>
        <s v="ambassador|american|art|english|italy"/>
        <s v="dream|friendship|karaoke|love|slacker"/>
        <s v="box office flop|convent|mercenary|new york|pregnant"/>
        <s v="castle|diary|holy grail|map|nazi"/>
        <s v="coach|football|football movie|football team|high school sweethearts"/>
        <s v="battle|slave|vampire|warrior|werewolf"/>
        <s v="celebrity|lottery|murder|snowmobile|weatherman"/>
        <s v="cure|quarantine|scotland|virus|wall"/>
        <s v="deception|imprisonment|lawlessness|police officer|terrorist plot"/>
        <s v="bangkok|friend|lawyer|smuggling|thailand"/>
        <s v="1910s|alien|artificially created woman|love|taxi driver"/>
        <s v="boston|mole|police|undercover|undercover cop"/>
        <s v="animal in title|dog fight|mexico city|multiple perspectives|nonlinear timeline"/>
        <s v="concert|gangsta rap|hip hop|nwa|rap music"/>
        <s v="betrayal|futuristic|gladiator|robot|scientist"/>
        <s v="elf|hobbit|middle earth|quest|ring"/>
        <s v="friend|girl|imaginary friend|outback|town"/>
        <s v="family restaurant|greek|remarriage|suburb|wedding"/>
        <s v="alien|library|moral dilemma|nosebleed|supernatural power"/>
        <s v="corrupt cop|drug dealer|drugs|heroin|vice president"/>
        <s v="apartment|dancing|debutante|new york|upper class"/>
        <s v="found footage|high school|subjective camera|teen angst|troubled teen"/>
        <s v="disguise|fbi|female impersonation|gender disguise|obesity"/>
        <s v="cable guy|foreplay|friend|kissing|television"/>
        <s v="alliterative title|football|football coach|football practice|football team"/>
        <s v="catholic|priest|stigmata|vatican|wound"/>
        <s v="accident|army|bomb|indian army|love"/>
        <s v="chicago illinois|false identity|femme fatale|new york city|spying"/>
        <s v="army|green beret|insanity|jungle|vietnam"/>
        <s v="hat|monkey|museum|shrine|yellow"/>
        <s v="ice|ice storm|storm|thanksgiving|virgin"/>
        <s v="dea|drug cartel|kicked in the crotch|strip club|tough girl"/>
        <s v="investigation|justice|murder|suspect|tension"/>
        <s v="music copyist|music student|musical composition|student|symphony"/>
        <s v="amateur detective|boat builder|boy|stepfather|witness"/>
        <s v="anti war|liverpool|love|protest|song"/>
        <s v="church|cowboy boots|dancing|high school dance|teenager"/>
        <s v="casper|friendly ghost|ghost|maine|mansion"/>
        <s v="diamond|lava|magic|mountain|sorcerer"/>
        <s v="debt|rapper|treasure|treasure hunter|yacht"/>
        <s v="good versus evil|machine gun|mobster|police vigilantism|year 1949"/>
        <s v="friend|power plant|sabotage|store clerk|video store"/>
        <s v="cheese|diary|friend|middle school|school"/>
        <s v="kung fu|lapd|martial arts|private investigator|triad"/>
        <s v="envy|fake family|gadget|materialism|unhappy marriage"/>
        <s v="bounty hunter|outer space|raccoon|talking animal|tree"/>
        <s v="murder|police|police investigation|porn star|robbery"/>
        <s v="ex soldier|hijacker|hostage|president|terrorist"/>
        <s v="ant|circus|grasshopper|misunderstanding|overhearing"/>
        <s v="abuse|african american lesbian|lesbian|lesbian couple|school"/>
        <s v="gremlin|horror host|hulk hogan|monster|skyscraper"/>
        <s v="alien|bar|construction worker|no opening credits|no title at beginning"/>
        <s v="hall of mirrors|mont saint michel france|palace of versailles|turkey the country|yellowstone national park"/>
        <s v="dictator|hotel|oil|overalls|sunglasses"/>
        <s v="case|doll|dry humor|friend|love"/>
        <s v="gun|prison|reference to god|reference to jesus christ|vengeance"/>
        <s v="cult film|existentialism|groundhog day|time loop|trapped in a time loop"/>
        <s v="american politics|iraq|iraq war|occupation|white house"/>
        <s v="assassin|high school|on the run|teenager|website"/>
        <s v="debt|jew|loan|merchant|pound of flesh"/>
        <s v="coma|east germany|german democratic republic|germany|heart attack"/>
        <s v="cell phone|computer|computer hacker|e mail|technology"/>
        <s v="arachnophobia|death|doctor|small town|spider"/>
        <s v="bachelor party|climbing a tree|taxi|toilet|wedding"/>
        <s v="dissociative identity disorder|limousine|multiple personality|police|rhode island"/>
        <s v="frozen time|stopped time|time freeze|watch|wristwatch"/>
        <s v="criminal|mobster|new year's eve|police|sergeant"/>
        <s v="housing project|letter|man with glasses|murder|subjective camera"/>
        <s v="egg|lost world|rescue|squirrel|weasel"/>
        <s v="bank|bastille day|call girl|childhood friend|drugs"/>
        <s v="cia|female assassin|interrogation|office cubicle|spy"/>
        <s v="diner|eating a banana|masturbation|porn star|shooting a pornographic movie"/>
        <s v="boy|lesson|mississippi river|river|slave"/>
        <s v="author|book|vacation|villa|writer"/>
        <s v="african|assassination|dialect|interpreter|threat"/>
        <s v="manhattan new york city|new york city|record label|singer|song"/>
        <s v="basketball|boy|italian|kidnapping a child|reunion"/>
        <s v="car accident|college|ghost|girl in panties|white panties"/>
        <s v="black ops|chase|cia|cia agent|repeated scene"/>
        <s v="coven|occult|outcast|spell|witch"/>
        <s v="coach|football|football team|marshall university|university"/>
        <s v="best friend|car race|conspiracy|gadget car|spy"/>
        <s v="ancient astronaut|famous line|message from outer space|monolith|star child"/>
        <s v="animal abuse|cat|dog|dog movie|tween girl"/>
        <s v="employer employee relationship|record store|store|thirty something|vinyl"/>
        <s v="eternity|love|mayan|tree|tree of life"/>
        <s v="american actress playing british character|intern|prison|six word title|thailand"/>
        <s v="alien|blood|breeding|clone|scientist"/>
        <s v="crash survivor|planet|sergeant|soldier|survivor"/>
        <s v="fear|mourning|mute|quest|revelation"/>
        <s v="camp|fishing|fishing trip|river|town"/>
        <s v="balloon|house|promise|retirement|skeleton"/>
        <s v="hijacking|hostage|leader|ship|somalia"/>
        <s v="cole porter|composer|love|party|tears"/>
        <s v="christmas|compassion|executive|ghost|redemption"/>
        <s v="critically bashed|demonic possession|exorcism|exorcist|found footage"/>
        <s v="35 mm digital camera|drugs|murder|train|travel"/>
        <s v="drug dealer|gold|partner|police|undead"/>
        <s v="convenience store|digit in title|punctuation in title|violence|witch"/>
        <s v="alien|alien invasion|destroyed building|destruction|mexico"/>
        <s v="coach|hockey team|lawyer|respect|team"/>
        <s v="boy|concert|drummer|manager|television"/>
        <s v="dog|new york city|scholarship|senator|twin"/>
        <s v="based on video game|fictional language|fictional war|orc|sword and sorcery"/>
        <s v="1950s|african american|jewish|old age|widow"/>
        <s v="africa|eyeglasses|money|texas|veteran"/>
        <s v="binge drinking|new york|new york city|september 11 2001|suicide"/>
        <s v="couple|intimacy|marriage|marriage counseling|middle age couple"/>
        <s v="18th century|perfume|scent|sense of smell|smell"/>
        <s v="18th century|ambassador|french revolution|friendship|thomas jefferson"/>
        <s v="1940s|child hero|fantasy world|orphan|reference to peter pan"/>
        <s v="animal abuse|ceo|heist|suburb|unemployment"/>
        <s v="aspiring actor|cocaine|drugs|pimp|suitcase full of money"/>
        <s v="employer employee relationship|ethics|journalism|sociopath|tv news"/>
        <s v="arms tied overhead|damsel in distress|dea|marijuana|southern california"/>
        <s v="alabama|divorce|divorce papers|husband wife relationship|new york city"/>
        <s v="angel|corpse|girl|heaven|soul"/>
        <s v="fabricated facts|journalist|stephen glass|the new republic|writer"/>
        <s v="abortion|bus|hospital|prison|prostitution"/>
        <s v="collapsing tunnel|explosion|new jersey|tunnel|weimaraner"/>
        <s v="astoria|kindergarten|kindergarten teacher|school|teacher"/>
        <s v="forger|hitman|passport|police|replacement"/>
        <s v="kicked in the face|martial arts|punched in the face|strong female character|woman punching a man"/>
        <s v="chosen one|enchanted object|love|spell|training"/>
        <s v="cartoon on tv|generation y|high school|overalls|strong female character"/>
        <s v="cartoon on tv|family relationships|physical abuse|single parent|two word title"/>
        <s v="family relationships|gang|idler|poorhouse|thief"/>
        <s v="armored car|car|murder|prison|warden"/>
        <s v="deforestation|fbi|lighthouse|moose|squirrel"/>
        <s v="florist|motivational speaker|self help guru|seminar|widower"/>
        <s v="dictator|electronic music score|one word title|secret headquarters|soldier"/>
        <s v="clinical trial|female protagonist|neuropharmacology|psychiatrist|side effect"/>
        <s v="breasts|serial killer|small town|vomiting|widow"/>
        <s v="alien|attack|based on novel|based on young adult novel|fear"/>
        <s v="barbarian|fairy|forest|monastery|unfinished book"/>
        <s v="atrocity|central africa|ethnic warfare|united nations peace keeping force|united nations soldier"/>
        <s v="diner|food poisoning|health inspector|restaurant|undercover"/>
        <s v="paralympics|quad rugby|rugby|team|wheelchair"/>
        <s v="magic|magic kit|magician|stage magician|vegas"/>
        <s v="immigrant|independent film|song|street|vacuum cleaner"/>
        <s v="football|hazing|high school|last day of school|pledge"/>
        <s v="deep space|distress signal|explosion|mining|rescue"/>
        <s v="drifter|exploding truck|future|machine|skynet"/>
        <s v="new york|psychiatrist|shrimper|south carolina|twins"/>
        <s v="british agent|defection|escape|kgb|soviet general"/>
        <s v="curse|hostage|mexico|pistol|vomiting"/>
        <s v="aids|city name in title|gay|homophobia|lawyer"/>
        <s v="accident|curtain call|dream girl|high school|prom"/>
        <s v="ancient egypt|egypt|egyptian|egyptian god|egyptian goddess"/>
        <s v="16th century|british royal family|catholic|queen|queen elizabeth i"/>
        <s v="based on tv series|crown|dream|king neptune|plankton"/>
        <s v="christian|jewish|pastor|school|virginity"/>
        <s v="child cancer|christian film|christianity|falling into a hole|inspiring"/>
        <s v="japanese soldier|physical torture|pow camp|prisoner of war|reference to adolf hitler"/>
        <s v="future|murder|neo noir|washington d.c.|year 2054"/>
        <s v="attack|hawaii|navy|pearl harbor|u.s. navy"/>
        <s v="detective|diamond|jewel|police|thief"/>
        <s v="adidas|chipmunk|hospital|school|waste container"/>
        <s v="camelot|holy grail|king arthur|knight|lancelot"/>
        <s v="african american"/>
        <s v="gay|hot air balloon|rejecting a marriage proposal|talking to a dog|vomiting on someone"/>
        <s v="daydream|life magazine|magazine|photographer|snow leopard"/>
        <s v="cancer|faith|hope|letter|prayer"/>
        <s v="1930s|bank|celebrity criminal|fbi|public enemy number one"/>
        <s v="boxing|domestic violence|hot temper|jealousy|rage"/>
        <s v="doctor|hell|hotel|painter|plumber"/>
        <s v="cancer|death|doctor|drinking|love"/>
        <s v="chef|college|housekeeper|letter|mexico"/>
        <s v="eighteen wheeler|illegal street racing|truck|trucker|undercover cop"/>
        <s v="action hero|disguise|hospital|real estate agent|thief"/>
        <s v="10 year old|dog|florida|girl|supermarket"/>
        <s v="based on true story|blackjack|card counting|gambling|massachusetts institute of technology"/>
        <s v="box office hit|giant squid|heart|liar's dice|monster"/>
        <s v="1960s|famous score|hero|vietnam|vietnam war"/>
        <s v="baseball|meeting|statistics|strategy|voice over"/>
        <s v="brunette|film producer|liar|prank|stunt"/>
        <s v="bank|criminal|detective|flying squad|policewoman"/>
        <s v="alien|criminal|m.i.b.|maximum security prison|prison"/>
        <s v="arcade|candy|glitch|king|medal"/>
        <s v="alien|halloween|killer robot|outer space|wrestler costume"/>
        <s v="awkwardness|embarrassment|gross out|irreverence|shame"/>
        <s v="comic book|female killer|hit in the crotch|narrated by character|reference to batman"/>
        <s v="highway travel|on the road|retirement|road movie|wedding"/>
        <s v="intelligence|science runs amok|scientist|supernatural power|virtual reality"/>
        <s v="dracula|gothic|painting|rescue|van helsing"/>
        <s v="anthropophagus|blood and gore|double feature|real twins playing twins|zombie"/>
        <s v="box office flop|computer animation|one word title|surrealism|villainess"/>
        <s v="christmas|duplex|television|tenant|writer"/>
        <s v="dracula|hotel|invisible man|monster|transylvania"/>
        <s v="african american|geek|hip hop|party|tomboy"/>
        <s v="dancer|director|love|musical filmmaking|tango"/>
        <s v="adulterous wife|cheating wife|summer|unfaithfulness|woodstock"/>
        <s v="gay|immigrant|italian|police|police officer"/>
        <s v="german|ghetto|hope|nazi|radio"/>
        <s v="cocaine|contraband|drug lord|prison|smuggling"/>
        <s v="cola|desert|ice cream cone|teenage girl|vomiting"/>
        <s v="banishment|sorcery|spirit|staff|storm at sea"/>
        <s v="cheating|fraternity|monster|singing in a car|university"/>
        <s v="circus|magic|magician|oz|witch"/>
        <s v="cross|relic|team|vampire|vampire hunter"/>
        <s v="intelligence|intelligence agency|secret service|surveillance camera|war on terror"/>
        <s v="drugs|hippie|music festival|the who|woodstock"/>
        <s v="book strap|girl|racial discrimination|racial tension|stereotype"/>
        <s v="experiment|research|scientist|suburb|surrealism"/>
        <s v="clock|dark fantasy|mad hatter|queen|sequel"/>
        <s v="1960s|car hitting an animal|folk singer|friend|singer"/>
        <s v="catholic|corrupt cop|new york city|police detective|police officer killed"/>
        <s v="college|high school senior|meat|protest|university"/>
        <s v="band|music group|musical quartet|singer|song"/>
        <s v="8 year old|convention|magic|magic wand|male fairy godmother"/>
        <s v="computer|earthquake|microchip|official james bond series|silicon valley"/>
        <s v="money|motel|rain|shower|theft"/>
        <s v="criminal|drifter|gangster|money|surrogate mother"/>
        <s v="alien|friend|maine|military|woods"/>
        <s v="cbs|expose|fear|paranoia|reporter"/>
        <s v="female protagonist|reference to britney spears|singer|song|world tour"/>
        <s v="chumscrubber|death|friend|pills|school"/>
        <s v="general|military|scientist|soldier|year 2065"/>
        <s v="brutality|dark humor|female antagonist|female warrior|post apocalypse"/>
        <s v="famous line|hand to hand combat|kraken|rape|zeus"/>
        <s v="alien|geek|nerd|road trip|ufo"/>
        <s v="christmas|holiday|madea series|rural setting|stubbornness"/>
        <s v="apartment|erasmus|language|student|trip"/>
        <s v="coup d'etat|mutiny|president|u.s. navy|washington d.c."/>
        <s v="buried alive|coffin|iraq|one person|single set production"/>
        <s v="courtroom|dysfunctional family|indiana|lawyer|trial"/>
        <s v="dating|protective father|school|shrew|teen movie"/>
        <s v="friendship|los angeles california|one night stand|roommate|single mother"/>
        <s v="chicago illinois|drink|drinking|filmmaker|writer"/>
        <s v="apartment|blood|demonic possession|neighbor|pentagram"/>
        <s v="balloon|birthday|box office flop|critically bashed"/>
        <s v="billionaire|business tycoon|mayoral candidate|penthouse|reference to star trek"/>
        <s v="9 year old|house|illinois|new job|vomiting"/>
        <s v="countess|diplomat|japanese|russian|shanghai"/>
        <s v="alternate timeline|cyborg|future|robot|time machine"/>
        <s v="best friend|contest|date|small town|west virginia"/>
        <s v="alice in wonderland|mistaking reality for dream|queen|shrinking|shrinking potion"/>
        <s v="brazil|exam|housekeeper|northeast region of brazil|portuguese language"/>
        <s v="breakdown|fight|mother in law|scheme|wedding"/>
        <s v="1960s|death|girl group|nightclub|sister"/>
        <s v="alien|brainwashing|construction worker|sunglasses|teleportation"/>
        <s v="amnesia|boxer|conspiracy|police|porn star"/>
        <s v="friend|mental institution|murder|repair shop|small town"/>
        <s v="east germany|police|secret police|stasi|writer"/>
        <s v="bar|coke|drugs|party|snorting"/>
        <s v="fight to the death|game|massacre|self survival|suicide attempt"/>
        <s v="african american|mail carrier|poetry|postal worker|south central los angeles"/>
        <s v="breasts|comedian|craigslist|infidelity|stand up comedian"/>
        <s v="2030s|21st century|desert|jet|tank"/>
        <s v="caper|computer genius|dog|heist|security chief"/>
        <s v="baseball movie|little league|little league baseball|mexico|three word title"/>
        <s v="murder|on the run|security camera|surveillance footage|timebomb"/>
        <s v="bomb|bus|elevator|explosive|rescue"/>
        <s v="electronic devices|gynecologist|little black book|plan|set up"/>
        <s v="3 dimensional|box office flop|critically bashed|dancing"/>
        <s v="chronic traumatic encephalopathy|concussion|football|football player|pathologist"/>
        <s v="extraterrestrial|hospital|patient|planet|science"/>
        <s v="cave|diver|diving|flare|parasite"/>
        <s v="bar|debt|fight|instructor|jujitsu"/>
        <s v="ancient greece|conquest|greek|greek myth|king"/>
        <s v="actor|arab stereotype|broadway|terrorist|vomiting"/>
        <s v="argument|engagement|family relationships|love|undressing"/>
        <s v="airport|child protagonist|child swearing|christmas|home alone"/>
        <s v="cat|cemetery|maine|secret|woods"/>
        <s v="action hero|hero|magic|ticket|video store"/>
        <s v="kid|oxygen|rugrats|trapped underwater|underwater"/>
        <s v="cabin|cabin in the woods|demon|evil dead|woods"/>
        <s v="drugs|fda|gay community|hiv|homophobia"/>
        <s v="alien|escape|fugitive|hawaii|social worker"/>
        <s v="aging|daughter|old couple|old love|stroke"/>
        <s v="crash|hispanic|interracial relationship|interracial romance|racism"/>
        <s v="alopecia|belfast northern ireland|ireland|irish republican army|scalper"/>
        <s v="1940s|cowboy|mexico|railway station|texas"/>
        <s v="airport|fbi agent|person in a car trunk|suitcase|suitcase bomb"/>
        <s v="centennial|girl|next door neighbor|prom|school"/>
        <s v="caper|escapade|motel|robbery|texas"/>
        <s v="boy|radio show|social worker|telephone|wisconsin"/>
        <s v="cat|dog|hamster|new york city|superpower"/>
        <s v="airport|california|flat tire|overalls|wine"/>
        <s v="apartment|fast motion scene|model|private investigation|suspected murder"/>
        <s v="family secret|friendship between men|magic|supernatural power|teenager"/>
        <s v="book|bookstore|love|simultaneity|train"/>
        <s v="birthday|critically bashed|male nurse|nurse|suspicion"/>
        <s v="18th birthday|birthday|community center|resurrection|teenager"/>
        <s v="paintball|paintball gun|pepper spray|tennis|what happened to epilogue"/>
        <s v="advertising|cancer|dog|san francisco california|terminal illness"/>
        <s v="actor|bus|march|million man march|religion"/>
        <s v="cave|caveman|journey|strict father|survival"/>
        <s v="1980s|death|insanity|parallel universe|time travel"/>
        <s v="diamond|elephant|fisherman|rebel|sierra leone"/>
        <s v="captain|flight|flight attendant|plane|search"/>
        <s v="college|fraternity|friend|house|party"/>
        <s v="alternate reality|battle|martial arts|mortal kombat|warrior"/>
        <s v="dog|jungle|shot gun|tiger|village"/>
        <s v="beach|blockbuster|fishing|great white shark|shark"/>
        <s v="actual animal killed|cult|evil sorcerer|gladiator|warlord"/>
        <s v="catholic|five sisters|isolation|school|suicide"/>
        <s v="abortion|abortion clinic|angel|church|clinic"/>
        <s v="cheerleader|farmer|fear|high school basketball|nightmare"/>
        <s v="exploding car|hit by a car|poker game|punched in the face|shot to death"/>
        <s v="boss|bridesmaid|friend|love|wedding"/>
        <s v="distant past|future time travel|nobleman|squire|trapped in the past"/>
        <s v="afghanistan|arms dealer|based on true story|cia|texas"/>
        <s v="alaska|deportation|father son relationship|male objectification|sitka alaska"/>
        <s v="dog|friendship|neighbor|unlikely friendship|writer"/>
        <s v="escape|police|road trip|sheriff|texas"/>
        <s v="book|holcomb kansas|kansas|killer|truman capote"/>
        <s v="character name in title|con artist|fraud|gay|prison break"/>
        <s v="1890s|hired gun|immigrant|johnson county war|sheriff"/>
        <s v="african american protagonist|comma in title|four word title|name in title|talk show host"/>
        <s v="female removes her clothes|roommate|voyeur|voyeurism|wedding"/>
        <s v="astronaut|mars|mars the planet|outer space|zero gravity"/>
        <s v="african american|flashback|marijuana joint|porn magazine|suburb"/>
        <s v="circus|circus vargas|elephant|fear|train"/>
        <s v="buddy comedy|criminal|gun smuggling|mistaken identity|salesman"/>
        <s v="abbreviation in title|reporter|small town|sudden wealth|unknowing heir"/>
        <s v="dance|gang|new york city|puerto rican|tragedy"/>
        <s v="danger|graduation|storm|teenage boy|tornado"/>
        <s v="competition|contest|friend|self expression|white rapper"/>
        <s v="computer hacker|hacker|investigation|journalist|punk"/>
        <s v="black magic|bridge construction|professor moriarty|scotland yard inspector|sherlock holmes"/>
        <s v="car damage|computer printer|female band|fingernail polish|narcissism"/>
        <s v="comeback|friend|jazz|stage|trumpet"/>
        <s v="diamond|france|investigation|pink panther|soccer"/>
        <s v="class differences|killing spree|one night|suburb|violence"/>
        <s v="16th century|bachelor|dishonor|masquerade party|wedding"/>
        <s v="aunt niece relationship|brother sister relationship|building|father daughter relationship|mirror"/>
        <s v="1850s|christian film|dark secret|funeral|sin eater"/>
        <s v="christmas|family home|musician|piano|secret"/>
        <s v="beach house|blonde bombshell|cheating husband|revenge|wife meets mistress"/>
        <s v="children|children's tv show|money|revenge|scandal"/>
        <s v="animal experimentation|chimera|island|jungle|mutant"/>
        <s v="jungle|pipeline|prisoner|ransom|south america"/>
        <s v="friend|principal|summer|summer camp|summer vacation"/>
        <s v="bar|bartender|death|heart attack|mentor protege relationship"/>
        <s v="1970s|based on true story|new york city|skyscraper|tightrope walker"/>
        <s v="assassin|british agent|british secret service|decoder|russian"/>
        <s v="cross dresser|food|friend|motion sickness|restaurant"/>
        <s v="beauty pageant|fbi|female agent|pageant|undercover"/>
        <s v="african american|battle|italy|tuskegee airmen|world war two"/>
        <s v="angel|doctor|fall|heart surgeon|hospital"/>
        <s v="bare midriff|china|magical realism|martial arts|sword"/>
        <s v="40 year old|car accident|cheating on girlfriend|collection|porno movie"/>
        <s v="basketball|basketball team|grateful dead|lithuanian|olympics"/>
        <s v="assassin|chinese|conspiracy|gadget|premier"/>
        <s v="arab|battle|combat|viking|warrior"/>
        <s v="bullying|grumpy old man|school presentation|stroke|stroke recovery"/>
        <s v="army|mexican|orphan|texas|texas ranger"/>
        <s v="mask|mystery killer|slasher|teenage girl|telephone"/>
        <s v="chicken|escape|farm|freedom|rooster"/>
        <s v="based on book|blob|ferris wheel|manuscript|monster"/>
        <s v="1970s|1980s|african american|breaking the fourth wall|mother son relationship"/>
        <s v="mumbai riots|politician|riot|suicide|tragic event"/>
        <s v="animate object|imaginary friend|reference to macgyver|whispering|woman wearing only a man's shirt"/>
        <s v="actor playing multiple roles|claw|gadget|inspector|police"/>
        <s v="bail|diabetic|friend|jail|pharmaceutical lab"/>
        <s v="chipmunk|hunting dog|sabotage|thanksgiving|turkey the bird"/>
        <s v="fellatio|seven word title|shoe salesman|title directed by female|written by director"/>
        <s v="arctic circle|reporter|small town|volunteer|whale"/>
        <s v="cult film|kung fu|kung fu classic|martial arts|title spoken by character"/>
        <s v="historically inaccurate|name calling|penis slur|vomiting|wyatt earp"/>
        <s v="fast food|fast food restaurant|new jersey|quick stop|restaurant"/>
        <s v="accountant|actor|animal in title|mail carrier|single parent"/>
        <s v="conspiracy theory|kennedy assassination|mock documentary|paranoia"/>
        <s v="blizzard|blood vomiting|bounty hunter|murder|shot in the crotch"/>
        <s v="john wilkes booth|lawyer|lincoln assassination|trial|truth"/>
        <s v="disease|epidemic|monkey|quarantine|virus"/>
        <s v="biker|biker gang|fbi|mississippi|undercover"/>
        <s v="blood|body|egg|virus|white blood cell"/>
        <s v="bible quote|chaos|faith|riot|shrine"/>
        <s v="bounty hunter|death|murder|police officer|reporter"/>
        <s v="creature|elf|prince|rebellion|superhero"/>
        <s v="argument|birthday|bully|coming of age|semi autobiographical"/>
        <s v="baby|book|cartoon on tv|female protagonist|male anorexia"/>
        <s v="african american|book|boxer|boxing|murder"/>
        <s v="china|missionary|opium|villain|year 1937"/>
        <s v="alien|area 51|military|spacecraft|spaceship"/>
        <s v="father son relationship|horse|horse ranch|ranch|wild mustang"/>
        <s v="creature|forest|mother son relationship|rabbit|winnie the pooh"/>
        <s v="1980s|arms dealer|immorality|ukrainian|warlord"/>
        <s v="anthropomorphism|pirate|pirate ship|tomato|whale"/>
        <s v="flying|gay subtext|machismo|male objectification|pilot"/>
        <s v="agriculture|airport|amnesia|nurse|scientist"/>
        <s v="golf|golf ball|golfer|grandmother's house|tournament"/>
        <s v="fbi|group|island|serial killer|training"/>
        <s v="ireland|irish|irish civil war|irish free state|sinn fein"/>
        <s v="florist|friend|friendship|lesbian|love"/>
        <s v="dog|parole|parole officer|prison|puppy"/>
        <s v="dinosaur|disaster film|experiment gone wrong|jurassic park|velociraptor"/>
        <s v="death|plane crash|police|police sergeant|politician"/>
        <s v="cancer|job|love|new york|professor"/>
        <s v="cross dressing|family reunion|madea series|reflective|sister sister relationship"/>
        <s v="love|pity|readjusting to civilian life|veteran|world war two veteran"/>
        <s v="attorney|deal|district attorney|investigation|justice"/>
        <s v="dolphin|gigolo|pimp|serial killer|villain arrested"/>
        <s v="actor|love|movie star|press|publicist"/>
        <s v="damselfish|ocean habitat|ocean life|razorfish|spider crab"/>
        <s v="criminal|detective|fire|homicide|media"/>
        <s v="bruise|female hero|super strength|superhero|teenage superhero"/>
        <s v="baby|f word|fight|lawyer|marriage"/>
        <s v="outlaw|rancher|small western town|stagecoach|train"/>
        <s v="nevada|pledge|police|porcupine|search"/>
        <s v="costa rica|fbi agent|gambling|money|online gambling"/>
        <s v="ballot|election|new mexico|vote|voting"/>
        <s v="army|coin collector|love|surfboard|u.s. army"/>
        <s v="1880s|kiss|small town|table broken in fight|wild west"/>
        <s v="based on video game|island|mortal kombat|tournament|warrior"/>
        <s v="kidnapping|lake|microwave oven|psychopath|woods"/>
        <s v="prank gone wrong|scantily clad female|shotgun|sorority house|stabbed in the neck"/>
        <s v="co worker|escort|magazine|teacher|writer"/>
        <s v="american|curse|japan|nurse|rage"/>
        <s v="halloween|hospital|michael myers|rampage|vomiting"/>
        <s v="death|fbi|forensics|murder|serial killer"/>
        <s v="gang|gangster|subjective camera|written and directed by cast member|yakuza"/>
        <s v="dance|friend|monster|reference to batman|valentine"/>
        <s v="best friend|dog|envy|jealousy|neighbor"/>
        <s v="cook|industrialist|secret|snowstorm|suspect"/>
        <s v="greek|lightning|lightning bolt|poseidon|teenager"/>
        <s v="meteorologist|snow|snowed in|snowplow|weather"/>
        <s v="battlefield|blood|combat|gladiator|roman empire"/>
        <s v="captain|desert|rescue|stranded|survivor"/>
        <s v="butterfly|hunter|time|time travel|wave"/>
        <s v="solar system|space|spaceship|starship|year 2047"/>
        <s v="e mail|moving|perfect man|secret admirer|suitor"/>
        <s v="alabama|mutiny|order|radio|submarine"/>
        <s v="apprentice|demon|exorcism|master apprentice relationship|witch"/>
        <s v="cancer|children|death|terminal cancer|time"/>
        <s v="acid trip|gameshow|hot tub|time lord|time machine"/>
        <s v="evil|goblin|spider|spider man|superhero"/>
        <s v="cult film|disc jockey|female protagonist|music business|one word title"/>
        <s v="dream|freddy krueger|killer|nightmare|springwood ohio"/>
        <s v="island|sailor|storm|stranded|vacation"/>
        <s v="dog|great dane|rivalry|talking animal|talking cat"/>
        <s v="dental braces|dental headgear|former child star|panties|white panties"/>
        <s v="cliff|hawaii|island|newlywed|waterfall"/>
        <s v="attention deficit disorder|debate|drugs|psychologist|school"/>
        <s v="coming of age|marijuana|rape|virgin|weed"/>
        <s v="band|dog|letter|time machine|tombstone"/>
        <s v="cult figure|femme fatale|indiana jones|unsubtitled foreign language|year 1957"/>
        <s v="brainwashed assassin|conspiracy|critically acclaimed|mother son relationship|soldier"/>
        <s v="burglary|dementia|near future|robot|thief"/>
        <s v="dog|farmer|pig|sheep|sheepdog"/>
        <s v="african american|commitment|friend|friendship|playboy"/>
        <s v="bachelor party|bloody mary the drink|bouncer|brooklyn new york city|vegas"/>
        <s v="farm|magic|mother daughter relationship|overalls|title directed by female"/>
        <s v="breakfast|manitoba|science fiction writer|suicide|writer"/>
        <s v="court|intrigue|queen|spain|virgin"/>
        <s v="bus|death|gay slur|hatred|jewish"/>
        <s v="christmas|island|love|survival|talking to inanimate object"/>
        <s v="explosion|multiple perspectives|president|secret service|shooting"/>
        <s v="astronaut|cage|planet|wilhelm scream|year 2029"/>
        <s v="black cat|cat|evil|photographer|undead"/>
        <s v="actor playing multiple roles|brownie the creature|closing credits sequence|family relationships|magical creature"/>
        <s v="amnesia|california|communist|small town|writer"/>
        <s v="battle|german|russian|sniper|stalingrad"/>
        <s v="love|manufacturing|minnesota|plant|small town"/>
        <s v="3 dimensional|box office flop|critically bashed|red riding hood|wolf"/>
        <s v="death|heroin|popcorn|smuggling|vietnam"/>
        <s v="confederate|death|independence day|military|terrorist"/>
        <s v="ghost|haunted|haunting|house|paranormal investigator"/>
        <s v="race relations|racism|racist|social problem|stereotype"/>
        <s v="canada|human becoming an animal|mad scientist|part of trilogy|walrus"/>
        <s v="farmer|king|krug|rescue|wizard"/>
        <s v="college|ghostface|killer|killing spree|murder"/>
        <s v="action figure|battle|computer|military|toy"/>
        <s v="art|art expert|nazi stolen art|soldier|world war two"/>
        <s v="1930s|abuse of power|england|king|murder"/>
        <s v="coach|high school|place name in title|school|student"/>
        <s v="blindness|epidemic|hospital|pubic hair|quarantine"/>
        <s v="dentist|housewife|howie scream|murder|perfection"/>
        <s v="hamburger|parody|priest|psychic|woman in a bikini"/>
        <s v="alien invasion|based on comic book|flying superhero|phantom zone|revenge"/>
        <s v="barbed wire|barbed wire fence|horse|nature|snowstorm"/>
        <s v="alcoholic|grandmother|highway travel|niagara falls|on the road"/>
        <s v="antidote|disney|emperor|first part|llama"/>
        <s v="disaster|end of the world|number|student|time capsule"/>
        <s v="agent|career|client|fiance|sports agent"/>
        <s v="commercial|dream|dreaming|girl|new york city"/>
        <s v="conservatory|drummer|emotional abuse|music school|obsession"/>
        <s v="american|hostel|slovakia|torture|train"/>
        <s v="birthday|death|death personified|fear of death|wealth"/>
        <s v="action heroine|falling from height|mind control|trainhopping|truth serum"/>
        <s v="bad day|based on book|birthday|job interview|long title"/>
        <s v="boarding school|coming of age|female friendship|lesbian|new england"/>
        <s v="africa|bed|boy|cheetah|south africa"/>
        <s v="ghost|haunted house|murder|nightmare|priest"/>
        <s v="chauffeur|hospital|secret agent|spying|tuxedo"/>
        <s v="claw crane|cowboy|jealousy|rivalry|toy"/>
        <s v="bar|strip club|stripper|texas hold 'em|thong"/>
        <s v="brawl|childhood home|computer cracker|intelligence agency|terrorist cell"/>
        <s v="assassin|assassination|bride|death|vengeance"/>
        <s v="casino|desert|love|suicide|tragic event"/>
        <s v="all girl band|band|cross dressing|musician|yacht"/>
        <s v="alzheimer's disease|bechdel test passed|linguistics professor|new york city|reference to angels in america the play"/>
        <s v="bully|clique|high school|high school girl|secret"/>
        <s v="airplane|christmas|marshal|pilot|u.s. marshal"/>
        <s v="congressman|high school|latino|pacific palisades|school"/>
        <s v="dynamite|historically inaccurate|ku klux klan|n word|slavery"/>
        <s v="apartment|oven|stove|thanksgiving|thanksgiving dinner"/>
        <s v="alaska|mountain|ski resort|snowboard|snowboarding"/>
        <s v="chocolate|chocolate shop|food|france|village"/>
        <s v="death|doctor|grave|patient|venezuela"/>
        <s v="african american|family relationships|stand up comedian|stand up comedy"/>
        <s v="death|demonic possession|exorcism|lawyer|priest"/>
        <s v="corndog|failure|funeral in the rain|new york city|weatherman"/>
        <s v="black comedy|boss|chemical company|dental assistant|murder"/>
        <s v="female protagonist|size positive|thin|title directed by female|wet dream"/>
        <s v="bare breasts|comic relief|dragon|gladiator|harem"/>
        <s v="1950s|abusive husband|artist|painting|secret"/>
        <s v="laboratory|london england|military|virus|zombie apocalypse"/>
        <s v="anthropomorphic animal|football|kangaroo|sword and sorcery|water boy"/>
        <s v="dentist|face slap|flashback|hitman|killing an animal"/>
        <s v="dying|friend|inner beauty|love|self help guru"/>
        <s v="ambiguous ending|firefly|mysterious event|schizophrenia|storm"/>
        <s v="death of main character|eiffel tower paris|jealousy|tragedy|two suitors"/>
        <s v="clique|country club|female protagonist|lip gloss|title directed by female"/>
        <s v="college professor|fbi|president|professor|supreme court"/>
        <s v="death|paris france|rock band|singer|the doors"/>
        <s v="bush administration|cia|interview|iraq|new york times"/>
        <s v="dark comedy|dream|freddy krueger|nightmare|serial murder"/>
        <s v="beach|island|mexico|prey|trapped"/>
        <s v="adult diaper|diaper|digit in title|dream|sawed off shotgun"/>
        <s v="bare chested male|gay|gay best friend|gay man|gay marriage proposal"/>
        <s v="cure|mission|terrorist|thief|virus"/>
        <s v="las vegas nevada|museum|reference to mr. rogers|reference to vincent van gogh|talking about suicide"/>
        <s v="blonde|college|friend|highway travel|road trip"/>
        <s v="assassin|female warrior|martial arts|playground|training"/>
        <s v="student film|wonder years"/>
        <s v="egypt|exodus|moses|pharaoh|plague"/>
        <s v="legend|old west|outlaw|railroad|stealing from the rich"/>
        <s v="apartment|bedtime story|eagle|stuttering|swimming pool"/>
        <s v="college|college roommate|party|roommate|student"/>
        <s v="ex convict|halfway house|nipples visible through clothing|orgasm|parole officer"/>
        <s v="archeologist|catacomb|found footage|paris france|philosopher's stone"/>
        <s v="architect|celebrity|prostitute|shower|tourist"/>
        <s v="forest|japan|suicide|suicide forest|supernatural"/>
        <s v="horror movie remake|rape|rape and revenge|rape victim|revenge"/>
        <s v="bare butt|corrupt police|four brothers|funeral|murder"/>
        <s v="athlete|jew|missionary|olympic games|race"/>
        <s v="boy|mistress|money|schizophrenic|school"/>
        <s v="accident|faith|love|mathematician|nonlinear timeline"/>
        <s v="covert analyst|marine|russian|spy|stock market"/>
        <s v="california|carlsbad california|house|nanny|security camera"/>
        <s v="gang violence|high school|journal|marriage|teacher"/>
        <s v="con|convict|escape|police|priest"/>
        <s v="competition|fight|ice|jock strap|nintendo game boy advance"/>
        <s v="dubai|kremlin|race against time|russian|terrorist"/>
        <s v="australia|church|glass|inheritance|wager"/>
        <s v="casino|elvis impersonator|gun|heist|rascal"/>
        <s v="baby|ice|ice age|sleeping|sloth"/>
        <s v="church|english|flashback|nurse|patient"/>
        <s v="16 year old|doctor|hotel|tinnitus|title directed by female"/>
        <s v="arrest|portal|thor|warrior|weapon"/>
        <s v="book|child|slapstick comedy|soccer|suburb"/>
        <s v="detective|kidnapping|punching a heavy bag|serial killer|tied to a tree"/>
        <s v="magic|sister love|sister sister relationship|snow|snowman"/>
        <s v="actual animal killed|death|jason voorhees|slasher flick|teen horror"/>
        <s v="bare chested male bondage|crucifixion|loincloth|reference to god|resurrection"/>
        <s v="1800s|kazakhstan|nomad"/>
        <s v="dance|dancer|school|showcase|student"/>
        <s v="number in title|train|woman slaps a man|woman slaps man|written by director"/>
        <s v="child|criminal|death|depression|novelist"/>
        <s v="boy|pushed off a cliff|rat|secret passage|vampire"/>
        <s v="alien|earth|giant robot|military|scientist"/>
        <s v="banker|beauty pageant|escaped convict|gay|pageant"/>
        <s v="arab|british military|desert|ottoman empire|t.e. lawrence"/>
        <s v="black comedy|marriage|marriage proposal|not taking no for an answer|obsessive woman"/>
        <s v="baron|fashion|hat|nickname|orphanage"/>
        <s v="fairy tale|giant|pirate|princess|true love"/>
        <s v="blood splatter|car|neo noir|vengeance|vomiting"/>
        <s v="halloween|masked killer|michael myers|slasher|trick or treat"/>
        <s v="alien contact|autobot|decepticon|robot vs. robot|teenage hero"/>
        <s v="cinderella story|fish out of water|makeover|manners|princess"/>
        <s v="cross country|love|mother son relationship|on the road|trip"/>
        <s v="choking|friend|hospital|restaurant|scam"/>
        <s v="darkness|friend|kiss|nightmare|suicide"/>
        <s v="boy|greenland|neighbor|roof|snow"/>
        <s v="judicial|judiciary|lawyer|murder|painting"/>
        <s v="butler|civil rights|hotel|president|white house"/>
        <s v="bully|moving|principal|revenge|school"/>
        <s v="love|maid|newscaster|student|tutor"/>
        <s v="dolphin|island|research|tourist|town"/>
        <s v="bartender|groupie|lawyer|road trip|writer"/>
        <s v="bible|christian propaganda|christianity|time machine|zealot"/>
        <s v="blood|high school|love|school|vampire"/>
        <s v="african american|business|coastline|florida|real estate"/>
        <s v="africa|bat|hawaiian shirt|pregnancy|pregnant"/>
        <s v="chaos|england|long take|survival|violence"/>
        <s v="hitchcockian|long tracking shot|psychologist|psychology|wig"/>
        <s v="mayor|pink panties|upskirt|white panties|yellow panties"/>
        <s v="apache|apache indian|confederate|mexico|scout"/>
        <s v="written and directed by cast member"/>
        <s v="14th century|legend|revolt|scotland|tyranny"/>
        <s v="1970s|family relationships|mob hit|opera|repeating history"/>
        <s v="attempted suicide|car crash|collapsing scaffold|overflowing bathtub|tooth knocked out"/>
        <s v="dream|girl|iran|islamic revolution|revolution"/>
        <s v="hold up|hostage|stockholm syndrome|swat team|vegetarian"/>
        <s v="battle|explosion|immortal|revenge|sequel to cult film"/>
        <s v="amnesia|chase|foot chase|strong female character|vomiting"/>
        <s v="betrayal|gangster|mafia|organized crime|robbery"/>
        <s v="police|private school|shootout|undercover|wigger"/>
        <s v="film school|love|medical student|student|university"/>
        <s v="bathtub|psychologist|pushed out a window|smothered with a pillow|telescope"/>
        <s v="critically bashed|culture shock|interracial relationship|madea series|ponzi scheme"/>
        <s v="computer|secret agent|terrorism|told in flashback|wearing a sound wire"/>
        <s v="heaven|hospital|praying|pronounced dead|recovery"/>
        <s v="camera shot of feet|cartoon on tv|female stockinged feet|female stockinged soles|foot closeup"/>
        <s v="death of wife|dracula|tarantula|turk|vampire"/>
        <s v="long title|outlaw|robbery|train|train robbery"/>
        <s v="ends with quotation|execution|factory|women's prison|year 1964"/>
        <s v="1940s|gang that lives together|outlaw gang|rescue|sequel"/>
        <s v="cia|cia agent|consulate|on the run|safe house"/>
        <s v="case|ex kgb|ronin|russian|suitcase"/>
        <s v="hawaiian shirt|love|shakespeare adaptation|shakespeare play|star crossed lovers"/>
        <s v="band|friend|new york city|suburb|teenager"/>
        <s v="american south|baseball|farmland|motel|road trip"/>
        <s v="best friend|bitch|friend|popular girl|prom"/>
        <s v="coronation|horse|princess|queen|side saddle"/>
        <s v="bar|container|illegal immigrant|neighbor|shoe shiner"/>
        <s v="architect|frozen time|obese man|remote control|stopped time"/>
        <s v="arab|cowboy|horse|race|sheik"/>
        <s v="computer|future|mexican immigrant|network|wilhelm scream"/>
        <s v="manifestation|ocean|spacecraft|spaceship|sphere"/>
        <s v="action figure|press conference|superhero|superhero team|toy"/>
        <s v="cellular memory|eye|eye transplant|seeing dead people|violinist"/>
        <s v="aviator|based on book|girl|little girl|the little prince"/>
        <s v="1960s|1970s|california|cocaine|wealth"/>
        <s v="brain capacity|drugs|fictional drug|one woman army|tough girl"/>
        <s v="1940s|dog|mississippi|puppy|veteran"/>
        <s v="kung fu|kung fu master|master|panda|snow leopard"/>
        <s v="alaska|leadership|snow|survival|wilderness"/>
        <s v="biblical plague|louisiana|missionary|plague|small town"/>
        <s v="attempted murder|blackmail|diver's watch|nurse|satire"/>
        <s v="hospital|on the run|one armed man|surgeon|u.s. marshal"/>
        <s v="assistant|castle|experiment|frankenstein's monster|scientist"/>
        <s v="chase|courier|delivery|envelope|police"/>
        <s v="autobot|decepticon|machine|sun|symbol"/>
        <s v="blood splatter|self help guru|sequel|support group|survivor"/>
        <s v="19th century|butler|housemaid|laboratory|servant"/>
        <s v="colonel|ice|ice cream truck|military|u.s. army"/>
        <s v="abusive boyfriend|bear|car accident|ranch|wyoming"/>
        <s v="convict|karaoke|middle america|salesman|singer"/>
        <s v="bollywood|india|jane austen|london england|travel"/>
        <s v="censorship|children|corpse|heil hitler|suffering"/>
        <s v="extramarital affair|infidelity|irony of fate|surprise ending|tennis"/>
        <s v="abstract|ark|disney|fairy tale|piano"/>
        <s v="afghanistan|billionaire|inventor|playboy|u.s. air force"/>
        <s v="avatar|fire|kingdom|tribe|water"/>
        <s v="archery|defiance|mental illness|psychopath|toilet training"/>
        <s v="dogme 95|family secret|haunted by the past|secret|speech"/>
        <s v="al qaeda|bomb making|fbi|saudi arabia|stabbed in the crotch"/>
        <s v="box office flop|no opening credits|surfing|two word title|year 1987"/>
        <s v="children|doctor|mysterious event|pastor|small village"/>
        <s v="hobo|pedophile|rampage|shotgun|vigilante"/>
        <s v="biblical|crucifixion|judea|resurrection|roman soldier"/>
        <s v="monarchy|prime minister|princess diana|queen|speech"/>
        <s v="ant|chinatown san francisco|heist|sabotage|vault"/>
        <s v="cinderella story|correspondence|evil step mother|female protagonist|teenage girl"/>
        <s v="die hard scenario|one woman army|rescue|soldier|super soldier"/>
        <s v="23rd century|android|artificial intelligence|dual role|robot"/>
        <s v="college|drugs|patient|psychologist|secret"/>
        <s v="21 year old|forename as title|musician|party|rearview mirror"/>
        <s v="courtroom|domestic violence|insurance company|lawyer|underdog"/>
        <s v="attorney|happiness|house cleaner|physics|professor"/>
        <s v="car|car accident|death|friend|glass"/>
        <s v="color in title"/>
        <s v="bet|friend|high school|prom|prom queen"/>
        <s v="african american|dating|independent film|irreverence|revenge"/>
        <s v="country music|country western singer|journalist|musician|singer"/>
        <s v="death|forest|love|werewolf|werewolf bite"/>
        <s v="fem bot|prison|seductive fembot|spy|time travel"/>
        <s v="carjacking|drug lord|johannesburg south africa|police|post apartheid"/>
        <s v="bayonet|death|police|self defense|widower"/>
        <s v="advertising executive|diamond|magazine|party|wager"/>
        <s v="author|disney|loss of father|reference to walt disney|suppression of emotion"/>
        <s v="chocolate|chocolate factory|factory|orphan|student"/>
        <s v="driver|french|kidnapping|police|sequel"/>
        <s v="14 year old|british|gadget|spy|training"/>
        <s v="father daughter relationship|forest|miniature person|shrinking|sword and fantasy"/>
        <s v="celtic mythology|cottage|fisherman|irish|selkie"/>
        <s v="australia|cattle|darwin|drover|japanese"/>
        <s v="congressman|lawyer|nsa|on the run|surveillance"/>
        <s v="baby|divorce|oscar wilde|pigalle|tourist"/>
        <s v="civil rights|irish|march|northern ireland|protest march"/>
        <s v="baby|cellist|genius|prodigy|rhapsody"/>
        <s v="catholic|christian|jew|muslim|religion"/>
        <s v="partner|running|scepter|surveillance|thief"/>
        <s v="cheating|economics|experiment|human nature|sumo wrestling"/>
        <s v="love|neighbor|single parent|supermarket|working class"/>
        <s v="apprentice|assassin|hitman|kleptomaniac|thief"/>
        <s v="austrian|fame|fashion|gay lead character|mockumentary"/>
        <s v="business|crime scene cleanup|private school|school|sister sister relationship"/>
        <s v="basketball coach|box|jewish|rabbi|yard sale"/>
        <s v="auto theft|based on true story|drug addict|kidnapping|violence"/>
        <s v="animal|circus|island name in title|lemur|penguin"/>
        <s v="lying|montreal|reference to twitter|reference to youtube|toronto"/>
        <s v="assassination|blood vomiting|death|hit squad|mercenary"/>
        <s v="blood splatter|fistfight|murder|police|prison bus"/>
        <s v="audio surveillance|death|pentagon|technology|twin brother"/>
        <s v="child fugitive|final battle|martial art|silk road|sword"/>
        <s v="dystopia|freedom|government|revolution|terrorist"/>
        <s v="alaska|dome|lake|pig|the simpsons"/>
        <s v="16th century|battle|japan|practice|samurai"/>
        <s v="chun li|crime fighter|gangster|mobster|rescue"/>
        <s v="battle|epic|fight|future|machine"/>
        <s v="high school|mercury theatre|opening night|school|theatre"/>
        <s v="elongated cry of no|friends become enemies|kicked in the butt|robotic midwife|vision"/>
        <s v="china|cia|cold war|friendship|retirement"/>
        <s v="dolphin|latex gloves|medical scrubs|purple gloves|turtle"/>
        <s v="1980s|friend|friendship|loyalty|mafia"/>
        <s v="corporate greed|crisis|economy|greed|mentor"/>
        <s v="graduation|graduation speech|title directed by female|tv studio|unemployment"/>
        <s v="greenland|military|revenge|soldier|u.s. soldier"/>
        <s v="apostrophe in title|cinderella|first of series|punctuation in title|three word title"/>
        <s v="based on comic book|breaking the fourth wall|mercenary|mutant|self healing"/>
        <s v="beach|dating|doctor|heart attack|weekend"/>
        <s v="boxer|hometown hero|philadelphia pennsylvania|protective male|training"/>
        <s v="catholic|convent|gay love|gay relationship|irish adoption board"/>
        <s v="family relationships|loss of mother|san diego california|single mother|suicide attempt"/>
        <s v="desert|horror movie remake|murder of family|rape|slasher"/>
        <s v="bruges|bullet|hope|irish|tourist"/>
        <s v="box office hit|dog|dog movie|florida|pet name in title"/>
        <s v="chase|dead man|jungle|killing a lion|killing a tiger"/>
        <s v="con|con artist|money|scam|sils maria"/>
        <s v="13 year old|13th birthday|30 year old|wish|year 1987"/>
        <s v="antique|art|heiress|older man younger woman relationship|plot twist"/>
        <s v="new york|performing arts|school|student|teacher"/>
        <s v="14 year old|boat|bounty hunter|boy|river"/>
        <s v="friend|genius|janitor|loss of wife|professor"/>
        <s v="1960s|astronaut|moon|nasa|spacecraft accident"/>
        <s v="african american|amputee|navy|racial discrimination|racism"/>
        <s v="gangster|hospital|lesbian|mob|thug"/>
        <s v="2000s|box office hit|comeback|rehearsal|year 2009"/>
        <s v="gay|headmaster|oxford|school|teacher"/>
        <s v="1800s|classical composer|composer|first person narration|opera"/>
        <s v="bathroom|classroom|dialectics|drugs|student"/>
        <s v="arena|desert|fight|mad max|post apocalypse"/>
        <s v="architect|boyfriend girlfriend relationship|superhero|superhero spoof|supernatural power"/>
        <s v="bar|dream|drug dealing|nightclub|widower"/>
        <s v="chorus girl|chorus line|director|gala premiere|song"/>
        <s v="commando unit|extra chromosome|first person shooter|special forces|teleportation"/>
        <s v="british|oil|scientist|terrorist|tycoon"/>
        <s v="dictator|doctor|jungle|rebel|refugee"/>
        <s v="assassin|floppy disk|modem|rival|russian"/>
        <s v="fbi|hacker|independence day|police|terrorist"/>
        <s v="courage|navy seal|outnumbered|shot multiple times|survival"/>
        <s v="american football|based on true story|head coach|high school|school"/>
        <s v="action hero|chinese|forced prostitution|one man army|title spoken by character"/>
        <s v="christmas|no man's land|soldier|trench|world war one"/>
        <s v="airplane|island|pilot|storm|thunderstorm"/>
        <s v="army|greek mythology|hercules|king|mercenary"/>
        <s v="borderline personality disorder|loneliness|memory|playing against type|retrograde narrative"/>
        <s v="black comedy|bounty hunter|diamond|machismo|money"/>
        <s v="e mail|evil spirit|experiment|fear|supernatural"/>
        <s v="fame|jail|jazz age|murder|vaudeville"/>
        <s v="african american|crossdresser|fbi|undercover|vomiting"/>
        <s v="alcoholic|cigarette smoking|father son relationship|teenage boy|woods"/>
        <s v="estranged wife|fashion show|magazine|new york city|writer"/>
        <s v="chocolate|diminution|miniaturization|physical flexability|ticket"/>
        <s v="bodyguard|gang war|russian|russian mafia|triad"/>
        <s v="alien invasion|assassin|battle|iron man|soldier"/>
        <s v="fight|multiverse|police|police officer|prison"/>
        <s v="basement|creature|disappearance|interior designer|mansion"/>
        <s v="alien|friend|galaxy|hyperspace|spaceship"/>
        <s v="fbi|priest|psychic|psychic vision|staff physician"/>
        <s v="box office flop|critically bashed|dominatrix|friend|money"/>
        <s v="forks washington|protecting a woman|title same as book|vampire|werewolf"/>
        <s v="based on comic book|british actor playing american character|final battle|origin of hero|reboot"/>
        <s v="biker|biker gang|dea|dea agent|fight"/>
        <s v="bank|banking|finance|fraud|mortgage"/>
        <s v="egg|iguanodon|lemur|meteor|nesting grounds"/>
        <s v="brother sister relationship|high school graduation|love|sparkler|unfaithful husband"/>
        <s v="ex boyfriend ex girlfriend relationship|media tycoon|megalomaniac|official james bond series|world war three"/>
        <s v="hunter|scientist|time machine|time travel|time travel romance"/>
        <s v="astronaut|dog|official james bond series|space shuttle|space shuttle transported on a 747"/>
        <s v="church|college|color in title|philosophy|texas"/>
        <s v="bust|racing|shotgun|street racing|undercover agent"/>
        <s v="code|duty|steel helmet|u.s. marine|u.s. soldier"/>
        <s v="army|creature|demon|frankenstein|gargoyle"/>
        <s v="amusement park|baby|france|paris france|villain"/>
        <s v="card dealer|casino|criminal mastermind|recruiting|ulcer"/>
        <s v="based on short film|manhattan new york city|urination|vomiting|watching television"/>
        <s v="actress|clown costume|magazine|party planner|soap opera actress"/>
        <s v="box office flop|cardinal richelieu|critically bashed|duel|musketeer"/>
        <s v="chick flick|female protagonist|italian stereotype|man in a swimsuit|verona italy"/>
        <s v="based on novel|children|connecticut|suburb|work"/>
        <s v="based on true story|christ|christian|near death experience|pastor"/>
        <s v="drifter|past life regression|psychological testing|right hand man|scientology"/>
        <s v="friendship|holy grail|massacre|redemption|video store"/>
        <s v="cyborg|future war|robot|shootout in a police station|urban setting"/>
        <s v="immigration|jewish|pogrom|tradition|tradition versus modernity"/>
        <s v="cookie|detective|microfilm|parody|sergeant"/>
        <s v="cancer|dying|friend|money|socialist"/>
        <s v="courtesan|friend|kama sutra|seduction|wedding"/>
        <s v="army|civil war|claw fight|commando|wolverine the character"/>
        <s v="author|book|england|friend|oxford"/>
        <s v="bouquet of roses|bright light|cardiopulmonary resuscitation|ghost|white rose"/>
        <s v="assassination|blood brother|dynasty|general|stabbing a woman"/>
        <s v="brooklyn new york city|found footage|night vision|statue of liberty new york city|subway tunnel"/>
        <s v="lapd|police|police officer|south central los angeles|street gang"/>
        <s v="deputy|farmhouse|nightmare|private investigator|rural"/>
        <s v="blanket|competition|family relationships|feather|sleepover"/>
        <s v="boat|container|sea|shipping container|storm"/>
        <s v="girl in panties|panties|red panties|stand up comedy"/>
        <s v="battle|magic|school|teacher|wizard"/>
        <s v="animal rights|congresswoman|doorman|transvestism|washington d.c."/>
        <s v="curse|fairy|obedience|prince|strong female character"/>
        <s v="boxer|boxing training|death of wife|male in shower|rage"/>
        <s v="christmas|christmas eve|miser|muppet|scrooge"/>
        <s v="coming of age|friend|high school|sidekick|superpower"/>
        <s v="cathedral|minister|presidential election|reference to george washington|ritual sacrifice"/>
        <s v="bodyguard|journalist|kidnapping|mexico|police corruption"/>
        <s v="lobbyist|president|senator|state dinner|widower"/>
        <s v="basketball|dancer|high school|love triangle|shakespeare's a midsummer night's dream"/>
        <s v="con man|eccentric|heiress|love|revenge"/>
        <s v="actor|internet|make up|publicist|purim"/>
        <s v="bullet time|explosion|knife throwing|throwing a knife|violence"/>
        <s v="female protagonist|greek|overweight|spoof|wedding planner"/>
        <s v="1980s|airport|cb radio|truck|truck driver"/>
        <s v="cheating|falling from height|murder|non professional cast|slum"/>
        <s v="age difference|school|student|teacher|writing"/>
        <s v="armor|explosion|human bomb|missile attack|terrorist"/>
        <s v="eccentric|horse racing|newspaper clipping|stallion|triple crown"/>
        <s v="22 year old|b.a.r.t.|bay area|birthday|police"/>
        <s v="house|lake|letter|love across time|parallel time"/>
        <s v="blind|book|long take|post apocalypse|water"/>
        <s v="catholic|corruption|emotional abuse|france|seduction"/>
        <s v="monkey king|staff|teenager|urination|warrior"/>
        <s v="ash|escape|lava|mayor|volcano"/>
        <s v="agent|cia|mariachi|mexican|president"/>
        <s v="alien|bunker|car crash|kidnapping|minimal cast"/>
        <s v="based on novel|female neighbor|friendship|travel|trip"/>
        <s v="community|connecticut|fem bot|tv producer|writer"/>
        <s v="actress|bordeaux|german|heavy water|nazi"/>
        <s v="curb stomping|neo nazi|prison|son dislikes mother's boyfriend|white supremacist"/>
        <s v="cell phone|distress signal|family in danger|police|stealing a car"/>
        <s v="close up of eyes|monster|quirkiness|supernatural|vomiting"/>
        <s v="earl of oxford|play|queen|rebellion|shakespeare play"/>
        <s v="listener|neo nazi|radio|radio station|radio talk show"/>
        <s v="based on stage musical|based on the bible|christmas|color in title|nativity"/>
        <s v="parody|planet enclosed within shield|sci fi spoof|self referential|winnebago"/>
        <s v="friend|new year's eve|screwball|self discovery|social differences"/>
        <s v="bellhop|coven|gangster|hotel|new year's eve"/>
        <s v="narcotics|parody|police|remake|undercover cop"/>
        <s v="airplane|misunderstanding|obese woman|overweight woman|spy"/>
        <s v="blackmail|fall|love|nerd|scam"/>
        <s v="cult|father son relationship|gas station|on the run|supernatural ability"/>
        <s v="family relationships|female protagonist|nubile woman|policeman|teenager"/>
        <s v="detective|heavy rain|murder|partner|serial killer"/>
        <s v="woman wearing only a man's shirt"/>
        <s v="chinese|cia|single mother|spy|terrorist"/>
        <s v="assassin|cult film|doctor|heart|poison"/>
        <s v="capoeira|fight|fighting|martial arts|violence"/>
        <s v="new york city|pandemic|post apocalypse|survivalist|virus"/>
        <s v="anime|bathhouse|pig|spirit|work"/>
        <s v="father|governess|magic|nanny|widower"/>
        <s v="coming of age|geisha|japan|jealousy|love"/>
        <s v="clone|environment|escape|island|lottery"/>
        <s v="bear|food|forest|raccoon|turtle"/>
        <s v="bobby darin|career|love|marriage|sandra dee"/>
        <s v="efficiency expert|insurance investigator|magician|scorpion|thief"/>
        <s v="apartment|fbi|fraud|heist|manager"/>
        <s v="domestic violence|housing project|new york city|poverty|racism"/>
        <s v="devil|elevator|hit and run|throat slitting|trapped in an elevator"/>
        <s v="adult returns home|girl with glasses|hipster|shower|title directed by female"/>
        <s v="jew|jewish nazi|nazism|racism|skinhead"/>
        <s v="based on young adult novel|good versus evil|guardian|human alien|ohio"/>
        <s v="1940s|artist|drinking|life magazine|painter"/>
        <s v="chosen one|comic violence|intentionally bad|kung fu|stylized violence"/>
        <s v="defense lawyer|lawyer|marine|murder|villager"/>
        <s v="friendship between men|impersonating a police officer|mobster|party|police officer"/>
        <s v="demon|gore|record player|tattoo|wings"/>
        <s v="black servant|chocolate pie|jackson mississippi|maid|writing a novel"/>
        <s v="divorced couple|opera|reference to giuseppe verdi|retirement|senility"/>
        <s v="1950s|idaho|love|missionary|mormon"/>
        <s v="1000000 b.c.|box office hit|lawn mowing|product placement|stone age"/>
        <s v="1960s|boy scouts|boy scouts camp|coming of age|young love"/>
        <s v="drug dealer|mayor|new york city|probation|scandal"/>
        <s v="new york city|passion|reenactment|rooftop|tower"/>
        <s v="breasts|interrogation|investigation|murder|watching television"/>
        <s v="adultery|based on novel|heart transplant|infidelity|protective male"/>
        <s v="dog|girl|imagination|peanuts|red hair"/>
        <s v="california|fog|leper|lighthouse|ship"/>
        <s v="boy|catholic|nun|priest|student"/>
        <s v="gang|new mexico|prison|smuggling|theft"/>
        <s v="1960s|bomb shelter|cuban missile crisis|food|naive man"/>
        <s v="drug lord|drugs|federal agent|heist|police"/>
        <s v="army|basic training|reference to shakespeare's hamlet|teacher|u.s. army"/>
        <s v="landlady|lecture|murder|oxford university|symbol"/>
        <s v="cheerleader|party|popular girl|speech|valedictorian"/>
        <s v="mortgage|motorcycle|speed|trailer|utah"/>
        <s v="actor|coma|movie star|paparazzi|revenge"/>
        <s v="amnesia|assassin|money|political thriller|three word title"/>
        <s v="bully|drug dealer|first part|neighbor|neighborhood"/>
        <s v="blockbuster|bumblebee the character|semi truck and trailer|texas|truck"/>
        <s v="butcher|girlfriend|mute character|photographer|subway"/>
        <s v="art deco|board of directors|industry|mail|stock"/>
        <s v="alien|box office hit|flying saucer|laser gun|wisecrack humor"/>
        <s v="female removes her clothes|fondling|voyeur|voyeurism|white panties"/>
        <s v="jail|junkie|money|motel|singer"/>
        <s v="battle|cryogenics|detective|scientist|vampire"/>
        <s v="death|love|marriage|secret|suspicion"/>
        <s v="california|dracula|hotel|transylvania|vampire"/>
        <s v="ice pick|jason voorhees|lake|pitchfork|shack"/>
        <s v="abusive husband|escape|intimate partner homicide|marriage|woman wearing only a man's shirt"/>
        <s v="blade|blood|dracula|vampire hunter|vampire slayer"/>
        <s v="apocalypse|celebrity|ensemble cast|party|rapture"/>
        <s v="baby|baby boy|kidnapping|kidnapping a child|taxi"/>
        <s v="closet|father daughter relationship|psychiatric hospital|real life sisters playing sisters|train"/>
        <s v="affair|car crash|enforcer|funeral|murder"/>
        <s v="king|prince|scar|uncle|unnecessary guilt"/>
        <s v="genetics|i.d.|love|sphinx|totalitarian"/>
        <s v="ares|hades|titan|underworld|zeus"/>
        <s v="captain|experiment|fire|psychic|secret government agency"/>
        <s v="greenhouse|haunted house|horror movie remake|mansion|old house"/>
        <s v="alternate history|alternate timeline|flatulence|future time travel|time travel comedy"/>
        <s v="19th century|ball|boy|inventor|steam"/>
        <s v="chase|future|surprise ending|time loop|time travel"/>
        <s v="melancholy|new york city|sadness|teacher|wizard"/>
        <s v="doctor|factory|halloween|holiday horror|stonehenge"/>
        <s v="bodyguard|maximum security prison|outer space|president|prison"/>
        <s v="fbi|polo|possum|sheriff|shotgun"/>
        <s v="based on true story|farmhouse|paranormal investigator|rhode island|supernatural power"/>
        <s v="boarding house|girl|great depression|house|ohio"/>
        <s v="college|desi|heritage|india|indian american"/>
        <s v="dragon|island|training|viking|village"/>
        <s v="birthday|boy|dead husband|death|widow"/>
        <s v="box office flop|critically bashed|male objectification|narcissism|wannabe dj"/>
        <s v="betrayal|dangerous friend|gothic|monster as victim|vampire"/>
        <s v="death|missionary|spear|speared to death|tribe"/>
        <s v="bank|carnival|motorcycle|police|rookie cop"/>
        <s v="african american|basketball|basketball movie|critically bashed|tv commercial"/>
        <s v="birthday|bridge|midget|rescue|sideshow"/>
        <s v="catholic church|community|monastery|monk|terrorist"/>
        <s v="amnesia|quarantine|special forces|virus|zombie"/>
        <s v="divorce|lawyer|spanking|villain arrested|wrongful conviction"/>
        <s v="first lady|framed|investigation|president|secret service"/>
        <s v="fashion|fashion industry|magazine|new york city|publishing"/>
        <s v="bear|cameraman|hunter|secret government agency|troll"/>
        <s v="advertising|advertising executive|commercial|protective male|twins"/>
        <s v="animal|axe|red riding hood|wolf|woodsman"/>
        <s v="abusive husband|chick flick|north carolina|secret|widower"/>
        <s v="1970s|flashback|love|money|murder"/>
        <s v="cult film|lap dance|lap dancing|stripper|striptease"/>
        <s v="17th century|adultery|letter|pubic hair|swimming"/>
        <s v="baby|children|friend|love|road trip"/>
        <s v="activist|assassin|civil rights|trial|widow"/>
        <s v="eiffel tower|nazi|police|ritual|stew"/>
        <s v="future|mission|space|spaceship|survival"/>
        <s v="art|insurance investigator|martinique|painting|trust"/>
        <s v="dog show|gay|gay character|gay couple|gay interest"/>
        <s v="adoption|female protagonist|princeton university|wedding|working women"/>
        <s v="body swap|camera shot of feet|foot closeup|reference to keith richards|reference to the rolling stones"/>
        <s v="blood|doll|gore|murder|serial killer"/>
        <s v="american dream|convertible|drugs|journalist|lawyer"/>
        <s v="jewel|knight|magical potion|sequel|time travel comedy"/>
        <s v="afterlife|baby boy|bird in a cage|ghost|reunited family"/>
        <s v="based on anime|based on cartoon|gadget car|racer|speed"/>
        <s v="abuse|child|orphan|orphanage|pickpocket"/>
        <s v="cbs|cbs news|research|tobacco|whistleblower"/>
        <s v="bachelorette party|drug use|high school|overdose|wedding dress"/>
        <s v="airline|flight|flight attendant|lawyer|pilot"/>
        <s v="2000s|coke|meeting future self|reference to spongebob squarepants|sony"/>
        <s v="aborigine|foreboding|gang|hideout|outlaw"/>
        <s v="cia|emir|hotel|map|morocco"/>
        <s v="football|hotel|teenage girl|terrorist|wien"/>
        <s v="guard|king|murder|musketeer|swordsman"/>
        <s v="call girl|charlatan|fortune teller|manuscript|writer"/>
        <s v="king|persian|spartan|training|xerxes"/>
        <s v="antique|cockney accent|hatchet|money|shotgun"/>
        <s v="16th century|burmese|invasion|queen|thailand"/>
        <s v="adoption|baby|friend|pregnancy|school"/>
        <s v="collector|dog|friend|rescue|toy"/>
        <s v="columnist|journalist|los angeles times|musician|wearing a traffic cone as a hat"/>
        <s v="baseball|baseball movie|cartoon on tv|dodge viper|retirement"/>
        <s v="bridge|governor|political thriller|president|vice president"/>
        <s v="artificial intelligence|consciousness|future|mind uploading|robot"/>
        <s v="cult director|dwarf|robin hood|satire|treasure"/>
        <s v="based on supposedly true story|house|paranormal investigating|psychic|second part"/>
        <s v="conspiracy|fbi|mk ultra|newsletter|taxi"/>
        <s v="boob job|breast enlargement|breast surgery|cheating on a test|ejaculation"/>
        <s v="hostage|police|prison|swat team|training"/>
        <s v="claim in title|high school|mixed martial arts|ultimate fighting championship|underdog"/>
        <s v="author|fate|novelist|professor|writer"/>
        <s v="hijack|hostage|ransom|subway|train"/>
        <s v="asian american|high school|overachiever|pubic hair|vomiting"/>
        <s v="binoculars|child spy|notebook|secret|spy"/>
        <s v="abbreviation in title|based on short film|competition dancing|dystopia|location in title"/>
        <s v="computer|good versus evil|mind control|science experiment|sequel"/>
        <s v="deal with the devil|lawyer|money|reality|supernatural power"/>
        <s v="1970s|assassination|doctor|scottish|ugandan"/>
        <s v="blood splatter|death|eyeball run over by car|latex gloves|suspension bridge"/>
        <s v="gulf war veteran|morgue|shot in the head|vermont|veteran"/>
        <s v="based on true story|boston massachusetts|fbi agent|gangster|true crime"/>
        <s v="booby trap|brainwashing|mercenary|serial killer|trap"/>
        <s v="children adventure|magical realism|sea goddess|small town|tsunami"/>
        <s v="brother sister relationship|extradition|fbi|japanese tourist|secret"/>
        <s v="brutal cop|drug dealer|punishment|thai boxing|vengeance"/>
        <s v="angel|butler|heaven|manhattan new york city|reincarnation"/>
        <s v="alcoholic|mixed martial arts|return home|tournament|underdog"/>
        <s v="female protagonist|grief|hiking|loss of mother|mother daughter relationship"/>
        <s v="choir|death|friend|suicide|therapy"/>
        <s v="death|family reunion|fbi|fbi agent|vigilante"/>
        <s v="assassin|high school|high school reunion|reunion|suburb"/>
        <s v="1990s|escape|graduation|hustler|street"/>
        <s v="deaf|hitman|nightclub|pickpocket|rules of profession"/>
        <s v="con artist|hotel|partner|scam|stamp"/>
        <s v="beach|beach house|college|party|student"/>
        <s v="christian|love|philosophy|prefect|slave"/>
        <s v="arab stereotype|box office flop|documentary filmmaker|filmmaker|terrorist"/>
        <s v="freddy krueger|gay|gay subtext|homoeroticism|jock strap"/>
        <s v="body swap|magical realism|portal|puppeteer|surrealism"/>
        <s v="long distance runner|olympics|oregon|runner|watching television"/>
        <s v="actor's picture shown in credits|animated credits|google|internship|still images in end credits"/>
        <s v="declaration of independence|secret society|treasure|treasure hunt|treasure hunter"/>
        <s v="colombian|enema|group therapy|murder|nurse"/>
        <s v="assassin|box office flop|cia|farmer|power"/>
        <s v="latin music|marriage|on tour|singer|tejano"/>
        <s v="job interview|manhattan new york city|new york city|remake|sausage"/>
        <s v="1970s|cia|f word|u.s. embassy|year 1979"/>
        <s v="fbi agent|mormon|prayer|sheriff|utah"/>
        <s v="bail|coma|dart board|indiana|ladder factory"/>
        <s v="political thriller|politics|president|speaker of the house|u.s. president"/>
        <s v="confederacy|hero|prequel|stonewall jackson|war hero"/>
        <s v="death|dream|love|lynchian|reality"/>
        <s v="driver|hot shot|racing|stock car driver|team"/>
        <s v="education|factory|high school|mexican american|religious icon"/>
        <s v="desert|disease|escape|resistance|virus"/>
        <s v="betrayal|egg|friend|goose|hero"/>
        <s v="archeological dig|archeologist|ark of the covenant|egypt|nazi"/>
        <s v="computer|contract|earth|moon|solitude"/>
        <s v="betrayal|corrupt cop|heist|murder of a police officer|police detective"/>
        <s v="alzheimer's disease|ape|chimpanzee|fire|when animals attack"/>
        <s v="ambush|assassin|priest|prostitute|sweden"/>
        <s v="bombardier|pilot|u.s. navy|vietnam|vietnam war"/>
        <s v="1990s|caught in a net|children|duel|hero"/>
        <s v="abusive father|coincidence|fictional game show|fictional quiz show|multiple storyline"/>
        <s v="cia|husband wife relationship|memory|tied up while barefoot|violence"/>
        <s v="anger|joy|memory|running away|sadness"/>
        <s v="hospital|love|mennonite|shower|song"/>
        <s v="death|finger gun|video message|what happened to epilogue|wheelchair"/>
        <s v="corporate greed|corporation|natural gas|salesman|small town"/>
        <s v="deputy|escape|fbi|modern western|sheriff"/>
        <s v="bean|giant|king|no opening credits|princess"/>
        <s v="hacking|hijacking|martial arts|revenge|special forces"/>
        <s v="autograph|dentist|outer space|star trek|telephone call"/>
        <s v="casino|fbi|mafia|mob hit|sniper"/>
        <s v="courage|radiation sickness|radioactive contamination|sea|test launch"/>
        <s v="1950s|1960s|racism|rhythm and blues|singer"/>
        <s v="nasa|old age|satellite|space|space shuttle"/>
        <s v="disaster|glass|mousetrap|natural disaster|scatological humor"/>
        <s v="core|earth|natural disaster|pacemaker|scientist"/>
        <s v="blood splatter|jigsaw|nazi|serial killer|swastika tattoo"/>
        <s v="illuminati|planetary alignment|time|tomb|tomb raider"/>
        <s v="1970s|1980s|barrio|gang war|mexican"/>
        <s v="american president|evil industrialist|ex girlfriend|political leader|president"/>
        <s v="bar|biker|cowboy|drugs|marlboro"/>
        <s v="authority|boss subordinate relationship|fast food restaurant|gullibility|telephone call"/>
        <s v="assassin|death|guitar|gun|mariachi"/>
        <s v="alien|future|manipulation|simulation|training"/>
        <s v="12 year time span|coming of age|domestic abuse|growing up|separated parents"/>
        <s v="austria|cake|france|queen|versailles"/>
        <s v="chick flick|doctor|horseback riding|wedding|wedding planner"/>
        <s v="hope|key|machine|number|rag doll"/>
        <s v="apprentice|dragon|king|kingdom|wizard"/>
        <s v="boat|frog|rat|sewer|toad"/>
        <s v="boy|college|heroin|working class|writer"/>
        <s v="christmas|christmas eve|christmas party|held at gunpoint|hostage"/>
        <s v="blood splatter|chain|murder|mysterious killer|warning"/>
        <s v="bar|gay bar|love|mother son relationship|new york"/>
        <s v="cia|cia agent|rescue|russian|team"/>
        <s v="18th century|based on novel|colonel|french and indian war|revenge"/>
        <s v="jewish identity"/>
        <s v="basketball|basketball coach|coach|contract|high school"/>
        <s v="cia|nanobot|prep school|scientist|teenager"/>
        <s v="beauty salon|divorce|fashion|new york|perfume"/>
        <s v="cop|corrupt politician|future|senator|time travel"/>
        <s v="crime family|mafia|organized crime|patriarch|rise to power"/>
        <s v="deputy|group of friends|time|train|train crash"/>
        <s v="class differences|letter|nursing home|second chance|summer love"/>
        <s v="blaxploitation|detective|drugs|shaft|trial"/>
        <s v="death star|emperor|empire|princess|rebel"/>
        <s v="accident|bus|loss of virginity|new york city|virginity"/>
        <s v="arm tattoo|bank robbery|cauterizing a wound|dancing on a table|dinner party"/>
        <s v="alliance|cannibalism|future|operative|planet"/>
        <s v="amphibian|dream|frog|frog prince|waitress"/>
        <s v="flying|flying dagger|government|police|secret"/>
        <s v="hit in the crotch|kicked in the crotch|punched in the crotch|sparring|superhero"/>
        <s v="fbi|fbi agent|mafia|russian mafia|twin"/>
        <s v="civil war|mountain|soldier|well|wounded soldier"/>
        <s v="book|composer|house|love|self esteem"/>
        <s v="arctic|bad weather|flight|migration|ocean"/>
        <s v="alien|alien invasion|apartment|creature|gang"/>
        <s v="dragon|king|mouse|quest|warrior"/>
        <s v="casino|french riviera|gambler|heist|partner"/>
        <s v="bride|columnist|journalist|maryland|wedding"/>
        <s v="love|map|paradise|thailand|travel"/>
        <s v="concert|live in concert recording|live performance"/>
        <s v="best friend|break up|friendship|graduation|male in underwear"/>
        <s v="bathroom|bathtub|female protagonist|flashback|kitchen"/>
        <s v="british secret service|hand to hand combat|murder|official james bond series|terrorist plot"/>
        <s v="demon|exorcism|exorcist|faith|seminary"/>
        <s v="jerusalem|journey|promised land|ship|wilderness"/>
        <s v="domestic violence|pregnancy|unhappy marriage|unwanted pregnancy|waitress"/>
        <s v="disguise|roommate|school|soccer|twin"/>
        <s v="camcorder|cannes|director|lost passport|train"/>
        <s v="anime|castle|demon|steampunk|witch"/>
        <s v="box office flop|dc comics|hair|nuclear disarmament|superman"/>
        <s v="ancient india|dual role|good versus evil|hindu|kingdom"/>
        <s v="alternate history|alternate timeline|divorce|high school|reunion"/>
        <s v="based on cult comic book|cat|home alone|imagination|talking cat"/>
        <s v="abusive husband|alabama|boy|dream|sheriff"/>
        <s v="baseball|baseball practice|escaped convict|neighbor|tied to a chair"/>
        <s v="death|detective|nerve gas|serial killer|trap"/>
        <s v="coma|death|miner|valentine|valentine's day"/>
        <s v="career|fame|murder|new hampshire|television"/>
        <s v="cover up|monster|strong female character|strong female lead|zombie apocalypse"/>
        <s v="adoption|divorce|family relationships|farce|wedding"/>
        <s v="army of the dead|battle|necronomicon|reluctant hero|skeleton soldier"/>
        <s v="apostrophe in title|face slap|four word title|grocery store|police"/>
        <s v="first part|grand canyon|highway travel|indian|janitor"/>
        <s v="dolphin|florida|florida keys|summer|vomiting"/>
        <s v="battle|historically inaccurate|submarine movie|u boat|world war two"/>
        <s v="chainsaw|halloween|mansion|massacre|texas"/>
        <s v="al qaeda|cia|interrogation|lie|navy seal"/>
        <s v="chaucer|jousting|knight|medieval times|tournament"/>
        <s v="alternate world|fairy tale parody|female warrior|ogre|true love"/>
        <s v="actor|doctor|drugs|home|pain"/>
        <s v="confession|demonic possession|exorcism|flickering light|priest"/>
        <s v="casino|locker|money|museum|race"/>
        <s v="dating|divorce|father daughter relationship|mother daughter relationship|party"/>
        <s v="bank robber|brother brother relationship|crime spree|explosive|train"/>
        <s v="architect|award|farce|love|misunderstanding"/>
        <s v="decapitation|ghost ship|passenger|severed head|torso cut in half"/>
        <s v="death|hong kong|kung fu|prison|waterfront"/>
        <s v="catholic|catholicism|rabbi|school|summer"/>
        <s v="bare breasts|breast|loan shark|subway|train"/>
        <s v="hustler|losing|pool|pool player|tournament"/>
        <s v="best friend|dvd|girlfriend|loan|self help"/>
        <s v="california|love|marriage|wedding|wedding dress"/>
        <s v="andy kaufman|comedian|eccentric|wrestler|wrestling"/>
        <s v="butt|downward duck|fish|kingfisher|pig"/>
        <s v="first person narration|general|hampster|reference to loch ness monster|reporter"/>
        <s v="africa|american|border|doctor|well"/>
        <s v="druid|eclipse|rune|scalping|warlock"/>
        <s v="actor|boredom|luxury hotel|party|trip"/>
        <s v="astronaut|sound barrier|space program|u.s. air force|u.s. space program"/>
        <s v="brother sister relationship|espionage|rescue|secret agent|spy"/>
        <s v="boy|family relationships|rock|twin|two headed person"/>
        <s v="jason voorhees|murder|new jersey|nightmare|teenager"/>
        <s v="defecation|hockey mask|jason voorhees|lake|serial killer"/>
        <s v="cancer|estranged wife|leather dress|spy|terrorist"/>
        <s v="extramarital affair|fashion magazine editor|marriage|new york|teacher"/>
        <s v="american in the uk|drug lord|drugs|gangster|organized crime"/>
        <s v="addiction|alcoholic|baseball|car accident|reference to god"/>
        <s v="mutant|superhero|superhero team|x men|year 1983"/>
        <s v="crime boss|detective|dick tracy|gangster|orphan"/>
        <s v="boy genius|futuristic city|inventor|teenage girl|time travel"/>
        <s v="based on comic|based on comic book|dark hero|image comics|superhero"/>
        <s v="boyfriend girlfriend relationship|lingerie slip|time travel|time travel romance|wedding"/>
        <s v="art|jewish|justice|nazi|theft"/>
        <s v="1980s|buddy|high school|prequel to cult favorite|teenager"/>
        <s v="1190s|archer|england|king of england|robin hood"/>
        <s v="environmental|murder|oil|oil spill|tribe"/>
        <s v="blacksmith|box office flop|chop socky|critically bashed|village"/>
        <s v="hip hop|liberal|politics|senator|truth"/>
        <s v="astronaut|island|lady penelope|rescue|the hood"/>
        <s v="basketball|lightning|nba|orphanage|shoe"/>
        <s v="band|drugs|friendship|hollywood|satire"/>
        <s v="boy|girl|soccer|south orange new jersey|teenager"/>
        <s v="bicyclist|boy|doll|star wars reference|voice impersonation"/>
        <s v="armageddon|battle|end times|reference to satan|sequel"/>
        <s v="baseball card|detective|partner|thief|wedding"/>
        <s v="cat|christmas song|lawn mowing|leave of absence|medication"/>
        <s v="ingratitude|mansion|party|title appears in writing|tragedy"/>
        <s v="bond girl|british|mission|portugal|switzerland"/>
        <s v="california|counterfeit|counterfeit money|money|theme park"/>
        <s v="battle|hill|jungle|multiple perspectives|tropical island"/>
        <s v="christmas|destiny|fate|love|serendipity"/>
        <s v="countess|game reality crossover|ghost|group of friends|tower"/>
        <s v="new york city|police|quadriplegic|serial killer|suicide"/>
        <s v="basketball|beer pong|childhood friend|christian|suicide"/>
        <s v="boss|fight|reference to william shakespeare|white trash|written and directed by cast member"/>
        <s v="alien|military|mountain|spacecraft|ufo"/>
        <s v="boy|bully|dream|dream sequence|planet"/>
        <s v="assassin|detective|partner|police|serial killer"/>
        <s v="dream sequence|locked in a room|looking at self in mirror|medication|superhero"/>
        <s v="doctor|english|india|magistrate|mosque"/>
        <s v="beauty pageant|friend|pageant|roller derby|texas"/>
        <s v="briefs|cancer|cat|cult film|friend"/>
        <s v="battle|epic|king|orc|ring"/>
        <s v="basketball|coach|daughter|high school|high school basketball"/>
        <s v="1959 cadillac|diamonds|female villain|force field|voyeurism"/>
        <s v="detective|police|police chief|robbery|tall woman"/>
        <s v="based on comic book|batman|sequel to a reboot|superhero|superman"/>
        <s v="best friend|high school|love|secret|wedding"/>
        <s v="author|book|deputy|murder|sheriff"/>
        <s v="failing student|high school|payphone|teenager|telephone booth"/>
        <s v="one night stand|pregnancy|slacker|unplanned pregnancy|website"/>
        <s v="california|city|kazakhstan|travel|tv reporter"/>
        <s v="love|reading|teaching oneself to read|trial|war crime"/>
        <s v="abusive father|critically acclaimed|loss of father|love|true love"/>
        <s v="actor|based on novel|fancy restaurant|male actor playing a female character|party"/>
        <s v="dark force|entity|evil force|found footage|paranormal phenomenon"/>
        <s v="cult film|documentary crew|exorcism|found footage|satanic ritual"/>
        <s v="car fire|children|cockroach|independent film|new year"/>
        <s v="cleopatra|egypt|epic|queen|roman empire"/>
        <s v="based on play|incestuous relationship|pedophilia|secret|teenage daughter"/>
        <s v="arcade|bridge|disappearance|escape|warrior"/>
        <s v="artist|love|ship|titanic|wet"/>
        <s v="aunt|children|death of sister|forest|hiding in a closet"/>
        <s v="box office hit|crucifixion|nightmare|palestine|robe"/>
        <s v="dog|life|remake by original director|science|stop motion animation"/>
        <s v="delivery|delivery to wrong address|lunchbox|open ended|unconventional romance"/>
        <s v="chef|female chef|love|magic|restaurant"/>
        <s v="cult film|female therapist|revenge|revenge motive|therapy session"/>
        <s v="death|fbi|fbi agent|neighbor|professor"/>
        <s v="high school|love|police|showdown|surfer"/>
        <s v="black comedy|bromance|party|school|teen comedy"/>
        <s v="billionaire|corpse|eccentric|haunted hospital|haunted house"/>
        <s v="beavis and butt head|fbi|score|television|television set"/>
        <s v="female protagonist|hip hop|jewish american princess|rapper|record label"/>
        <s v="kidnapping|reference to franz beckenbauer|scene during end credits|second part|singing in a car"/>
        <s v="college|loser|love|new york city|overdose"/>
        <s v="2000s|bedtime story|elephant|handyman|tween girl"/>
        <s v="church|drink|knocking on a door|love|three word title"/>
        <s v="air traffic control|air traffic controller|female bodybuilder|job|marriage"/>
        <s v="fight|gang|junkyard|military|soldier"/>
        <s v="bear|dentist|friendship|mouse|prejudice"/>
        <s v="beach|female criminal|hooker|lesbian|prostitute"/>
        <s v="amazon|bird|father in law|jungle|no opening credits"/>
        <s v="banker|female protagonist|live action and animation|magic|nanny"/>
        <s v="love|michigan|musician|novelist|student"/>
        <s v="19th century|chinese|princess|rescue|travel"/>
        <s v="dead teenager|death|explosion|premonition|teenager"/>
        <s v="friend|greeting card|office|summer|true love"/>
        <s v="birthday|friendship|hairy chest|letter|widow"/>
        <s v="based on cartoon|box office hit|no opening credits|sequel|smurf"/>
        <s v="goddess|marriage ceremony|marriage proposal|pirate|singapore"/>
        <s v="1950s|children|ice cube|texas|waco texas"/>
        <s v="best friend|commitment|friend|limousine driver|one night stand"/>
        <s v="diamond|fbi|fbi agent|island|thief"/>
        <s v="love|marine biologist|nurse|personal ad|plumber"/>
        <s v="california|car|reference to ralph nader|technology|u.s. president"/>
        <s v="bahamas|blood splatter|cocaine|hairy chest|shark"/>
        <s v="1930s|madness|murder|new york city|violence"/>
        <s v="alzheimer's disease|book|love|novelist|writer"/>
        <s v="bat|curse|egyptologist|mummy|murder"/>
        <s v="child abuse|death|drugs|ku klux klan|police brutality"/>
        <s v="hdtv|motorcycle|museum|security guard|tyrannosaurus rex"/>
        <s v="los angeles california|person in car trunk|racial impersonation|south asian|street gang"/>
        <s v="beauty salon|black college|college|fraternity|sorority"/>
        <s v="cancer|construction|house|house construction|neighbor"/>
        <s v="black and white segues into color|color|community|dystopia|infanticide"/>
        <s v="airport|airport security|confidence|iphone|love"/>
        <s v="football|homeless man|interview|psychic|reporter"/>
        <s v="animal control|lost animal|mongrel|pet|terrier"/>
        <s v="basketball movie|female basketball player|high school|nba|title directed by female"/>
        <s v="city|new york city|night|reservation|restaurant"/>
        <s v="based on comic book|brother brother relationship|rat|sequel|turtle"/>
        <s v="angel dust the drug|disco|new york city|quaalude|reference to princess grace of monaco"/>
        <s v="bloopers during credits|breakfast cereal|department store ride|face painting|sponge bob square pants slippers"/>
        <s v="belief|box office hit|children|new york city|tooth"/>
        <s v="3d in title|animal in title|digit in title|dolphin|manatee"/>
        <s v="christmas|cruelty|ring|secret|tension"/>
        <s v="combat|head cut off|immortal|scotland|swordsman"/>
        <s v="aristocrat|english|painter|painting|singer"/>
        <s v="losing|poker|poker player|reference to frederic chopin|reference to johannes brahms"/>
        <s v="fbi|mafia|money|racial slur|singer"/>
        <s v="3 dimensional|dance|dancer|dancing|flash mob"/>
        <s v="cleric|dystopia|fascist|law|neo noir"/>
        <s v="black pantyhose|female stockinged legs|pantyhose|radio|tattoo"/>
        <s v="aquarium|fish|fish tank|gigolo|norwegian"/>
        <s v="die hard scenario|elephant|long take|police|sydney australia"/>
        <s v="boxer|boxing|boxing match|crack cocaine|lowell massachusetts"/>
        <s v="chase|puppet animation|red hat|stop motion animation|troll"/>
        <s v="arachnophobia|crystal ball|ghost|haunted house|thunderstorm"/>
        <s v="air cavalry|battle|major|soldier|vietnamese"/>
        <s v="camera shot of feet|female stockinged feet|loss of husband|pantyhose|suntan pantyhose"/>
        <s v="antibes|hotel|island|reunion|reunion island"/>
        <s v="automobile racing|boyfriend girlfriend relationship|high school|wrestling|year 1959"/>
        <s v="lesbian kiss|mom|pta|reference to mad max|scene during end credits"/>
        <s v="chinatown|illegal immigrant|new york|police|triad"/>
        <s v="class president|family relationships|friend|high school|jock"/>
        <s v="battle|marvel cinematic universe|scientist|thor|throne"/>
        <s v="1960s|accident|concert|guitar|prison"/>
        <s v="apartment|blue light|drawing|group of friends|light"/>
        <s v="congenital liar|mental breakdown|self deception|snob|talking to oneself"/>
        <s v="barbecue|barbershop|blaxploitation|marriage|politics"/>
        <s v="circus|death of protagonist|jungle|killing an animal|tiger"/>
        <s v="gun fu|plastic surgery|psychopath|undercover|vigilante"/>
        <s v="cultural conflict|politics|president|slavery|u.s. president"/>
        <s v="bus stop|college|community college|scooter|speech class"/>
        <s v="businessman|ring|thief|vulgarity|washington d.c."/>
        <s v="fall|honeymoon|love|marriage|newlywed"/>
        <s v="brazil|military police|police|rio de janeiro brazil|slum"/>
        <s v="bushwhacker|friend|honor|kansas|raid"/>
        <s v="dream|new home|parallel worlds|scissors|secret door"/>
        <s v="boss|ghetto|money|robber|robbery"/>
        <s v="alien|baby|banker|pregnancy|question in title"/>
        <s v="chinese|dalai lama|lama|tibet|tibetan"/>
        <s v="authority figure as villian|gun duel|saved from hanging|showdown|street shootout"/>
        <s v="1830s|baptism|intolerance|mormon church|sibling rivalry"/>
        <s v="dragon|father son relationship|husband wife relationship|mother son relationship|viking"/>
        <s v="dancing|orphan|school|special education|student"/>
        <s v="african american stereotype|car wash|rent|roommate|threatening telephone call"/>
        <s v="alcoholism|boy|good deed|protective male|teacher"/>
        <s v="accidental death|dead woman|dead woman with eyes open|death of mistress|manager"/>
        <s v="1990s|evangelist|professional rivalry|swimming pool|televangelist"/>
        <s v="best friend|friend|investigation|secret|two word title"/>
        <s v="church|hostage|mine|plutonium|revenge"/>
        <s v="beverly hills hotel|divorce|girl|troop|wilderness"/>
        <s v="1970s|death|district attorney|fiancee|watching television"/>
        <s v="contagion|cure|infection|panic|virus"/>
        <s v="band|box office flop|critically bashed|historically inaccurate|revisionist history"/>
        <s v="internet|jay and silent bob|new jersey|orangutan|police"/>
        <s v="14th century|king|knight|sword duel|time travel"/>
        <s v="17th century|king|pirate|vegetable|waiter"/>
        <s v="college tuition|guitar|road trip|soldier|stranded"/>
        <s v="chocolate|christmas|christmas eve|death|suspect"/>
        <s v="digit in title|latino|life or death|philosophy|supernatural"/>
        <s v="bee|nature|park|school|teacher"/>
        <s v="abduction|alaska|alien|owl|patient"/>
        <s v="alien|epidemic|psychiatrist|space shuttle|virus"/>
        <s v="exploitation|four word title|hallucinogen|lynchian|telepathy"/>
        <s v="future|nonlinear timeline|time travel|title directed by female|writer"/>
        <s v="jihad|mindanao|philippines|security guard|squatter"/>
        <s v="found footage|teenager|time machine|time travel|video footage"/>
        <s v="investigation|obsession|private eye|private investigator|snuff film"/>
        <s v="airport|flight|hotel|hotel manager|plane"/>
        <s v="adultery|extramarital affair|infidelity|unfaithfulness|writer"/>
        <s v="based on supposedly true story|holy grail|mary magdalene|opus dei|secret"/>
        <s v="conclave|illuminati|murder|reference to bernini|reference to raphael"/>
        <s v="amnesia|barricade|letter|time|virtual reality"/>
        <s v="compulsive liar|fired from a job|gift|rape|substance abuse"/>
        <s v="love at first sight|obscene finger gesture|rain|teleportation|three word title"/>
        <s v="computer|game|high school|norad|teenager"/>
        <s v="british prime minister|death|island|memoir|writer"/>
        <s v="dissociative identity disorder|motel room key|murder|storm|stranded"/>
        <s v="gold|miner|preacher|prospector|sheriff"/>
        <s v="blackout|child pornography|memory|surprise ending|time travel"/>
        <s v="civil war|hitman|outlaw|shootout|spaghetti western"/>
        <s v="flashback|memory|murder|short term memory|telephone"/>
        <s v="artificial intelligence|human android relationship|megacorporation|police detective|tech noir"/>
        <s v="female prisoner|plot twist|self delusion|surprise ending|year 1954"/>
        <s v="currency|future|murder|on the run|time"/>
        <s v="captain|darkness|eclipse|space|survival"/>
        <s v="apartment|drug lord|gangster|police|swat team"/>
        <s v="code|evil|false accusation|megalomaniac|torah"/>
        <s v="berlin wall|germany|murder|soldier|specialist"/>
        <s v="abandoned hotel|dog|foster home|overalls|playing with a dog"/>
        <s v="cheating wife|drug reference|maintenance man|male vomiting|promiscuous woman"/>
        <s v="android|corporation|ninja|police|robocop"/>
        <s v="1940s|art collector|bull riding|north carolina|student"/>
        <s v="corruption|lobbyist|murder|washington d.c.|washington d.c. lobbyist"/>
        <s v="box office flop|buddhist|liar|literary agent|magical tree"/>
        <s v="anger|baseball|drinking|radio|secretary"/>
        <s v="bank manager|hypochondriac|love triangle|prison|television"/>
        <s v="college|debate|student|texas|wiley college"/>
        <s v="bachelor|england|gentleman|georgian|love"/>
        <s v="based on comic book|dc comics|psychopath|star died before release|urban setting"/>
        <s v="car accident|death of wife|mothman|point pleasant west virginia|urban legend"/>
        <s v="hawaii|hawaiian|historically inaccurate|princess|tearing up a letter"/>
        <s v="brain tumor|genius|psionic power|telekinesis|terminal illness"/>
        <s v="bondage gear|bound and gagged|hung by one's wrists|tied to a chair|tied to a table"/>
        <s v="baseball|baseball movie|detroit tigers|perfect game|pitcher"/>
        <s v="boxer|boxing|boxing arena|boxing manager|directed by co star"/>
        <s v="artifact|creature|darkness|demon|museum"/>
        <s v="medical student|nazi|snow|snowmobile|zombie"/>
        <s v="based on true story|cia agent|libya|mercenary|u.s. ambassador"/>
        <s v="africa|chimpanzee|elephant|safari|shaman"/>
        <s v="dog|florida|mad scientist|school|teacher"/>
        <s v="babysitting|cell phone|high school|nightmare|teenager"/>
        <s v="aborigine|based on true story|colonialism|fence|half caste"/>
        <s v="dance|dancer|dancing|desert|iran"/>
        <s v="atlantis|crew|expedition|journal|museum"/>
        <s v="expecting|kiss|new year|new year's eve|singer"/>
        <s v="closed ecological system|perpetual winter|population control|revolt|train"/>
        <s v="bus|concert|live concert|pop group|spice girl"/>
        <s v="computer hacker|internet|news leak|whistleblowing|wikileaks"/>
        <s v="box office hit|long take|sole survivor|space|space station"/>
        <s v="captain|half brother|klingon|planet|vulcan"/>
        <s v="bridge|brooklyn bridge|falling down an elevator shaft|time travel|time travel romance"/>
        <s v="12 year old|artist|hotel|three word title|written and directed by cast member"/>
        <s v="ballerina|ballet|fear|female protagonist|madness"/>
        <s v="dragon|dwarf|hobbit|orc|wizard"/>
        <s v="arkansas|murder|sheriff|texas ranger|u.s. marshal"/>
        <s v="battle of the bands|high school|rock 'n' roll|school|teenager"/>
        <s v="abandoned building|detroit michigan|firefighter|michigan|urban setting"/>
        <s v="castle|dragon|fire breathing dragon|militia|survival"/>
        <s v="actress|love|michigan|neighbor|writer"/>
        <s v="german|german soldier|jew|jewish|nazi"/>
        <s v="catfight|dominatrix|rape|spanking|stripper"/>
        <s v="demo tape|directed by cast member|grieving father|guitar|guitar player"/>
        <s v="battle|epic|greece|spartan|warrior"/>
        <s v="detective|fbi|rape|rapist|serial rapist"/>
        <s v="animal companion|heiress|hero|jungle|male objectification"/>
        <s v="high school|party|prom|suicide|teenage girl"/>
        <s v="box office flop|christmas|christmas eve|critically bashed|toy comes to life"/>
        <s v="auroch|community|hospital|illness|six year old"/>
        <s v="godzilla|kaiju|monster|orga|ufo"/>
        <s v="fountain of youth|immortality|secret|woods|young man"/>
        <s v="autobot|decepticon|job interview|moon|spacecraft"/>
        <s v="concert|mobster|russian|sequel|widow"/>
        <s v="1960s|fire|pop chart|singer|trio"/>
        <s v="championship|cheerleading|high school|teen comedy|teenage romance"/>
        <s v="blender|computer screen|secret|skype|webcam"/>
        <s v="horse|nazi|occupation|resistance movement|uncle nephew relationship"/>
        <s v="lake|louisiana|redneck|shark|vacation"/>
        <s v="captain|casualty notification|casualty notification team|sergeant|staff sergeant"/>
        <s v="baby|infidelity|pilot|pregnant|waitress"/>
        <s v="ensemble cast|episodic structure|satire|social satire|suburb"/>
        <s v="1988 winter olympics|coach|ski jumper|winter|winter olympics"/>
        <s v="aging|billings montana|lincoln nebraska|nebraska|pickup truck"/>
        <s v="afghanistan|death of marine|dog|dog adoption|man dog relationship"/>
        <s v="adoption|highway travel|road trip|sequel|stupidity"/>
        <s v="advertising|movie in title|product placement"/>
        <s v="anti semitism|cult film|grindhouse|suffering|torture"/>
        <s v="beach|corpse|fourth of july|overalls|revenge"/>
        <s v="box office flop|cia agent|criminal organization|kgb agent|nuclear bomb"/>
        <s v="artificial intelligence|consciousness|power outage|scientist|technology"/>
        <s v="bhutan|buddhist|monk|storytelling|weaver"/>
        <s v="actor director writer|invention|machine|music score composed by director|tramp"/>
        <s v="bartender|friend|new year's eve|party|punk"/>
        <s v="elm street|freddy krueger|jason voorhees|serial killer|slasher"/>
        <s v="3 dimensional|cartographer|punctuation in title|smithsonian|train"/>
        <s v="lapd|narc|narcotics|title spoken by character|training"/>
        <s v="cure|disease|imagination|race against time|venture capital"/>
        <s v="brother sister relationship|family relationships|middle east|mother son relationship|twin brother and sister"/>
        <s v="giant monster|kaiju|pilot|portal|robot"/>
        <s v="escape from prison|first person narration|prison|prison cell search|wrongful imprisonment"/>
        <s v="alien|aurora borealis|critically bashed|killing an animal|nightclub"/>
        <s v="class|cornwall connecticut|dog|friend|pawtucket rhode island"/>
        <s v="bobsled|coach|jamaica|olympic games|olympics"/>
        <s v="alienation|conscience|insomnia|paranoia|urban gothic"/>
        <s v="bravery|honor|medal of honor|military life|unreliable flashback"/>
        <s v="abu dhabi|box office hit|muslim|nanny|united arab emirates"/>
        <s v="abandoned building|chernobyl disaster|exploration|tour guide|van"/>
        <s v="alone|aron ralston|based on autobiography|canyon|survival"/>
        <s v="healing power|marvel comics|mecha|regeneration|self healing"/>
        <s v="american civil war|battle|blood splatter|civil war|irish american"/>
        <s v="australia|death|mentor|revenge|secret society"/>
        <s v="dole|male stripper|northern england|steel worker|unemployment"/>
        <s v="arranged marriage|bride|celebration|marriage|wedding"/>
        <s v="aging rocker|christmas|love at first sight|minister|prime minister"/>
        <s v="based on toy|dual personality|evil businessman|good cop bad cop|lego"/>
        <s v="chainsaw|chainsaw murder|human monster|music score composed by director|obscene finger gesture"/>
        <s v="bolivia|gang|outlaw|posse|train"/>
        <s v="amusement park|on the road|zombie|zombie apocalypse|zombie spoof"/>
        <s v="army|cattle|deputy|new mexico|rancher"/>
        <s v="auctioneer|fbi|mafia|mobster|painting"/>
        <s v="baseball|baseball movie|beer|slacker|softball"/>
        <s v="based on children's book|creature|igloo|imagination|king"/>
        <s v="19th century|faith|mayor|ranch|sheriff"/>
        <s v="antarctica|geologist|investigation|u.s. marshal|winter"/>
        <s v="cosmetics|female protagonist|native american|native american protagonist|sister sister relationship"/>
        <s v="casino|future|laser gun|moon|nightclub"/>
        <s v="military|mineral|ocean|ship|titanic"/>
        <s v="african american|dog|homecoming queen|insecurity|surgery"/>
        <s v="martial arts master|monster|new york city|turtle|warrior"/>
        <s v="bride|coma|japan|revenge|sword"/>
        <s v="evil witch|tornado|witch|wizard|wizard of oz"/>
        <s v="artist|denmark|lego|toy|toy company"/>
        <s v="drinking|female dressed as male|love|nebraska|transgender"/>
        <s v="bloody water|boat|party|piranha|spring break"/>
        <s v="adult actor playing minor|politician|progeria|reference to spiderman|school"/>
        <s v="based on fairy tale|bechdel test passed|cinderella|fairy tale|leonardo da vinci"/>
        <s v="lawyer|neo noir|prison|rapist|southern gothic"/>
        <s v="best friend|dyed hair|fake tan|rivalry|wedding"/>
        <s v="home office|mirror|released from a mental hospital|trauma|video camera"/>
        <s v="beauty|cannibalism|fashion|lesbian|model"/>
        <s v="friend|hustler|italy|narcolepsy|traveling"/>
        <s v="candle|cat|halloween|spell|virgin"/>
        <s v="color in title|parody|reference to cuba gooding jr|reference to netflix|written by star"/>
        <s v="first person narration|hotel|lobby boy|mentor protege relationship|painting"/>
        <s v="magic|muggle|serial killer|traitor|wizard"/>
        <s v="cave|expedition|panic|rebreather|underwater"/>
        <s v="cake|cocaine|drugs|pills|serbian"/>
        <s v="greek|mythology|prince|trojan|troy"/>
        <s v="lesbian mother|lesbian parent|lesbian relationship|lesbian romance|lesbianism"/>
        <s v="election|father son relationship|fellatio|gay slur|title spoken by character"/>
        <s v="19th century|countess|lawyer|love|new york"/>
        <s v="abandoned asylum|abandoned hospital|asbestos|lobotomy|multiple personality"/>
        <s v="alien|breakfast|escape|rat|ufo"/>
        <s v="college|face slap|high school|loss of virginity|pierced nipple"/>
        <s v="dance|nosebleed|revenge|valentine|valentine's day"/>
        <s v="boat|heart transplant|murder|serial killer|sister"/>
        <s v="army|bomb|dangerous job|death|iraq"/>
        <s v="chat room|computer|computer hacker|identity|identity theft"/>
        <s v="brother sister relationship|death of sister|female protagonist|mother daughter relationship|murder"/>
        <s v="female removes her clothes|one word title|producer|television|video store"/>
        <s v="prism|rented room|scrofula|sketching|sunrise"/>
        <s v="friendship|loudmouth|money laundering|new york city|stripper"/>
        <s v="bruce lee|jeet kune do|karate|satire|spoof"/>
        <s v="girl|maori|new zealand|tradition|whale"/>
        <s v="faith|fatherhood|integrity|police|responsibility"/>
        <s v="dodgeball|portrait|soccer|soccer game|young love"/>
        <s v="decoration|father daughter relationship|high school|prom|teenager"/>
        <s v="bookstore|competing businesses|instant messaging|new york city|shop owner"/>
        <s v="canal|panama|president|spy|tailor"/>
        <s v="cliche|exchange student|slasher|spoof|surfing"/>
        <s v="france|musketeer|three musketeers|twin|twin brother"/>
        <s v="bosnian war|church|emaciation|soldier|violence"/>
        <s v="animated sequence|junkyard|love|party|television"/>
        <s v="disaster movie|earthquake|journey|natural disaster|san andreas fault"/>
        <s v="bonn germany|failed kidnapping|handcuffs|projectile|terrorist"/>
        <s v="church|priest|sheriff|vampire|warrior"/>
        <s v="fbi|mafia|mobster|undercover|veterinarian"/>
        <s v="colorado|niece|satellite|terrorist|train"/>
        <s v="brontosaurus|classical music|dinosaur|dinosaur feature|earthquake"/>
        <s v="basement|book|girl|library|track"/>
        <s v="ambiguous ending|brother brother relationship|drug dealer|fight club|revenge"/>
        <s v="athletic training|football practice|funeral|gymnasium|man crying"/>
        <s v="21st century|borg|borg sphere|captain|sphere"/>
        <s v="book|debunking|evil|hotel|paranormal phenomena"/>
        <s v="gunfight|outrunning explosion|police|security guard|street shootout"/>
        <s v="disney|owl|rabbit|sequel|tiger"/>
        <s v="feminism|hit in the crotch|kicked in the crotch|kicked in the testicles|navy"/>
        <s v="girl|gun|love|sharpshooter|the end"/>
        <s v="boyfriend girlfriend relationship|heart|main character dies|organ donor|redemption"/>
        <s v="agent|fbi|federal bureau of investigation|gay relationship|secret"/>
        <s v="bloopers during credits|bucket of popcorn|chastity belt|guru|toronto maple leafs"/>
        <s v="based on cult comic book|bechdel test passed|cat|detective|radical transformation"/>
        <s v="alter ego|marriage|professor|scientist|serum"/>
        <s v="anthology|hit and run|hit by a car|living statue|melting woman"/>
        <s v="anime|cult film|forest|princess|studio ghibli"/>
        <s v="american president|political drama|scandal|u.s. president|washington post the newspaper"/>
        <s v="death|france|near death experience|tsunami|twin brother"/>
        <s v="alien invasion|chicken|fish|friend|panic"/>
        <s v="dying|forgiveness|saint|spanish civil war|starts with narration"/>
        <s v="balladeer|crusades|england|king|modern minstrel"/>
        <s v="australia|desert|escape|on the run|post apocalypse"/>
        <s v="doctor|mountain|musician|song|university"/>
        <s v="alien|american civil war|male nipple|mars|princess"/>
        <s v="bank|federal reserve bank|money|security guard|shredder"/>
        <s v="book|darkness|dungeon|princess|rat"/>
        <s v="asia|fictional country|hotel|rebellion|revolution"/>
        <s v="murder|neo nazi|punk band|skinhead|suspense"/>
        <s v="1930s|car accident|hospital|marital rape|painter"/>
        <s v="alliance|battle|china|chinese|strategy"/>
        <s v="bound with duct tape|flash forward|number|riddle|stalking"/>
        <s v="cup|derby county|flashback|football|leeds united"/>
        <s v="collar|dog|fight|fighting|piano"/>
        <s v="dwarf|elf|lake town|mountain|sword and sorcery"/>
        <s v="comic|ex girlfriend|jay and silent bob|mall|teenager"/>
        <s v="inmate|prison|prison guard|soccer|soccer star"/>
        <s v="bar|florida|love|spring break|waitress"/>
        <s v="actor|anilingus|double cross|funeral home|two timing"/>
        <s v="arab|black september|israel|jew|munich olympics"/>
        <s v="louisiana|overalls|road trip|southern u.s.|teenage boy"/>
        <s v="autopsy|lantern|planet|ring|test pilot"/>
        <s v="breasts|cult film|loan shark|poker|reference to christy turlington"/>
        <s v="cartoonist|reporter|serial killer|zodiac|zodiac killer"/>
        <s v="immigration|love|political prisoner|reference to john wayne|title directed by female"/>
        <s v="battle|battlefield|brutality|combat|tank"/>
        <s v="27th century|fighter pilot|orchestral music score|outer space|space opera"/>
        <s v="estranged wife|evil|fire|medication|mirror"/>
        <s v="ambassador|cannes|identity|suicide|thief"/>
        <s v="1950s|call girl|corruption|murder|police detective"/>
        <s v="bermuda triangle|box office hit|shipwrecked|travel|travel writer"/>
        <s v="birthday party|high school|high school senior|millennial generation|party"/>
        <s v="child's point of view|house|lawyer|real estate|washing machine"/>
        <s v="bomb|detective|new york city|police|terrorist"/>
        <s v="baby|desert island|island|sequel|teenage girl"/>
        <s v="friend|restaurant|secret|unrequited love|vacation"/>
        <s v="end credits roll call|four word title|funeral|secret|uncle"/>
        <s v="assassin|game|game designer|pod|virtual reality"/>
        <s v="antidote|cure|hulk|marvel cinematic universe|opening action scene"/>
        <s v="car falling off a cliff|hospital|revenge|star died before release|terrorist"/>
        <s v="evil queen|fairy tale|magic|queen|snow white"/>
        <s v="artificial reality|computer|matrix|questioning reality|simulated reality"/>
        <s v="alien infection|astronaut|mars|mission|zombie"/>
        <s v="boxing|colosseum|homeless man|reporter|writer"/>
        <s v="baby|boy|coma|demon|house"/>
        <s v="escape|future|population control|prison|prisoner"/>
        <s v="amusement park|dog|family vacation|national lampoon series|vacation"/>
        <s v="gambling|novel|stenographer|writer|writer's block"/>
        <s v="cave|lost world|missing brother|mountain|venus flytrap"/>
        <s v="flashing breasts|hitchhiker|vampire|vampire hunter|virus"/>
        <s v="africa|capture|jungle|male objectification|tarzan"/>
        <s v="chick flick|escort|male escort|wedding|wedding date"/>
        <s v="cross country|custom car|illegal street racing|police officer crushed|street racing"/>
        <s v="actor|california|teacher|wine|writer"/>
        <s v="blizzard|mount everest|mountain|mountain climbing|snow"/>
        <s v="chef|haute cuisine|indian cuisine|michelin guide|restaurant"/>
        <s v="at work|rat|revenge|vermin|work"/>
        <s v="bow and arrow|group of friends|horse|rifle|ruins"/>
        <s v="1980s|law firm|lawsuit|lawyer|toxic waste"/>
        <s v="city by night|contract killer|driving at night|los angeles california|taxi"/>
        <s v="bachelor party|blow job|breasts|friend|wedding"/>
        <s v="bodyguard|manager|pop singer|secret service agent|singer"/>
        <s v="computer|high school|kryptonite|smallville|villain"/>
        <s v="box|food|mayor|pipeworks|scientist"/>
        <s v="blood|death|gang|murder|revenge"/>
        <s v="horse|outlaw|texas|texas ranger|train"/>
        <s v="cat|computer|cult film|runner|sanctuary"/>
        <s v="diamond|necklace|safecracker|wine|wine dealer"/>
        <s v="fake documentary|hidden camera|mockumentary|narrative|reality show"/>
        <s v="murder|paranoia|process server|roach|stoner"/>
        <s v="actress shares first name with character|appendicitis|hospital|loss of mother|supermarket"/>
        <s v="alien|left for dead|mercenary|survival|vomiting"/>
        <s v="hair stylist|jew|landlord|muslim|palestinian"/>
        <s v="corrupt|criminal|investigation|lapd|police"/>
        <s v="beach|island|party|resort|serial killer"/>
        <s v="hong kong|interpol|medallion|ship|tough cop"/>
        <s v="court|drugs|judge|mafia|mobster"/>
        <s v="baby|expecting twins|hawaiian shirt|photographer|pregnancy"/>
        <s v="kingdom|prince|princess|queen|snow"/>
        <s v="coroner|death|gay son|love|mistaken identity"/>
        <s v="museum|museum of natural history manhattan new york city|night watchman|star died before release|tablet"/>
        <s v="box office flop|critically bashed|economy|individual versus society|rescue"/>
        <s v="back from the dead|crime boss|crow|gothic|vigilante"/>
        <s v="church|love|marriage|mormon|single"/>
        <s v="disc jockey|friendship|radio|vietnam|vietnamese"/>
        <s v="actor|detective sergeant|hotel|nightclub|thief"/>
        <s v="cheese|city|ice cream|school|second city"/>
        <s v="1980s|argument|critique of capitalism|f word|fired from the job"/>
        <s v="actor|african american|dream|two word title|written and directed by cast member"/>
        <s v="alligator|golf|japan|panda|stunt"/>
        <s v="beach|cigarette girl|radio|woman holding a baby|working class"/>
        <s v="entertainer|inspiration|lost opportunity|pregnant mother|rock star"/>
        <s v="christmas|magic|santa claus|son|toy"/>
        <s v="based on true story|cannibalism|captain|mexican american war|u.s. frontier"/>
        <s v="death|film blanc|invisibility|love|unrequited love"/>
        <s v="mask|murder|newspaper|poem|serial killer"/>
        <s v="expedition|oceanographer|sea|shark|team"/>
        <s v="air raid|beer|birthday|japan|professor"/>
        <s v="dress|duke|fairy godmother|fairy tale|pumpkin"/>
        <s v="clone|convoy|crow|desert|satellite"/>
        <s v="blind date|crossword puzzle|eccentric|fall|mine shaft"/>
        <s v="father son relationship|physical abuse|radio flyer|stepfather|stepfather stepson relationship"/>
        <s v="fashion|malaysia|male model|reporter|rival"/>
        <s v="fbi|journalist|missing|pakistan|reporter"/>
        <s v="anthology|corruption|hearing characters thoughts|neo noir|night"/>
        <s v="bag of money|found money|minnesota|screenplay adapted by author|snow"/>
        <s v="debt|loan shark|mobster|movie business|producer"/>
        <s v="drug dealer|drugs|murder|police brutality|police shootout"/>
        <s v="brother brother relationship|family relationships|father daughter relationship|genius|thrown through a window"/>
        <s v="athlete|basketball|high school|high school student|school"/>
        <s v="attic|ghost|surrealism|teenage girl|yuppie"/>
        <s v="austin texas|moon|pap smear|texas|twenty something"/>
        <s v="bank|car accident|cheating husband|new york|single mother"/>
        <s v="celebrity|journalist|lesbian kiss|strong female character|tv producer"/>
        <s v="actress|assistant director|blonde bombshell|movie star|wardrobe"/>
        <s v="chained|flashback|killer|serial killer|surprise ending"/>
        <s v="journalism|news anchor|newscast|newscaster|tv journalism"/>
        <s v="basketball|burglary|police|robbery|teenage girl"/>
        <s v="martial arts|murdered before giving protagonist information|part computer animation|prequel|prequel to cult film"/>
        <s v="amputee|love|vietnam|vietnam war|war hero"/>
        <s v="cigarette smoking|lobbyist|political satire|reporter|tobacco industry"/>
        <s v="african american|harlem manhattan new york city|manhattan new york city|new york city|urination"/>
        <s v="alien|character says i have a bad feeling about this|hand to hand combat|seven word title|wilhelm scream"/>
        <s v="cat|halloween|kitten|michael myers|psychotronic"/>
        <s v="book|escape|girl|overalls|villain"/>
        <s v="airport|christmas|news broadcast|tv broadcast|tv news"/>
        <s v="1920s|aviation|fight|spruce goose|test flight"/>
        <s v="business|girl scouts|orphanage|overweight woman|quitting a job"/>
        <s v="based on fairy tale|dark fantasy|fairy tale|second part|sequel"/>
        <s v="cia|cold war|lawyer|negotiation|spy"/>
        <s v="car fire|evil|hospital|hotel|prophecy"/>
        <s v="alien|hidden camera|martian|reporter|spaceship"/>
        <s v="1930s|blood|gun|on the run|revenge"/>
        <s v="gangster|playing piano|song and dance|speakeasy|written and directed by cast member"/>
        <s v="boy|friend|government agent|maine|robot"/>
        <s v="blood splatter|iraq|murder|rape|soldier"/>
        <s v="bank manager|bank robbery|criminal gang|heist|prison"/>
        <s v="office|pressure|real estate|robbery|sales"/>
        <s v="battle of the bands|rock band|school teacher|substitute teacher|teacher"/>
        <s v="gay|gay interest|high school|school|student"/>
        <s v="memory|murder|patient|psychiatrist|the devil"/>
        <s v="attorney|divorce|marriage|real estate|screwball comedy"/>
        <s v="diamond|infant|parody|spoof|sports violence"/>
        <s v="crying man|high school|high school senior|men's clothing store|party"/>
        <s v="book club|cheating boyfriend|job promotion|manhattan new york city|new york city"/>
        <s v="bully comeuppance|destruction|prison|superhero|tough girl"/>
        <s v="fbi|murder|scene of the crime|serial killer|therapy"/>
        <s v="book of mormon|fight|mormon|ray gun|sidekick"/>
        <s v="automobile racing|car|mechanic|nascar|street racing"/>
        <s v="crepe suzette|french|mata hari spoof|song|spy"/>
        <s v="cancer|florida|insurance|life insurance policy|small town"/>
        <s v="black cop|die hard scenario|hostage negotiator|police|police brutality"/>
        <s v="air marshal|death|passenger|terrorist|transatlantic flight"/>
        <s v="dwarf|love|princess|queen|snow white"/>
        <s v="ambiguous ending|false memory|implanted memory|memory|space colony"/>
        <s v="bank|money|presumed dead|rescue|thief"/>
        <s v="colombia|colombian|drug mule|money|stomach"/>
        <s v="audition|ballet|boxing|miner|miners strike"/>
        <s v="antidote|based on young adult novel|flyer|spider|vampire"/>
        <s v="death of husband|fire|firefighter|funeral|main character dies"/>
        <s v="angel|bethlehem|journey|nazareth|virgin"/>
        <s v="fight|florida|montana|owl|school"/>
        <s v="attempted murder|based on comic book|escape from prison|lost at sea|wealth"/>
        <s v="drug lord|fbi|fbi agent|hospital|shot in the crotch"/>
        <s v="actress|lesbianism|manhattan new york city|urination|watching pornography"/>
        <s v="23 year time span|accidental death|best friend|loss of loved one|male female friendship"/>
        <s v="brother|human versus vampire|rapist|stripper|vampire"/>
        <s v="gang|independent film|prison|racial slur|urban setting"/>
        <s v="23rd century|bare chested male bondage|enterprise the starship|rescue|sacrifice"/>
        <s v="sequel"/>
        <s v="action hero|cia|dark past|flashback|memory"/>
        <s v="agoraphobia|copycat murder|detective|psychologist|serial killer"/>
        <s v="cover up|north carolina|redemption|small town|teenager"/>
        <s v="cia|hezbollah|lebanon|oil|prince"/>
        <s v="alien|general|martian|president|weapon"/>
        <s v="drumline|drummer|fish out of water|marching band|university"/>
        <s v="car accident|japan|newlywed|photograph|photographer"/>
        <s v="antarctica|coma|neighbor|phd|pregnancy"/>
        <s v="1980s|c 130 hercules|monster|panzer|san francisco california"/>
        <s v="composer|future|letter|nonlinear timeline|nursing home"/>
        <s v="final showdown|ireland|justice|priest|sheep"/>
        <s v="college|flubber|flying rubber|professor|wedding"/>
        <s v="1980s|mission|prison|rambo|vietnam"/>
        <s v="cell phone|hotel|misunderstanding|monte carlo|young woman"/>
        <s v="amnesia|criminal|heist|hypnotherapy|lost painting"/>
        <s v="cold fusion|disguise|energy|fusion|the saint"/>
        <s v="1969 dodge charger|bikini|farm|misogynist|tow truck"/>
        <s v="artist|butchery|catholic|catholic school|friend"/>
        <s v="british|crown jewels|explosion|funeral|spy"/>
        <s v="captain|emperor|honor|japan|samurai"/>
        <s v="archeologist|church|excavation|faith|relic"/>
        <s v="dare|game|knocked out|motorcycle|online game"/>
        <s v="abraham|hunter|princess|sodom|tribe"/>
        <s v="cult film|elephant|jungle|martial arts|stylized violence"/>
        <s v="boy|divorce|tennis|tennis coach|writer"/>
        <s v="alien|boy genius|children|genius|rescue"/>
        <s v="book|orchid|screenwriter|thief|twin"/>
        <s v="captain|commandant|mafia|russian mafia|security system"/>
        <s v="boy in a bathtub|demon|laptop computer|pulled underwater|walking in the dark"/>
        <s v="bouncer|breasts|congressman|private dancer|stripper"/>
        <s v="birthday|birthday party|delivery man|mother|neighbor"/>
        <s v="boy|girl|hair|school|taliban"/>
        <s v="bong|escape|ex girlfriend|guantanamo bay|texas"/>
        <s v="boxer|boxing|diamond|fight|gypsy"/>
        <s v="first part|mutant|professor|superhero|superhero team"/>
        <s v="box office flop|hawaii|naval|oahu hawaii|ship"/>
        <s v="corpse|dark humor|medical school|murder|pathology"/>
        <s v="graveyard|murder|murder trial|reporter|trial"/>
        <s v="cave painting|medical scanner|planet|pregnant with an alien fetus|suspended animation"/>
        <s v="gold|gold rush|mirror|police officer|singer"/>
        <s v="chihuahua|german shepherd|mexico|potted plant|tijuana mexico"/>
        <s v="alien|mutiny|orb|planet|spaceship"/>
        <s v="coma|one word title|spitting|sushi|swimming pool"/>
        <s v="accident|diary|ghost|psychic|veterinarian"/>
        <s v="creature|death|party|rescue|werewolf"/>
        <s v="machete|mexican|mexico|priest|texas"/>
        <s v="flood|mammoth|no opening credits|squirrel|valley"/>
        <s v="capital management|financial crisis|financial disaster|investment fraud|management"/>
        <s v="friend|greece|greek|hotel room|twin"/>
        <s v="city|dc comics|gotham|pantyhose|police"/>
        <s v="airport|business trip|downsizing|on the road|travel"/>
        <s v="assassin|corporation|pop star|reporter|satire"/>
        <s v="cabin in the woods|dark humor|hatchet|killed in an elevator|robot"/>
        <s v="based on comic book|critically bashed|father daughter relationship|reference to superman|super villain"/>
        <s v="affection|boy|fairy|future|robot"/>
        <s v="alternate reality|escape|girl gang|prostitution|samurai"/>
        <s v="chipmunk|cruise ship|football ball|overboard|tennis ball"/>
        <s v="asteroid|astronaut|bomb|meteorite|outer space"/>
        <s v="boat|hong kong|murder|tunnel|twins"/>
        <s v="bus|intern|internship|salesman|stockbroker"/>
        <s v="martha's vineyard|mother|older woman younger man relationship|wedding|weekend"/>
        <s v="death|mexico|sabbath|surgeon|ten stories"/>
        <s v="deputy|iowa|rural setting|sheriff|survival"/>
        <s v="based on novel"/>
        <s v="cia|colombia|colombian drug cartel|drugs|president"/>
        <s v="assassin|death of child|iraq|sniper|sniper rifle"/>
        <s v="girl|minion|moon|pyramid|white picket fence"/>
        <s v="christ figure|class differences|messiah|saviour|social commentary"/>
        <s v="cash|financial problem|heist|land rover|mortgage"/>
        <s v="apocalypse|boy|food|pistol|survival"/>
        <s v="bee|dream sequence|egg|scatological humor|squashed bug"/>
        <s v="chameleon|lizard|sheriff|water|western town"/>
        <s v="alter ego|boarding school|love|masturbation|teen movie"/>
        <s v="outcast|prom|self injury|telekinesis|tragic event"/>
        <s v="2000s|burglar|chef|cook|restaurant"/>
        <s v="based on novel|damsel in distress|deception|england|zombie"/>
        <s v="death|drug|nihilism|rug|white russian"/>
        <s v="fairy|fairy tale|faun|princess|spain"/>
        <s v="duplicate earth|janitor|planet|solar system|synchronicity"/>
        <s v="anti hero|babe scientist|engineer|memory|money"/>
        <s v="animal attack|bat|creature feature|experiment|mad scientist"/>
        <s v="gang|gardener|money|police|truck"/>
        <s v="mental institution|post traumatic stress|psychiatrist|vomiting|voyeur"/>
        <s v="cleveland browns|head coach|linebacker|nfl|team owner"/>
        <s v="alaska|island|motorboat|singer|wilderness"/>
        <s v="assassin|cia|drone|pill|wolf"/>
        <s v="1970s|skateboarder|skateboarding|surf|swimming pool"/>
        <s v="conspiracy|cryptography|mathematician|mental illness|nobel prize"/>
        <s v="atheist|limp|quantum mechanics|religion|runaway"/>
        <s v="father daughter relationship|playing against type|post apocalypse|protective father|zombie apocalypse"/>
        <s v="drug culture|drugs|filthy toilet|heroin addict|heroin withdrawal"/>
        <s v="murder|new york city|one word title|vampire|vampire slayer"/>
        <s v="alternate universe|christian|christian film|christianity|manipulation"/>
        <s v="ephebophile|pederasty|pedophilia|playing hooky|shaving"/>
        <s v="earth|federation|romulan|slave|space"/>
        <s v="ardennes forest|battle of the bulge|behind enemy lines|winter|world war two in belgium"/>
        <s v="bet|revenge|seduction|virgin|wager"/>
        <s v="love|study|talmud|wedding|yeshiva"/>
        <s v="animator|bamboo cane|cartoonist|sausage|slacker"/>
        <s v="challenge|china|hong kong|martial arts|martial arts master"/>
        <s v="brother sister relationship|childhood home|man child|sibling|vomiting"/>
        <s v="deer|gun|gunshot|hunt|kindergarten teacher"/>
        <s v="boy|fence|jew|nazis|poison gas"/>
        <s v="actor|aspiring actor|birth|misadventure|suitcase"/>
        <s v="feces in a swimming pool|female vomiting|high school|lifeguard|male objectification"/>
        <s v="911 operator|calling 911|die hard scenario|head held underwater|white villain"/>
        <s v="drug dealer|ex cop|murder of wife|revenge|violence"/>
        <s v="disk|floppy disk|mafia|prison|prisoner"/>
        <s v="avatar|future|marine|native|paraplegic"/>
        <s v="factory|gypsy|investigation|sherlock holmes|train"/>
        <s v="country music|panties|pink panties|relapse|songwriter"/>
        <s v="domino|fiery redhead|nassau|official james bond series|underwater battle"/>
        <s v="1950s|cuba|cuban flag|fidel castro|havana cuba"/>
        <s v="based on video game|box office hit|computer|digimon|internet"/>
        <s v="career|player|tennis|tennis player|wimbledon"/>
        <s v="detective|police partner|serial killer|serial murder|seven deadly sins"/>
        <s v="baby|dancing|gay|name calling|penis slur"/>
        <s v="actor|agent|beard|cannes|hollywood"/>
        <s v="adultery|attraction|lust|obsession|temptation"/>
        <s v="detective|insomnia|murder|partner|police"/>
        <s v="beach|drug lord|drugs|hotel|stripper"/>
        <s v="desert|king|showdown|sorceress|warrior"/>
        <s v="boy|child|chosen one|demon|detective"/>
        <s v="commercial|extreme sports|mountain|serbian|terrorist"/>
        <s v="anchor|fish|mobster|shark|vegetarian"/>
        <s v="based on true story|con artist|drunk wife|fbi investigation|scam"/>
        <s v="gangster|lesbian|mafia|money|neo noir"/>
        <s v="alternative reality|multiple outcomes|parallel time|serendipity|twist of fate"/>
        <s v="hatred|sequel|space opera|star trek|third part"/>
        <s v="beach|love|mermaid|storm|swimming"/>
        <s v="admiral|captain|manhunt|mission|space"/>
        <s v="cancer|environment|gas chromatograph|jungle|nature"/>
        <s v="christmas|german|holiday|krampus|santa claus"/>
        <s v="alcoholic|alcoholic father|stepmother|swaziland|unfaithful wife"/>
        <s v="bomb|gang|police|sister|undercover cop"/>
        <s v="charles darwin|cutlass|pirate|queen victoria|scientist"/>
        <s v="bridge|friar|inquisition|peru|rope bridge"/>
        <s v="dream|mental institution|padded cell|serial killer|suicide attempt"/>
        <s v="cave|highlander|illusion|immortal|japan"/>
        <s v="hammer|military|monaco|revenge|tony stark"/>
        <s v="cigar smoking|cowboy|duel|outlaw|tombstone arizona"/>
        <s v="alabama|jail|judicial system|lawyer|trial"/>
        <s v="christmas|lifting female in air|lifting male in air|lifting someone into the air|little girl"/>
        <s v="male bonding|male friendship|male objectification|muscular|stripper"/>
        <s v="cross|doused with gasoline|pastor|security guard|shower"/>
        <s v="don juan|mental institution|patient|psychiatrist|retirement"/>
        <s v="alaska|female gunfighter|mutation|ship|siege"/>
        <s v="captain|fort|love|native american|trade"/>
        <s v="ark|flood|noah's ark|water|wrath of god"/>
        <s v="australia|journey|love|priest|traveling"/>
        <s v="breasts|coach|football|in medias res|vomiting"/>
        <s v="electric chair|haunting|prison|prisoner|revenge"/>
        <s v="documentary filmmaker|documentary filmmaking|father in law|generation z|hipster"/>
        <s v="american civil war|civil war|u.s. civil war"/>
        <s v="border|mohawk|money|new york|river"/>
        <s v="apartment|apartment building|blood sample|crucifix|zombie"/>
        <s v="dodgeball|gym|las vegas|pirate|ups"/>
        <s v="african american|bachelor party|brooklyn bridge|family relationships|stripper"/>
        <s v="colonel|ethiopia|marksman|on the run|rangefinder"/>
        <s v="three word title"/>
        <s v="heart|italian restaurant|restaurant|transplant|waitress"/>
        <s v="box office flop|critically bashed|director|hollywood|mockumentary"/>
        <s v="ball|blood|skating|song|year 2005"/>
        <s v="bikini|covered in melted gold|fort knox|gold|pilot"/>
        <s v="artist|cake|college|new york city|student"/>
        <s v="country estate|jane austen|lady|love|writing"/>
        <s v="car salesman|filmmaking|pulp fiction|santa claus suit|truck driver"/>
        <s v="friend|friendship|marital problem|money problems|nervous breakdown"/>
        <s v="reference to ben affleck|reference to brad pitt|reference to george clooney|reference to jack nicholson|website"/>
        <s v="boss|cattle|cowboy|rancher|violence"/>
        <s v="american|france|military|pilot|training"/>
        <s v="church|louisiana|minister|preacher|texas"/>
        <s v="father daughter relationship"/>
        <s v="divorce|divorce papers|new york|process server|texas"/>
        <s v="competition|date|employee|laser in eyes|slacker"/>
        <s v="1950s|archeologist|korea|korean war|soldier"/>
        <s v="bank|detective|negotiation|police|robber"/>
        <s v="career|casino|judge|stock|stock broker"/>
        <s v="assassin|fbi|ira|jackal|russian"/>
        <s v="bdsm|employer employee relationship|hospital|mental hospital|secretary"/>
        <s v="bully|car|car accident|fire|vomiting"/>
        <s v="christmas|christmas eve|elf|high tech|resentment"/>
        <s v="car bomb|card cheat|cash|casino|gambling syndicate"/>
        <s v="battle|bridge|mother son relationship|supernatural power|vampire"/>
        <s v="africa|hunter|love|marriage|plantation"/>
        <s v="battle|blood splatter|combat|game|showdown"/>
        <s v="drink|ira|irish|limerick|prejudice"/>
        <s v="coach|football|football coach|high school|radio"/>
        <s v="british horror|pub|record collection|zombie|zombie apocalypse"/>
        <s v="hit in the crotch|kidnapping|nail gun|police|release from prison"/>
        <s v="boston marathon|coma|marathon|miracles|running"/>
        <s v="california|foster home|love|oleander|prison"/>
        <s v="death|diplomat|doctor|kenya|murder"/>
        <s v="1990s|dentist|hit with a door|martial arts|museum"/>
        <s v="death|hitchcockian|psychopath|sociopath|vomiting"/>
        <s v="bomb|cia|explosive|explosives expert|miami florida"/>
        <s v="american|driver|journalist|russian|secret"/>
        <s v="blockade|crisis|cuba|missile|president"/>
        <s v="1950s|corrupt politician|lake tahoe nevada|melancholy|revenge"/>
        <s v="amazing grace the hymn|choir|heart attack|hometown|skidding truck"/>
        <s v="distrust|fear|murder|neighborhood|new york city"/>
        <s v="blood splatter|talk radio|virus|vomiting blood|zombie apocalypse"/>
        <s v="arms dealer|battle|bomb|machete|missile"/>
        <s v="beating|marine|muscleman|tied up|tough guy"/>
        <s v="agent|egg|faberge egg|general|russian"/>
        <s v="conspiracy|heroism|megalomaniac|super soldier|world domination"/>
        <s v="cellphone|detective|missing person|private detective|train"/>
        <s v="alien|cave|husband wife relationship|monster|skeleton"/>
        <s v="australia|body paint|kangaroo|mob|money"/>
        <s v="heart attack|stripper|supermarket|wrestler|wrestling"/>
        <s v="billionaire|friend|hospital|list|mechanic"/>
        <s v="comic book|friendship|gay|lesbian|secret"/>
        <s v="auction|home|house|iranian|marriage"/>
        <s v="ape|dam|leader|post apocalypse|sequel"/>
        <s v="armor|general|king|princess|slave"/>
        <s v="1860s|children|king|schoolteacher|siam"/>
        <s v="automaton|mechanical|railway station|steampunk|train"/>
        <s v="betrayal|death|final showdown|murder|on the run"/>
        <s v="actress|cancer|death|french|gay relationship"/>
        <s v="dream|escape|magic|magic spell|small town"/>
        <s v="birth|oklahoma|photographer|tennessee|wal mart"/>
        <s v="anesthetic|anesthetic awareness|heart|heart surgery|surgery"/>
        <s v="band|dating|high school|hipster|rock band"/>
        <s v="hospital|leukemia|oncology|sick child|terminal illness"/>
        <s v="audition|best friend|dance|friend|tv dance show"/>
        <s v="cameraman|epic battle|journalist|south ossetia|street shootout"/>
        <s v="employee employer relationship|husband wife relationship|newspaper|ship|wake"/>
        <s v="andes mountains|crash|death|starvation|stranded"/>
        <s v="freight train|race against time|runaway train|train|train engineer"/>
        <s v="death|friend|high school|murder|police"/>
        <s v="advice|friendship|gossip|newspaper|quitting a job"/>
        <s v="baseball|coach|high school|pitching|texas"/>
        <s v="dj|ecstasy the drug|rave|raver|warehouse"/>
        <s v="female protagonist|murder|photographer|robbery|shot to death"/>
        <s v="class|gardening|race|school|shoe"/>
        <s v="diner|love|private school|school|small town"/>
        <s v="baseball|fan|obsession|salesman|san francisco giants"/>
        <s v="film in film|man with glasses|reference to steven spielberg|self referential|shopping mall"/>
        <s v="australian|battle|battle of gallipoli|gallipoli|world war one"/>
        <s v="1950s|brazil|soccer|soccer movie|world cup"/>
        <s v="battle|king|king arthur|knight|marriage"/>
        <s v="age difference|courtesan|mansion|marriage|prostitute"/>
        <s v="bad luck|camp|curse|digging|hole"/>
        <s v="aids|hiv positive|lawyer|new york city|roommate"/>
        <s v="money|mountain|rocky mountains|snow|suitcase"/>
        <s v="curse|ghost|outcast|witch|zombie"/>
        <s v="based on novel|college girl|midlife crisis|pittsburgh pennsylvania|professor"/>
        <s v="englishman|leaving flowers on a grave|one last job|reputation|visiting wife's grave"/>
        <s v="australia|australian|crime boss|crocodile|gangster"/>
        <s v="east berlin|kiev ukraine|mossad|nazi|nazi war criminal"/>
        <s v="ashes|butcher|friend|friendship|memory"/>
        <s v="children|court|king|king henry viii|love"/>
        <s v="character name in title|no opening credits|sequel|wilhelm scream"/>
        <s v="bully|co worker|divorce|fight|karate"/>
        <s v="criminal profile|fbi agent|madman|tabloid reporter|tragic villain"/>
        <s v="bikini|female surfer|sister sister relationship|surfing contest|swimsuit"/>
        <s v="funeral|stockbroker|texas|vacation|widow"/>
        <s v="actor name in title|colon in title|four word title|live performance|satire"/>
        <s v="astronaut|international cooperation|left for dead|nasa|space habitat"/>
        <s v="based on short film|chicago illinois|el train|love|train"/>
        <s v="ballet|cult film|dance|dracula|gothic"/>
        <s v="demon|fbi|fbi agent|murder|religious fanatic"/>
        <s v="blackbeard|captain|pirate|revenge|soldier"/>
        <s v="barricading a door|injection in leg|police detective|supernatural|taser"/>
        <s v="engagement|grandfather|liberal|maid|song"/>
        <s v="abuse|australia|concert|pianist|piano"/>
        <s v="president|snow|television|tour|uprising"/>
        <s v="captain|explosion|klingon|moon|peace"/>
        <s v="arctic|beast|dinosaur|monster|rhedosaurus"/>
        <s v="college|detective|disappearance|police detective|thesis"/>
        <s v="1960s|based on novel|ex boyfriend ex girlfriend relationship|southern california|voice over narration"/>
        <s v="bildungsroman|flying broom|invisibility cloak|monster|wizardry"/>
        <s v="box office flop|captain nemo|dorian gray|invisible man|steampunk"/>
        <s v="apartment|elevator|murder|psychiatrist|sunglasses"/>
        <s v="locomotive|magic|mountain|railroad|steam locomotive"/>
        <s v="dancing sheep|fetish|musical scene|racial humor|snake poison"/>
        <s v="australian|female armpit hair|friend|sheffield|yorkshire"/>
        <s v="activist|editor|journalist|newspaper|south africa"/>
        <s v="christian film|forgiveness|hospital|pastor|police"/>
        <s v="ambush|hero|masked hero|outlaw|texas ranger"/>
        <s v="blow job|demon|exorcism|priest|professor"/>
        <s v="humanoid robot|man versus machine|prosthetic limb|robot as pathos|robot vs. robot"/>
        <s v="date|divorce|divorce lawyer|drinking|lawyer"/>
        <s v="inter cultural|latino|restaurant|soccer|train"/>
        <s v="child|comic book|dream|murderer|nightmare"/>
        <s v="barn owl|escape|owl|ruler|soldier"/>
        <s v="based on tv series|fictional band|girl band|music industry|pop band"/>
        <s v="brother|middle school|no opening credits|photograph|school"/>
        <s v="casino|irony of fate|landlady|professor|remake"/>
        <s v="child custody|custody battle|disability|mentally impaired man|single father"/>
        <s v="afghanistan|colonel|rambo|rescue|soviet"/>
        <s v="bullet|contortionist|gag humor|human cannonball|revenge"/>
        <s v="arsonist|blood splatter on face|deception|parole|parole officer"/>
        <s v="hit by a pickup truck|immortality|paramedic|resuscitation|san francisco california"/>
        <s v="animal|farm|farmer|hotel|pig"/>
        <s v="boy|dolphin|prosthetics|tail|trap"/>
        <s v="african american protagonist|based on novel|title spoken by character"/>
        <s v="championship|drugs|three word title|wrestler|wrestling"/>
        <s v="abduction|martial law|military|new york city|terrorist"/>
        <s v="best friend|lake|love|small town|womanizer"/>
        <s v="apartheid|nation|nelson mandela|president|rugby"/>
        <s v="activist|amazon|color in title|rain|rain forest"/>
        <s v="abusive marriage|pastor|prison wagon|roast pig|suicide by hanging"/>
        <s v="1930s|death row inmate|healing|prison guard|southern u.s."/>
        <s v="funeral|gay|native american protagonist|poet|reservation"/>
        <s v="british|communist|journalist|nurse|orphan"/>
        <s v="ceo|dubai|product|rivalry|spy"/>
        <s v="bank heist|bank robbery|heist gone wrong|pizza delivery boy|unlikely criminal"/>
        <s v="church|marriage|mormon|mormon church|proposition"/>
        <s v="compulsive liar|fbi|informant|investigation|spy"/>
        <s v="charles dickens|christmas|christmas eve|ghost|scrooge"/>
        <s v="captain|lapd|murder|undercover cop|violence"/>
        <s v="blue ribbon|high school|jacket|jock|yogurt"/>
        <s v="epic|genghis khan|one word title|slave|starving"/>
        <s v="captain|morocco|ship|tintin|treasure"/>
        <s v="blind date|children|date|daughter|son"/>
        <s v="earth|obesity|plant|robot|soil"/>
        <s v="exclamation point in title|imperative in title|punctuation in title|three word title"/>
        <s v="actor playing multiple roles|axe|dark comedy|masked man|sadism"/>
        <s v="army|dictator|general|texan|texas"/>
        <s v="dove|falcon|nursing|pigeon|psychological torture"/>
        <s v="american|destiny|mexican border|multiple perspectives|muslim"/>
        <s v="dragon|dragon rider|fictional war|sword and fantasy|teenage hero"/>
        <s v="campaign|chess|friend|hotel|senator"/>
        <s v="alternative energy|energy|fuel|green|oil"/>
        <s v="best friend|camping|country club|no opening credits|summer vacation"/>
        <s v="con artist|money|orphan|scam|secretary"/>
        <s v="desert|dump|show|spectator|tire"/>
        <s v="assassin|hotel|japanese tourist|secret service|wizard of oz"/>
        <s v="bank|columbine|columbine high school killings|firearm|school shooting"/>
        <s v="agent|cia|france|rescue|teenage abduction"/>
        <s v="april fool's day|island|mansion|psycho|secret"/>
        <s v="bear|deer|forest|grizzly bear|hunter"/>
        <s v="casino|christmas|christmas season|girlfriend|release from prison"/>
        <s v="dance|emperor penguin|friend|penguin|song"/>
        <s v="chick|emperor penguin|journey|ocean|penguin"/>
        <s v="hinduism|marriage engagement|soccer|team|tradition"/>
        <s v="booty shake|box office hit|duct tape over mouth|first part|martial arts"/>
        <s v="baby|christmas spirit|elf|new york city|north pole"/>
        <s v="bird|brazilian|cockatoo|macaw|minnesota"/>
        <s v="boogeyman|childhood|fear|hometown|uncle"/>
        <s v="battle|battle of agincourt|king|shakespeare play|sword and shield"/>
        <s v="coin toss|desert|sheriff|texas|tracking device"/>
        <s v="alien|creature|future|outer space|spaceship"/>
        <s v="bar|hitman|luck|mexico|mexico city"/>
        <s v="boating accident|daughters|father daughter relationship|hospital|marriage"/>
        <s v="disaster movie|mine|minister|president|trapped in a mine"/>
        <s v="counterfeit|detective|japan|police chase|yakuza"/>
        <s v="1800s|napoleonic wars|pursuit|royal navy|ship"/>
        <s v="chef|congressman|cook|hotel|senator"/>
        <s v="book of the dead|demon|h.p. lovecraft|lesbian kiss|promise"/>
        <s v="cult|death|delusion|girl|sherlock holmes"/>
        <s v="cat|fbi agent|murder|serial killer|website"/>
        <s v="actress name in title|crush|date|four word title|video camera"/>
        <s v="2000s|army|military crime|necklace yanked off|panama"/>
        <s v="female protagonist|jamaica|six word title|tragic event|vacation"/>
        <s v="animal|california|gorilla|hunter|poacher"/>
        <s v="action hero|attempted rape|bond girl|official james bond series|revenge"/>
        <s v="allies|bridge|construction|jungle|sabotage"/>
        <s v="hide and seek|lion|magic|professor|snow"/>
        <s v="espionage|secret agent|secret mission|spy|spy film"/>
        <s v="couple|island|marriage|tropical|voyeurism"/>
        <s v="apprentice|disobeying orders|gas station|hitman|nightclub"/>
        <s v="china|flying|king|palace|sword"/>
        <s v="african american|court|law|mississippi|trial"/>
        <s v="awkward boy|shy kid|summer|vacation|water park"/>
        <s v="fight|gang|greed|street gang|wedding"/>
        <s v="fatal attraction|interspecies romance|queen|supernatural power|vampire"/>
        <s v="beach|fire|love|pianist|summer"/>
        <s v="great barrier reef|protective father|separation from family|shark|short term memory loss"/>
        <s v="academic probation|camera shot of feet|fraternity|school expulsion|smashing a guitar"/>
        <s v="band|concert|high school|kiss|teenager"/>
        <s v="boss|communications|computer|genius|job"/>
        <s v="cattle|cow|dairy farm|farm|rustler"/>
        <s v="act of kindness|christmas|christmas eve|neighbor|vacation"/>
        <s v="backstage|country music|cowboy|radio|singing"/>
        <s v="friday the thirteenth|hockey mask|jason voorhees|morgue|slasher"/>
        <s v="apartment building|crook|new york city|three word title|written and directed by cast member"/>
        <s v="18th birthday|alternate reality|introduction|nightmare|on the run"/>
        <s v="andy warhol|art|artist|friendship|street artist"/>
        <s v="dysfunctional marriage|marijuana|small town|store|trying to conceive"/>
        <s v="based on stage musical|cinderella|little red riding hood|singing|witch"/>
        <s v="attorney|cancer|custody|fashion photographer|photographer"/>
        <s v="camera focus on a female butt|cartoon on tv|forest|hairy buttocks|seal the animal"/>
        <s v="chicken|governor|locker room|sheriff|texas"/>
        <s v="phone booth|publicist|single set production|sniper|sniper rifle"/>
        <s v="apartment|girl in panties|roommate|thong panties|upskirt"/>
        <s v="basement|errand|secret admirer|slacker|wrong number"/>
        <s v="caddy|game|golf|golf course|golfer"/>
        <s v="book|children|friend|illustrator|letter"/>
        <s v="eclipse|florist|nerd|plant|shop"/>
        <s v="assassination attempt|corporate crime|rogue agent|witness|witness protection program"/>
        <s v="heist|neo noir|one last job|opposites attract|u.s. marshal"/>
        <s v="1950s|cancer|hong kong|martial arts school|wing chun"/>
        <s v="drugs|heroin|murder|police|witness"/>
        <s v="deputy|murder|revenge|sheriff|texas"/>
        <s v="flight|passenger|plane|september 11 2001|terrorist"/>
        <s v="attorney|debt|fixer|law|law firm"/>
        <s v="bully comeuppance|high school|painter|reference to led zeppelin|wetting pants"/>
        <s v="heir|kung fu|party|playboy|superhero"/>
        <s v="car race|german|race car|race car driver|rookie"/>
        <s v="bar|bullet|corruption|detective|lawyer"/>
        <s v="amish|love|murder|police|train"/>
        <s v="blueberry pie|diner|nevada|new york city|pie"/>
        <s v="gods|princess|queen|rescue|wizard"/>
        <s v="dinosaur|island|jurassic park|paleontologist|search"/>
        <s v="attic|bound and gagged|hoodoo|secret|southern gothic"/>
        <s v="1970s|adult entertainment industry|nightclub|porn industry|san fernando valley california"/>
        <s v="amish|friend|friendship|high school|virgin"/>
        <s v="1520s|aztec|indian|spanish colonization|spanish conquest"/>
        <s v="bound and gagged|girl|haunted house|hearing noises|uninterrupted shot"/>
        <s v="changing the future|independent film|invention|nonlinear timeline|time travel"/>
        <s v="justice|rape|self defense|support group|vigilante"/>
        <s v="bunker|hitler|nazi|no exit|war ruins"/>
        <s v="alcoholic|rules|secret|summer|teenager"/>
        <s v="golden fleece|half brother|magical tree|sea|tree"/>
        <s v="black and white photograph|drawing with blood|falling through ice|playing piano|red haired woman"/>
        <s v="friendship|summertime|treehouse|walking on train tracks|woods"/>
        <s v="chef|friend|italy|restaurant|russian"/>
        <s v="drugs|martial arts|texas|texas ranger|weapon"/>
        <s v="cleveland indians|league|manager|owner|team"/>
        <s v="cheerleader|geek|high school|prison|reference to janet jackson"/>
        <s v="boarding school|boy|choir|school|teacher"/>
        <s v="competition|estranged father|skunk|summer camp|wall"/>
        <s v="1950s|italian|murder|tunisia|vomiting"/>
        <s v="arms dealer|atf|bail|money|multiple perspectives"/>
        <s v="1990s|blade|blood|vampire|vampire hunter"/>
        <s v="art|break up|football video game|kitchen|talking to one's self in a mirror"/>
        <s v="birthday|gift|motel|new york city|upholsterer"/>
        <s v="cult film|eclipse|haunted house|lunar eclipse|secret"/>
        <s v="anniversary|architect|cellist|friend|hardware store"/>
        <s v="call in|chick flick|date|hot air balloon|show producer"/>
        <s v="directed by star|muse|satire|screenwriter|tiffany's"/>
        <s v="alien|basketball|basketball game|cult film|monstars"/>
        <s v="accident|freak accident|race|snail|underdog"/>
        <s v="english garden|fake drowning|fake parent|musical instrument|poker the card game"/>
        <s v="barrio|border|newcastle united|party|soccer"/>
        <s v="appearing from water|breasts|creature|partner|water"/>
        <s v="business|escaped convict|farm|motorcycle|widow"/>
        <s v="book|fabrication|fake|hoax|manuscript"/>
        <s v="colonel|flower girl|professor|street|wager"/>
        <s v="ex boyfriend|morning after|prince charming|quarrel|womanizer"/>
        <s v="african american|dance|overalls|parody|rap"/>
        <s v="blonde|harvard|law|law school|sorority"/>
        <s v="canada|post apocalypse|road movie|vampire|vampire hunter"/>
        <s v="basketball|curtain call|graduation|high school|high school senior"/>
        <s v="box office flop|ronin|samurai|shogun|tournament"/>
        <s v="deformed baby|diary|lingerie slip|older man younger woman relationship|premature aging"/>
        <s v="conspiracy|feminist|hippie|motorcycle|slapstick comedy"/>
        <s v="battle|japan|magic|samurai|turtle"/>
        <s v="blood|flashback|radio dj|radio station|vinyl"/>
        <s v="courtship|election|paranoia|president|quaker"/>
        <s v="business trip|love|misogynist|office|secretary"/>
        <s v="arctic|captain america|scientist|tesseract|war bond"/>
        <s v="belleville|dog|mafia|tour de france|very little dialogue"/>
        <s v="17th century|based on fairy tale|disney|flower|tower"/>
        <s v="actor|artist|broadway play|replacement|stage"/>
        <s v="demon|dream|elm street|freddy krueger|nightmare"/>
        <s v="beekeeping|insect in title|racism|sister|south carolina"/>
        <s v="hand job|hugging|long hair|new york city|two men one woman"/>
        <s v="gang|gun|loner|love|outcast"/>
        <s v="dating|divorcee|ex husband|ex wife|party"/>
        <s v="businessman|falling in love with a prostitute|hotel|prostitute|rich man poor woman"/>
        <s v="chase|evil scientist|gadget|mind control|tough girl"/>
        <s v="bank|fbi|fuel|rocket|space travel"/>
        <s v="cartoon on tv|cat|dog|kitty|special agent"/>
        <s v="friday|friend|hip hop|techno rave|weekend"/>
        <s v="friend|hotel|killer|murder|prom"/>
        <s v="false accusation|murder|north carolina|trial|wrongful conviction"/>
        <s v="antarctica|minion|queen|super villain|villain"/>
        <s v="chores|father figure|helicopter parents|in laws|punishment"/>
        <s v="assassin|bobble head doll|femme fatale|rejuvenation|strong female lead"/>
        <s v="cancer|falling in love|friendship|novel|teenager"/>
        <s v="2000s|detective|sadist|terrorism|terrorist"/>
        <s v="desert|drunkenness|religious mother|strict mother|vietnam war"/>
        <s v="boy|debt|garden|princess|treasure"/>
        <s v="anarchist|corporation|greedy institution|vomiting|watching television"/>
        <s v="gang|gang rape|hmong|teenager|widower"/>
        <s v="epic|heart|killing an animal|passion|usa"/>
        <s v="ghost|haunted house|research|secret|vermont"/>
        <s v="american football|based on true story|football star|high school football|left tackle"/>
        <s v="fbi|murder|witness|witness protection|wyoming"/>
        <s v="based on comic book|knife|marvel cinematic universe|returning character killed off|superhero"/>
        <s v="ghost|masked villain|monster|museum|tv"/>
        <s v="boy|friend|imaginary son|single father|single mother"/>
        <s v="house|leukemia|mental institution|nursing home|transplant"/>
        <s v="boxer|espionage|spy|stealth|top secret"/>
        <s v="gold|hurricane|island|mountain|mysterious island"/>
        <s v="baseball|friend|oregon|rivalry|softball"/>
        <s v="independent film|katana sword|los angeles storm drain"/>
        <s v="bare chested boy|car explosion|colombia|explosion|terrorism"/>
        <s v="date|dating|dog|love|teacher"/>
        <s v="cia agent|escape|muslim|prison|ship"/>
        <s v="dance|dancing|ghetto|hip hop|imperative in title"/>
        <s v="demon|possession|psychic|supernatural|teenager"/>
        <s v="chosen one|fashion|fashion model|model|retired"/>
        <s v="australian outback|crocodile|female reporter|journalist|new york city"/>
        <s v="baby|bathing a baby|criminal|slum|vomiting"/>
        <s v="jason voorhees|lake|machete|scientist|slasher"/>
        <s v="alien|alien creature|body snatching|desert|parasite"/>
        <s v="action figure|christmas|hero|karate|toy"/>
        <s v="1980s|80s action|escape|plea bargain|prison"/>
        <s v="backup singer|band|bechdel test passed|concert footage|singer"/>
        <s v="anti war|interview|iraq|paranoia|war on terrorism"/>
        <s v="analyst|mafia|patient|psychiatrist|wedding"/>
        <s v="deal with the devil|devil|eastern europe|ghost rider|monk"/>
        <s v="coach|football player|misfits|strike|sumo wrestler"/>
        <s v="1990s|first love|milf|prom|virginity"/>
        <s v="bank|chase|district attorney|interpol|murder"/>
        <s v="critically bashed|partisan commentary|political propoganda|punctuation in title|reenactment"/>
        <s v="future|murder|opera|repossession|surgery"/>
        <s v="film within a film|filmmaking|guerrilla filmmaking|making of a movie|scientology parody"/>
        <s v="coach|college|college football|domineering mother|football"/>
        <s v="jewish|love|married man|neighbor|photograph"/>
        <s v="death|hostage|money|shot in the chest|shot in the heart"/>
        <s v="count|escape|island|revenge|sailor"/>
        <s v="box office hit|commando|death of friend|jungle|severed arm"/>
        <s v="1960s|father daughter incest|mental hospital|suicide|suicide attempt"/>
        <s v="barber|barbershop|blaxploitation|loan shark|theft"/>
        <s v="crime lord|dead body|dead body in a freezer|new york city|truck explosion"/>
        <s v="dance|dance crew|dancer|mortgage|new york city"/>
        <s v="donkey|fairy tale|ogre|princess|swamp"/>
        <s v="mutant|prison|professor|school|x men"/>
        <s v="commune|defecation|environmentalism|fellatio|island"/>
        <s v="bar|gunfight|human trafficking|mixed martial arts|tire iron"/>
        <s v="antique shop|asian dragon|dragon|korean|reporter"/>
        <s v="comic relief|diary|kiss|madea series|state flag"/>
        <s v="accidental kiss|eating a worm|park|worm|yellowstone national park"/>
        <s v="adoption|armpit fetish|mistaken identity|new mexico|overalls"/>
        <s v="childhood trauma|death|medical student|memory|near death experience"/>
        <s v="adult as child|father son relationship|high school student|janitor|school"/>
        <s v="bachelor|blackmail|character says i love you|flirting|social satire"/>
        <s v="breath on mirror|buried alive|engagement ring|looking at one's self in a mirror|serial killer"/>
        <s v="blackmail|client|private detective|private investigator|tycoon"/>
        <s v="boy|guitar|orphan|rock 'n' roll|sword"/>
        <s v="attic|christmas|house|incest|sorority"/>
        <s v="army|elf|hobbit|middle earth|orc"/>
        <s v="assassin|betrayal|fbi|fbi agent|yakuza"/>
        <s v="exercise bicycle|face in food|police|police brutality|policeman"/>
        <s v="boxing|fight|heavyweight champion|restaurant|retired boxer"/>
        <s v="deaf|death|dysfunctional family|godparent|secret"/>
        <s v="detective|love|single|suspect|title from song"/>
        <s v="based on stage musical based on novel|disfigurement|mask|opera|singer"/>
        <s v="flashback|lifting someone into the air|paranormal phenomena|voice over letter|year 1818"/>
        <s v="astronaut|attacked by a plant|planet|senator|space travel"/>
        <s v="1980s|baby|heroin|package|questioned by police"/>
        <s v="15th century|cathedral|gypsy|paris|victor hugo"/>
        <s v="armored car|bank|falling out among thieves|heist|planning"/>
        <s v="fair trade|human trafficking|non profit|rockumentary|slavery"/>
        <s v="african american protagonist|african americans|boxing gym|gym|rumble in the jungle"/>
        <s v="1970s|anchorman|news anchor|newsroom|tv station"/>
        <s v="antarctica"/>
        <s v="artist|box office flop|dog|drawing|flanders"/>
        <s v="actress|argentina|military|politics|singer"/>
        <s v="jamming communications|planet|space station|taunt|trap"/>
        <s v="brother brother relationship|death of brother|ghost|seeing dead people|talking with the dead"/>
        <s v="defense attorney|defense lawyer|lawyer|plot twist|prostitute"/>
        <s v="marriage|novelist|panties pulled down|writer's block|writing"/>
        <s v="ambassador|cia|dinner|spy|terrorist"/>
        <s v="afterlife|camping|death|hitchhiker|suicide"/>
        <s v="competitiveness|creator|entrepreneur|facebook|intellectual property"/>
        <s v="baseball|baseball player|night|rivalry|summer"/>
        <s v="marijuana|police|road trip|stoner|white castle"/>
        <s v="based on video game|dinosaur|king|mario|plumber"/>
        <s v="capture|dinosaur|island|jurassic|jurassic park"/>
        <s v="alderman|party|president|presidential candidate|washington d.c."/>
        <s v="death|fish|fishing|sea|storm"/>
        <s v="food|giant food|mayor|sardine|weather"/>
        <s v="flower|indian restaurant|tv station|valentine|valentine's day"/>
        <s v="escape|labyrinth|maze|red light|trap"/>
        <s v="blood splatter|execution|new york city|nypd|serial killer"/>
        <s v="christian|christian film|shark|surfer|surfing"/>
        <s v="1960s|actor|horseback riding|reporter|riding the rails"/>
        <s v="1990s|family relationships|food in title|sister|unity"/>
        <s v="electrocuted|experiment|hell|serum|university"/>
        <s v="1880s|arrow|imperial seal|murder|revenge"/>
        <s v="drummer|easter|easter bunny|piaggio vespa gtv 250|slacker"/>
        <s v="bathtub|dead body in a bathtub|dead body in bathtub|hotel|inn"/>
        <s v="car|car accident|housewife|sheriff|suburb"/>
        <s v="chicken|competition|island|penguin|surfing"/>
        <s v="faked death|japan|japanese|poison|secret headquarters"/>
        <s v="criminal|rafting|river|robber|white water rafting"/>
        <s v="drugs|elvis|musician|singer|the beatles"/>
        <s v="children|competition|rival|second part|vacation"/>
        <s v="baby|home|hospital|lost|newborn baby"/>
        <s v="chef|gay kiss|michelin star|restaurant|violent behavior"/>
        <s v="agent|cossack|official james bond series|russia|russian"/>
        <s v="insanity|photo lab|photo shop|photography|voyeur"/>
        <s v="autistic child|boy|child in danger|fbi|nsa"/>
        <s v="classified ad|intern|magazine|time machine|time travel"/>
        <s v="fashion show|female protagonist|love|pastor|queens new york city"/>
        <s v="alien|crash|planet|prison|survivor"/>
        <s v="art|college|school|student|wellesley college"/>
        <s v="boy|character name in title|orphan|pickpocket|workhouse"/>
        <s v="blood|publisher|publishing house|werewolf|wolf"/>
        <s v="apartment|fate|gun|love|mysterious man"/>
        <s v="art teacher|cannibal|inspiration|painter|sleepwalking"/>
        <s v="birthday|boy|clone|cloning|doctor"/>
        <s v="1950s|independent film|outlaw|trial"/>
        <s v="dance|dance competition|dance lesson|love|teacher"/>
        <s v="alien creature|alien life form|antarctica|isolation|paranoia"/>
        <s v="bridge|engineer|hunter|lion|railway"/>
        <s v="baby|bank|blind prophet|convict|sirens"/>
        <s v="3d|imax|plesiosaur|sea|water"/>
        <s v="friend|love|maid|maid of honor|marriage"/>
        <s v="apology|falling in love|multiple perspectives|narrated by a girl|younger version of character"/>
        <s v="gold|heist|revenge|traffic jam|venice italy"/>
        <s v="stage magician"/>
        <s v="3d|antarctica|krill|penguin|sequel"/>
        <s v="auto theft|brother|car|theft|thief"/>
        <s v="alaska|birding|competition|migration|storm"/>
        <s v="fire|helicopter|museum|police sergeant|relic"/>
        <s v="bare chested male|brother|catholic orphanage|long lost siblings|twins"/>
        <s v="bodyguard|bully|generation y|high school|nerd"/>
        <s v="death|farm|hotel|spider|tarantula"/>
        <s v="beekeeper|bound and gagged|dysfunctional family|man with glasses|tied to a chair"/>
        <s v="cheating wife|film camera|hasselblad camera|leica camera|medium format camera"/>
        <s v="competition|giant vegetable|pest control|stop motion animation|vegetable"/>
        <s v="based on novel|disappearance|missing person|missing wife|murder suspect"/>
        <s v="college football|fight|football|hero|surrender"/>
        <s v="brazil|letter|rio de janeiro brazil|sertao|teacher"/>
        <s v="drugs|high school|prescription drugs|private school|student"/>
        <s v="best friend|nonlinear timeline|school shooting|self sacrifice|shooting"/>
        <s v="accident|future|genetics|mission|police"/>
        <s v="box office flop|critically bashed|planet earth|space opera|woman in bra and panties"/>
        <s v="ireland|irish|journey|tradition|travel"/>
        <s v="father daughter relationship|heist|pretending to be pregnant|sequel|thief"/>
        <s v="alien|cyborg|pirate|planet|treasure"/>
        <s v="burned alive|castration|olympus|torture|torture device"/>
        <s v="alcoholic|courthouse|detective|jail|witness"/>
        <s v="afghanistan|professor|reporter|student|university"/>
        <s v="beast|beastmaster|psychotronic|sword and sorcery|warrior"/>
        <s v="crop circle|farm|orchestral music score|reference to michael jackson|videotape"/>
        <s v="box office flop|critically bashed|hawaii|one word title|written by director"/>
        <s v="bollywood|illegal immigrant|live television|restaurant|waiter"/>
        <s v="best friend|boy|french|friend|love"/>
        <s v="hand to hand combat|hong kong|kumite|martial arts|tournament"/>
        <s v="alien|bad acting|pulp fiction|resistance fighter|voyager golden record"/>
        <s v="cia|cia agent|mutant|nuclear war|professor"/>
        <s v="airport|construction site|fish out of water|flight attendant|man without a country"/>
        <s v="birthday|falling through a glass roof|game|hitchcockian|suicide"/>
        <s v="law partner|murder|partner|seaman|yacht"/>
        <s v="france|german|nazis|revenge|scalping"/>
        <s v="alien probe|humpback whales|probe|time travel|whale"/>
        <s v="animal|cat|child star|hollywood|star"/>
        <s v="death|feud|forbidden love|vampire|werewolf"/>
        <s v="may december romance|new york|new york city|rockefeller center|title directed by female"/>
        <s v="courtroom|mutiny|ship|slave ship|slave trade"/>
        <s v="best friend|cia|cia agent|dating|undercover"/>
        <s v="dysfunctional family|family relationships|family reunion|funeral|twin"/>
        <s v="dystopia|super strength|supernatural power|time paradox|time travel"/>
        <s v="diva|marriage|open marriage|revenge|social climber"/>
        <s v="bully|friend|imagination|reality|troll"/>
        <s v="boy|brother|lawyer|mafia|senator"/>
        <s v="duchess|illusionist|magician|prince|supernatural power"/>
        <s v="greece|greek|tour bus|tour guide|tourist"/>
        <s v="hot dog bun|needle|new york|rat|tourist"/>
        <s v="alien|arcade game|chase|driving in reverse|video gamer"/>
        <s v="evil|injury|possession|priest|vatican"/>
        <s v="dancing|dog|flight|hostility|travel"/>
        <s v="lieutenant|lifeboat|mutiny|sailing ship|ship"/>
        <s v="audition|dance|kissing in the rain|student|subway"/>
        <s v="detective|drugs|substance d|undercover|undercover cop"/>
        <s v="best friend|birthday|boy|friend|magic"/>
        <s v="book|framed|goddess|prince|sinbad"/>
        <s v="female bassist|female drummer|female guitarist|female singer|portland oregon"/>
        <s v="box office flop|church|kissing|usa|wedding"/>
        <s v="boat|escape|hiding|nazi|resistance"/>
        <s v="alzheimer's disease|experiment|human versus shark|research|underwater headquarters"/>
        <s v="assistant|experiment|frankenstein|medical student|scientist"/>
        <s v="based on memoir|cambridge university|husband wife relationship|lou gehrig's disease|physicist"/>
        <s v="catholic|hanging|mexico|rebellion|soldier"/>
        <s v="based on young adult novel|manipulation|rebellion|symbol|uprising"/>
        <s v="box office flop|critically bashed|government|industrialist|railroad"/>
        <s v="alien|drug lord|gang|hunter|predator"/>
        <s v="british|funeral|good versus evil|mole|sequel"/>
        <s v="china|cholera|epidemic|love|marriage"/>
        <s v="archery|coming of age|female warrior|princess|rebellious daughter"/>
        <s v="fbi|fbi agent|murder|salesman|serial killer"/>
        <s v="celibacy|jewish|priest|rabbi|synagogue"/>
        <s v="austria|dalai lama|himalaya|mountain|tibet"/>
        <s v="actor playing multiple roles|love|one word title|unsubtitled foreign language|virginia"/>
        <s v="benzedrine|cactus|drugs|poem|year 1949"/>
        <s v="contract|devil|dream|soul|wish"/>
        <s v="candle|end of the world|letter|record|road trip"/>
        <s v="duel|famous twist|rebel|rescue|snowy landscape"/>
        <s v="death|ghostface|murder|scream|survivor"/>
        <s v="box office hit|christmas|materialism|public humiliation|snowflake"/>
        <s v="beach|lebanese|loss|muslim|restaurant"/>
        <s v="castle thunder|document|neighborhood|punctuation in title|villain arrested"/>
        <s v="backstage|comedian|concert film|emcee|stand up comedian"/>
        <s v="bolivia|box office flop|inspired by documentary|presidential campaign|year 2002"/>
        <s v="blood splatter|cover up|murder|police shootout|undercover"/>
        <s v="high tech|martial arts|masked man|robot|superhero"/>
        <s v="adult child friendship|corrupt cop|fistfight|gangster|thug"/>
        <s v="beating|hustler|jail|money|revenge"/>
        <s v="ice cream|marijuana|new york city|summer|therapy"/>
        <s v="earthquake|elm street|freddy krueger|nightmare|sleep"/>
        <s v="based on multiple works|bully|kiss|memory|mysterious stranger"/>
        <s v="bailiff|lawyer|office|police|school"/>
        <s v="based on young adult novel|dystopia|genetic experimentation|strong female character|strong female lead"/>
        <s v="activist|detective|father daughter relationship|investigation|vigilantism"/>
        <s v="british prime minister|female prime minister|politics|prime minister|told in flashback"/>
        <s v="neighbor|remake|suburb|teenager|vampire"/>
        <s v="champagne bottle|coca cola|jewelry box|red bull|zoo"/>
        <s v="2010s|3 dimensional|breath holding contest|child spy|spy"/>
        <s v="friend|gay|lesbian|photographer|restaurant"/>
        <s v="blood splatter|general|island|japan|world war two"/>
        <s v="coach|gambling|housing project|little league|little league baseball"/>
        <s v="army|boot camp|breasts|graduation|rescue"/>
        <s v="alien|combat|dying repeatedly|end of the world|time loop"/>
        <s v="airport|asperger's syndrome|autism|muslim|racial profiling"/>
        <s v="high society|love|money|reputation|wealth"/>
        <s v="based on cult favorite|disease|female hero|female protagonist|future"/>
        <s v="animal as human|dog movie|elevator|human becoming an animal|sheepdog"/>
        <s v="cincinnati ohio|high school|hockey|jock strap|zoologist"/>
        <s v="bounty hunter|credit card|cross country|identity|police"/>
        <s v="assassin|bikini|girl in a bikini|mission|secret agent"/>
        <s v="artificial insemination|baby|cheese|chick flick|pet shop"/>
        <s v="gun running|organized crime|pimp|superhero|vigilante"/>
        <s v="baby|boy|science|scientist|toddler"/>
        <s v="biblical|book of esther|esther|persia|treachery"/>
        <s v="guile|hostage|ransom|soldier|united nations"/>
        <s v="book|boy|catholic|comic book|friend"/>
        <s v="freemason|jack the ripper|opium|prostitute|victorian era"/>
        <s v="europe|frog|gulag|prison break|puppet"/>
        <s v="detective|diamond|hotel|police|rooftop"/>
        <s v="nuclear explosion|nuclear weapon|russia|train|train crash"/>
        <s v="amateur theater|dentist|missouri|small town|travel agent"/>
        <s v="campaigning|congressman|north carolina|title at the end|u.s. congressman"/>
        <s v="animal in title|bear|box office flop|disney|satire"/>
        <s v="brother in law|corruption|drug dealer|drugs|police"/>
        <s v="death|doctor|scientist|super villain|tentacle"/>
        <s v="chef|food|french|rat|restaurant"/>
        <s v="chopping down a tree|hanging upside down|shopkeeper|vampire|vampire hunter"/>
        <s v="absent father|american football|based on true story|middle school"/>
        <s v="ancient egypt|bracelet|king|scorpion|son"/>
        <s v="attack|coach|colonel|jail|oil refinery"/>
        <s v="car racing|french|friend|nascar|racing"/>
        <s v="dignity|euthanasia|freedom|lawyer|sailor"/>
        <s v="cia|divorce|embassy|gym|memoir"/>
        <s v="bear|doctor|false accusation|man with glasses|second part"/>
        <s v="fantastic four|space|strong female character|strong female lead|superheroine"/>
        <s v="alternate timeline|same actor playing two characters simultaneously on screen|second part|year 2015|younger version of character"/>
        <s v="evil|fight|hell|psychic|psychologist"/>
        <s v="gambling|imagination|television|television station|tv show"/>
        <s v="13 year olds|adolescence|friend|peer pressure|teacher"/>
        <s v="2010s|a cappella|box office hit|second part|sequel"/>
        <s v="audition|friendship|graduation|high school graduation|love"/>
        <s v="cane|iowa|lawn mower|tractor|wisconsin"/>
        <s v="ballet school|dance|dancer|overalls|steel worker"/>
        <s v="death|execution|nun|solitary confinement|visit"/>
        <s v="cow|farmer|howl|howling at the moon|vegetarian"/>
        <s v="blood|book|cold calculation|murder|writer"/>
        <s v="black magic|china|love|refusal to kill|wuxia"/>
        <s v="brother|dinosaur|head butt|hero|orphan"/>
        <s v="graduation|high school|letter|nerd|party"/>
        <s v="bare chested male bondage|crime lord|die hard scenario|two word title|undercover"/>
        <s v="death|friend|hijacker|river|tree house"/>
        <s v="cannibal|chainsaw|hitchhiker|independent film|leatherface"/>
        <s v="american abroad|gulf war|u.s. military|u.s. soldier|usmc"/>
        <s v="clerk|friend|hockey|video|video store"/>
        <s v="1950s|immigrant|irish|irish accent|torn between two worlds"/>
        <s v="1940s|1960s|bar|kick the can|remake"/>
        <s v="female protagonist|high school|makeover|matchmaker|popularity"/>
        <s v="cemetery|friend|journey|mexico|promise"/>
        <s v="car accident|life support|memory loss|trauma|voice recording"/>
        <s v="car crash|loss|self help group|teenage mother|title directed by female"/>
        <s v="island|mad scientist|scientist|sequel|spy"/>
        <s v="estrangement|missouri|mormon|mormon church|mormon temple"/>
        <s v="actor|black panties|cult film|friend|upskirt"/>
        <s v="american in paris|book|love|novel|writer"/>
        <s v="breasts|farm|jew|kenya|tween girl"/>
        <s v="borderline personality disorder|killing a pet|madame butterfly|new york|new york city"/>
        <s v="forest|mountain|road|stupid victim|west virginia"/>
        <s v="mafia|mafia boss|mafiosi|mafioso|three word title"/>
        <s v="corporation|death|ex partner|hallucination|police detective"/>
        <s v="affair|divorce|graduation|vomiting|watching television"/>
        <s v="dead body|death|lottery|small town|village"/>
        <s v="california|fight|hero|mask|zorro"/>
        <s v="animal abuse(non graphic)|cat killer|college|dead cat|death of cat"/>
        <s v="bowling|christmas|parallel universe|salesman|unfaithfulness"/>
        <s v="death|ferry|lawyer|norway|vomiting"/>
        <s v="breaking the fourth wall|comedian|jewish|neurosis|singer"/>
        <s v="creature feature|hijacker|ocean|ship|shot in the leg"/>
        <s v="arranged marriage|bride|corpse|groom|woods"/>
        <s v="amish|bowling|on the road|rubber hand|tournament"/>
        <s v="car|comic book|comic book artist|iphone|memory"/>
        <s v="boy|fbi|mailman|van|witness protection"/>
        <s v="bounty|fbi|millionaire|money|ransom"/>
        <s v="basketball|basketball player|boarding school|love|shakespeare's othello"/>
        <s v="car crash|coach|death|oregon|university of oregon"/>
        <s v="crystal|epic|lex luthor|lois lane|return to earth"/>
        <s v="abdication|china|emperor|forbidden city|republic"/>
        <s v="apartment|escape|jewish family|journalist|key"/>
        <s v="chipmunk|highway travel|on the road|plane|road movie"/>
        <s v="drugs|escape|football|friend|violence"/>
        <s v="answer to prayer|breast expansion|pleading with god|supernatural power|walking on water"/>
        <s v="california|gay|gay activist|gay pickup|gay rights"/>
        <s v="duty|submarine|submarine movie|tension|u boat"/>
        <s v="airborne troops|allies|operation market garden|panzer|paratrooper"/>
        <s v="monastery|monk|scroll|tibetan|tibetan monk"/>
        <s v="african american|coach|football movie|nonlinear timeline|syracuse university"/>
        <s v="bigfoot|critically bashed|ecuador|friend|tv show"/>
        <s v="african american|imperative in title|las vegas nevada|nevada|wedding"/>
        <s v="binoculars|hitchcockian|scissors|time machine|woods"/>
        <s v="actor voicing multiple characters|box office hit|coffee|plate|robot"/>
        <s v="halloween|michael myers|murder|niece|october"/>
        <s v="bare chested male|box office flop|diner|german shepherd|one word title"/>
        <s v="19th century|around the world|inventor|martial arts|train"/>
        <s v="male pubic hair|mall|police detective|pubic hair|security guard"/>
        <s v="1990s|dagger|japan|mousetrap|stick fight"/>
        <s v="fantasy life|friend|friendship|love|teenage crush"/>
        <s v="friend|friendship|journalist|new york city|personal ad"/>
        <s v="cold fusion|die hard scenario|man with glasses|on the run|outrunning explosion"/>
        <s v="disguise|mission|spy|stealing|traitor"/>
        <s v="latin|pirate|pirate ship|treasure|treasure map"/>
        <s v="amazon|anaconda|boat|jungle|snake"/>
        <s v="death|lifting someone into the air|telephone|telephone call|voice mail"/>
        <s v="boat|director|loch ness|loch ness monster|monster"/>
        <s v="political cover up|political satire|teenage girl|white house|witness"/>
        <s v="farm|freedom|ohio|slavery|spirit"/>
        <s v="artificial organ|best friend|enforcer|future|near future"/>
        <s v="aunt|cannibalism|faked death|medical student|revenge"/>
        <s v="driving range|golf|golfer|tournament|winnebago"/>
        <s v="captain|congo|expedition|laser|lost city"/>
        <s v="fairy tale|lawyer|love|new york|prince"/>
        <s v="american dream|immigrant|new york city|oil|violence"/>
        <s v="baltimore orioles|boston red sox|promotion|ups|world series"/>
        <s v="comeback|family relationships|marriage|new york|racer"/>
        <s v="apocalypse|mercenary|skyscraper|urban setting|zombie apocalypse"/>
        <s v="classroom|fund raising|headmaster|reunion|roman"/>
        <s v="battle|mutant|outrage|walking through a wall|x men"/>
        <s v="friendship|murder|northern ireland|police officer|terrorist"/>
        <s v="apartment|architect|coma|doctor|spirit"/>
        <s v="chick flick|hawaii|love|plastic surgeon|woman wearing a string bikini"/>
        <s v="boss|computer|downsizing|neighbor|office"/>
        <s v="baby|friend|hip hop|pimp|stripper"/>
        <s v="apostrophe in title|critically bashed|hit on the head with a ball|punctuation in title|tyrannosaurus rex"/>
        <s v="dam|flood|money|police|sheriff"/>
        <s v="american dream|bodybuilder|money|punch into the camera|reference to julia roberts"/>
        <s v="american|daughter|england|father|politician"/>
        <s v="doctor|maine|only son|school choir|summer"/>
        <s v="collector|ghost|ghost hunter|glass house|machine"/>
        <s v="jaguar|mayan|solar eclipse|tribe|village"/>
        <s v="best friend|high school|mother|sister|wedding"/>
        <s v="china|disarming someone|qing dynasty|stabbed with a bayonet|war violence"/>
        <s v="dating|diner|masturbation|urination|washington square manhattan new york city"/>
        <s v="hitman|kidnapping|kosher|vhs|video store"/>
        <s v="genetics|heaven|lie|screenwriter|truth"/>
        <s v="band|gay|gay friend|love|night"/>
        <s v="high school|hospital|new jersey|stanford university|swimming"/>
        <s v="battle|demon|magic|secret|warrior"/>
        <s v="beer|competition|germany|oktoberfest|prostitute"/>
        <s v="black militant|frustration|pizza|pizza parlor|pizzeria"/>
        <s v="british|cards|heroin|murder|tarot card"/>
        <s v="apprentice|classical music|disney|mouse|orchestra"/>
        <s v="australia|bar|shipyard|siamese twins|tuna"/>
        <s v="family abandonment|fire|loss of father|native american protagonist|native american reservation"/>
        <s v="1960s|age difference|france|loss of virginity|oxford"/>
        <s v="brother sister relationship|hypnosis|imprisonment|love|revenge"/>
        <s v="freak accident|gigolo|hit in the crotch|nosy neighbor|on the job injury"/>
        <s v="mathematician|nature|numbers|pattern|using a metal detector on a beach"/>
        <s v="afghanistan|based on novel|boy|friend|kite"/>
        <s v="dying planet|planet|regaining one's memory|sacrifice|stabbed to death"/>
        <s v="knight|prince|quest|rescue|thong bikini"/>
        <s v="based on novel|drowning|hanging from a flagpole|hanging from a rope|magic"/>
        <s v="death|election|hollywood|president|scandal"/>
        <s v="horse|horse racing|jockey|limp|seabiscuit"/>
        <s v="alien|space|space station|spacecraft|warp speed"/>
        <s v="a cappella|competition|dj|female protagonist|lesbian"/>
        <s v="cult film|friday the thirteenth|hockey mask|jason voorhees|murder spree"/>
        <s v="afghanistan|caravan|rebel|russian|tribe"/>
        <s v="dog hit by a car|dysfunctional family|falling in love|female in shower|unhappily married woman"/>
        <s v="band|catholic|money|parolee|prison"/>
        <s v="cancer|elderly man|funeral|medical|transhumanism"/>
        <s v="deputy|fbi agent|knife held to throat|serial killer|sheriff"/>
        <s v="anthropomorphic mouse|falcon|marshmallow|second part|soccer"/>
        <s v="kissing in an elevator|mythical hero|neo noir|protective male|silent protagonist"/>
        <s v="hotel|legs|lingerie|waiter|wealth"/>
        <s v="criminal|drug lord|gunshot|irish|journalist"/>
        <s v="arab|genie|magic|princess|reference to a thousand and one nights"/>
        <s v="armored truck|blood splatter|die hard scenario|guard|heist"/>
        <s v="french|inheritance|japan|letter|police detective hero"/>
        <s v="creation|inventor|magical realism|scissors|suburb"/>
        <s v="drifter|escape|hope|postman|usa"/>
        <s v="cigarette smoking|hand on butt|niagara falls|plastic bubble|wedding"/>
        <s v="assassin|marriage|secret agent|suburb|target"/>
        <s v="blood|rationing|vampire|vampire society|year 2019"/>
        <s v="art deco|bible quote|dance|silent film|worker"/>
        <s v="dead children|ghost|missing child|orphan|orphanage"/>
        <s v="climate|end of the world|global warming|natural disaster|weather"/>
        <s v="car accident|coma|out of body experience|reference to the exploited|teenage girl"/>
        <s v="cult film|kung fu|martial arts|shaolin|soccer"/>
        <s v="cobra|gi joe|snake|train|warhead"/>
        <s v="college|college girl|female protagonist|sorority|sorority house"/>
        <s v="1940s|female bare foot|picket fence|tire|vomiting"/>
        <s v="alzheimer's disease|caregiver|divorce|iran|iranian"/>
        <s v="cat|friend|love|sheriff|teenager"/>
        <s v="based on cult tv series|critically acclaimed|exercise machine|midnight movie|robot"/>
        <s v="alien|alien invasion|alien space craft|giant|giantess"/>
        <s v="box office flop|drag queen|gender disguise|mafia|witness"/>
        <s v="boy|darkness|light|tooth|tooth fairy"/>
        <s v="championship|coach|curling|marriage|rural setting"/>
        <s v="boarding school|childhood|love|love triangle|organ donation"/>
        <s v="alien|antarctica|predator|pyramid|satellite"/>
        <s v="19th century|friend|john keats|passion|poet"/>
        <s v="12 step program|box office hit|car accident|vomiting|wedding"/>
        <s v="cannibalism|cheerleader|condom|hook for hand|satanic ritual"/>
        <s v="amusement park|island|motorcycle|scooby doo|tough girl"/>
        <s v="bank robbery|heist|raccoon|rat|squirrel"/>
        <s v="asylum|death|full moon|transformation|werewolf"/>
        <s v="car|desert|route 66|tow truck|truck"/>
        <s v="blade the character|cult film|mutation|vampire|warrior"/>
        <s v="alcatraz|escape|inmate|island|prison"/>
        <s v="battle|city|planet|prison|superhero"/>
        <s v="breaking and entering|gallows|hanging|high school|stage"/>
        <s v="author|girl|island|reading|scientist"/>
        <s v="american|conversations|kiss|love|train"/>
        <s v="doctor|hospital|mental institution|nurse|student"/>
        <s v="absurd humor|drug lord|mexico|ranch|spaghetti western"/>
        <s v="bird|cult film|egg|nightclub|toronto"/>
        <s v="drugs|highway|police|state trooper|vermont"/>
        <s v="alcoholic|buffalo new york|claim in title|embalming|mortuary"/>
        <s v="anaconda|blood|borneo|flower|orchid"/>
        <s v="alien|captain|escape|pilot|scientist"/>
        <s v="childbirth|christmas|gay slur|infidelity|punched in the nose"/>
        <s v="box office hit|half breed|infidelity|shooting|texas"/>
        <s v="american actress playing british character|book publishing|calorie counting|employer employee relationship|rabbit costume"/>
        <s v="clock tower|delorean|future|time travel|time travel comedy"/>
        <s v="christmas|fable|old man"/>
        <s v="book|magic|pirate|plankton|time machine"/>
        <s v="actress|killer doll|murder|vixen|vomiting"/>
        <s v="bare chested male|detective|electric torture|japanese american|yakuza"/>
        <s v="alien|captain|commander|conspiracy|planet"/>
        <s v="drink|hotel|police|staged rape|thief"/>
        <s v="boy|doll|foster home|killer doll|serial killer"/>
        <s v="illusion|magician|obsession|rivalry|secret"/>
        <s v="amazon|bounty hunter|fight|hunter|jungle"/>
        <s v="title spoken by character"/>
        <s v="africa|biker|church|orphanage|preacher"/>
        <s v="family relationships|football movie|publicist|sports team|tween girl"/>
        <s v="agent|nsa|nsa agent|prague|russian"/>
        <s v="paris france|rage|sniper|u.s. army|zombie apocalypse"/>
        <s v="college|college athlete|comeback|gymnast|olympics"/>
        <s v="counselor|fbi|revenge motive|school|teenage girl"/>
        <s v="corruption|faked death|falling off a roof|internal affairs|nypd"/>
        <s v="film director|parody|spoof|vietnam|written and directed by cast member"/>
        <s v="airport|christmas|florida|new york city|toy store"/>
        <s v="railroad|reference to douglas fairbanks|reference to jesse owens|reference to randolph scott|year 1874"/>
        <s v="alien|lingerie|lingerie model|m.i.b.|pug"/>
        <s v="beach|bottle|jogging|letter|love"/>
        <s v="gay cop|getaway driver|masturbation|penis|witness protection"/>
        <s v="astronaut|earth|future|icarus|sun"/>
        <s v="deception|flash photography|game of death|jigsaw|pig mask"/>
        <s v="astronaut|mars|robot|robot as menace|survival"/>
        <s v="ambassador|assassination|chinese|french|triad"/>
        <s v="computer hacker|crime boss|detective|drugs|wedding"/>
        <s v="hero|island|lawsuit|secret|superhero"/>
        <s v="beach|cleaning a swimming pool|male male kiss|mexico|on the road"/>
        <s v="box office flop|father son team|fear|race against time|real life father and son playing father and son"/>
        <s v="gangster|organized crime|robbery|rosh hashanah|safecracking"/>
        <s v="death of sister|dystopia|execution|rebellion|revolution"/>
        <s v="flashback|interview|louisiana|playwright|secret society"/>
        <s v="bar mitzvah|jewish|marital breakup|nose job|rabbi"/>
        <s v="music school|scholarship|small town|stage fright|three word title"/>
        <s v="adopted son|adoption|boy|mars the planet|widower"/>
        <s v="horror movie prequel|murder|paranormal activity|self sacrifice|suicide"/>
        <s v="classic literature|denmark|funeral|madness|prince"/>
        <s v="four word title|grandparent grandchild relationship|reference to facebook|reference to the internet|singer"/>
        <s v="car accident|feud|lawyer|revenge|road rage"/>
        <s v="arranged marriage|geese|idaho|national park|park"/>
        <s v="falling in love|glowing eyes|insult|teenager|three word title"/>
        <s v="bachelor|best friend|divorce|poison|widow"/>
        <s v="based on novel|escape|imprisonment|kidnapping|mother son relationship"/>
        <s v="asylum|lust|male pubic hair|penis|pubic hair"/>
        <s v="girlfriend|immigration|long distance relationship|parents|student visa"/>
        <s v="alien|alien planet|astronaut|planet|teenager"/>
        <s v="carpenter|exorcism|faith|reference to jesus christ|temptation"/>
        <s v="based on true story|contract killer|crime family|murder of a girl|serial murderer"/>
        <s v="escape|island|los angeles california|machismo|president's daughter"/>
        <s v="bad luck|band|kiss|luck|masquerade"/>
        <s v="american|filipino|friendship|guerrilla army|village"/>
        <s v="autistic son|cancer|female protagonist|new york city|son"/>
        <s v="basement|lead actor's first film|long hair|public access|title directed by female"/>
        <s v="blood|boy|night|school|vampire"/>
        <s v="latter day saints|missionary|pickup truck|police|video camera"/>
        <s v="christmas|christmas tree|fire|new york city|stoner"/>
        <s v="car accident|death|freak accident|hospital|premonition"/>
        <s v="circus|clown|elephant trainer|trapeze|trapeze artist"/>
        <s v="california|car|drag racing|high school|rock 'n' roll"/>
        <s v="bomber|time|time loop|train|trapped in a time loop"/>
        <s v="actress|bodyguard|new york city|play|playwright"/>
        <s v="bear|ear wax cleaning|fake newsreel|paddington station london|taxidermist"/>
        <s v="danish|double agent|nazi|nazi occupation|resistance"/>
        <s v="aunt|cat|death of pet|girl|no opening credits"/>
        <s v="cuba|dea|drugs|money|undercover"/>
        <s v="bolshevik|poet|poetry|russia|russian revolution"/>
        <s v="anti semitism|breasts|chamberlain|friend|theatre"/>
        <s v="fight|kung fu|martial arts|police|wire fu"/>
        <s v="bachelor party|breasts|friend|prostitute|wedding"/>
        <s v="architect|grave|obsession|river|voice"/>
        <s v="boy|german soldier|partisan|trapped|village"/>
        <s v="bodyguard|fbi|fbi agent|female protagonist|undercover"/>
        <s v="curse|ghost|haunted house|high school|schoolgirl"/>
        <s v="ant|friend|princess|soldier|worker"/>
        <s v="sibling rivalry|singer|sister act|whistling|wisecrack humor"/>
        <s v="american actor playing foreigner|assassination|conspiracy|military|nazis"/>
        <s v="flatulence|menstrual blood|nomad|nursing school|title directed by female"/>
        <s v="cheerleading|fbi|fbi agent|nanny|undercover"/>
        <s v="activist|death|death row|murder|texas"/>
        <s v="animal|faith|india|journey|tiger"/>
        <s v="divorce|emotional balance|female protagonist|indonesia|inner peace"/>
        <s v="coma|fbi|race against time|serial killer|strong female lead"/>
        <s v="friend|little girl|monster|rival|scream"/>
        <s v="2000s|golf caddy|golf course|golfer|question mark in title"/>
        <s v="hotel|immigrant|nigerian|surgery|underwear"/>
        <s v="club|fight|fighting|high school|mixed martial arts"/>
        <s v="1960s|bridge|housewife|love|photographer"/>
        <s v="found footage|looking at the camera|lost in the woods|maryland|screaming in horror"/>
        <s v="duology|female hero|female lead|orb|pandora's box"/>
        <s v="based on tv series|remake|robot|scientist|spaceship"/>
        <s v="district attorney|interview|murder|prosecutor|reporter"/>
        <s v="dating|minion|overprotective father|undercover spy|woman agent"/>
        <s v="bomb|cia|courthouse|escape|russian"/>
        <s v="catfight|clinic|colonel|diamond|patricide"/>
        <s v="cocaine|cop|criminal|partner|police"/>
        <s v="apostrophe in title|behind enemy lines|box office flop|gay interest|punctuation in title"/>
        <s v="ghetto|holocaust|jewish|piano|warsaw ghetto"/>
        <s v="circus|dark fantasy|dream|dream world|fantasy world"/>
        <s v="bag over head|buddhist temple|loss of friend|male bonding|nightclub"/>
        <s v="accountant|loan shark|macabre|uncle|uncle fester"/>
        <s v="bowling|rajah|sphinx|spleen|superhero"/>
        <s v="cocaine|drug smuggling|interlinked stories|judge|mexico"/>
        <s v="china|kung fu|panda|peacock|tigress"/>
        <s v="desire|florida|identity|resort town|sales"/>
        <s v="dog saved from a fire|flashback|growing up|multiple narrators|traveling salesman"/>
        <s v="black comedy|delivery boy|dinner|gym|punishment"/>
        <s v="alcoholic|fame|therapist|writer|writing"/>
        <s v="china|kung fu|panda|pig|village"/>
        <s v="animal|bear|land developer|real estate|real estate developer"/>
        <s v="chinese|computer|cybercrime|hacker|one word title"/>
        <s v="assassination attempt|communist dictatorship|dictator|exploding helicopter|finger bitten off"/>
        <s v="1950s|miscarriage|neighbor|pregnancy|tailor"/>
        <s v="android|fbi agent|future|murder|robot"/>
        <s v="cavalry|escape|herd|stallion|wild stallion"/>
        <s v="3 dimensional|concert footage|englishman abroad|reference to keith richards|reference to the doors"/>
        <s v="barn|film student|hospital|mummy|video camera"/>
        <s v="buick|convertible|last will and testament|savant|travel"/>
        <s v="detective|groupie|murder|music industry|rock n roll"/>
        <s v="death|dock|longshoreman|murder|union"/>
        <s v="assassin|bomb|dominatrix|mistaken identity|spy"/>
        <s v="afterlife|bullfight|bullfighting|love triangle|mexico"/>
        <s v="car|dog|flip phone|rape threat|vulnerable"/>
        <s v="bomb|espionage|sequel|spy|terrorist"/>
        <s v="bar|catholic guilt|epilepsy|italian american|money"/>
        <s v="1920s|ambiguity|childhood friend|new york|speakeasy"/>
        <s v="held at gunpoint|machete|masked man|sequel|violence"/>
        <s v="gothic|police|police officer|silent hill|sleepwalking"/>
        <s v="college|day care|escape|teddy bear|toy"/>
        <s v="chef|cooking|guardian|kitchen|restaurant"/>
        <s v="great white shark|island|mayor|police chief|shark"/>
        <s v="escape|half human|king|vampire|vampire hunter"/>
        <s v="best friend|roma|singer|spaghetti|teenager"/>
        <s v="bank|fbi|heist|interpol|magician"/>
        <s v="baseball|baseball player|brooklyn dodgers|major league baseball|racism"/>
        <s v="american president|assassin|conspiracy|president|white house"/>
        <s v="actress|director|play|theatre director|warehouse"/>
        <s v="accident|caretaker|economic hardship|quadriplegic|wheelchair"/>
        <s v="lucha libre|monastery|nun|orphan|wrestling"/>
        <s v="corporation|fight|rescue|umbrella|zombie"/>
        <s v="death row|future|machine|rescue|skynet"/>
        <s v="19th century|courtship|female protagonist|princess|queen of england"/>
        <s v="bare breasts|drugs|existentialism|new york city|redemption"/>
        <s v="child with gun|comic book|invulnerability|superhero|train crash"/>
        <s v="belief|faith|pastor|question in title|three word title"/>
        <s v="cancer|cigarette smoking|hospital|one night stand|trucker"/>
        <s v="basketball|boy|dog|dog movie|golden retriever"/>
        <s v="adulterous wife|bipolar disorder|obsessive compulsive personality disorder|unhappy marriage|widow"/>
        <s v="game of death|government conspiracy|latina|oppression|police"/>
        <s v="boxing|fight|heavyweight champion|iceman|prison"/>
        <s v="christian film|dare|firefighter|internet pornography|marriage"/>
        <s v="anger|bus|child|lawyer|school"/>
        <s v="car chase|plot twist|police van|rear ending a car|slasher"/>
        <s v="1970s|1980s|nonlinear timeline|rescue|vietnam war"/>
        <s v="based on cartoon|chipmunk|concert|fart joke|talking animal"/>
        <s v="action hero|assassination attempt|explosion|machine gun|rescue mission"/>
        <s v="capture|combat|fbi|hunter|special forces"/>
        <s v="hostage|innocence|murder|negotiator|police"/>
        <s v="alcoholic|alcoholism|money|oil|turn of the century"/>
        <s v="coach|coyote|popularity|quarterback|texas"/>
        <s v="con artist|con man|deception|rivalry|seduction"/>
        <s v="fight|memory|teenager|undead|zombie"/>
        <s v="air traffic controller|airplane|airport|pilot|spoof"/>
        <s v="device|disaster|divorce|storm|tornado"/>
        <s v="amusement park|death|fate|premonition|roller coaster"/>
        <s v="colonel|lieutenant|nuclear warhead|team|washington d.c."/>
        <s v="cape kennedy|news footage|reference to christopher columbus|rocket|trapped in space"/>
        <s v="cuba|guantanamo|lance corporal|lawyer|murder"/>
        <s v="flight|hasselblad camera|los angeles california|love|medium format camera"/>
        <s v="airport|black comedy|blizzard|christmas|pennsylvania"/>
        <s v="cia|on the run|russian|russian spy|strong female lead"/>
        <s v="china|chrysanthemum|emperor|empress|prince"/>
        <s v="crop circle|faith|farm|glass of water|loss of faith"/>
        <s v="best friend|business deal|impulse|public relations|twin"/>
        <s v="execution by hanging|los angeles police department|miscarriage of justice|missing child|wrongful conviction"/>
        <s v="gang|heist|heist gone wrong|nonlinear timeline|robbery"/>
        <s v="desperation|fog|giant insect|survival|survival horror"/>
        <s v="actor|actress|friend|love|reputation"/>
        <s v="bathtub|cult film|neck breaking|tennessee|wraparound story"/>
        <s v="fisherman|japanese|love|trial|washington state"/>
        <s v="case file|fbi agent|psycho thriller|psychopath|serial killer"/>
        <s v="car|challenge|drift racing|drifting|tokyo japan"/>
        <s v="boxing|boxing trainer|death|suicide attempt|women boxing"/>
        <s v="hotel|india|marigold|retiree|retirement"/>
        <s v="college|love|party|reporter|tuition"/>
        <s v="basketball|cheerleader|college|harvard|philosophy"/>
        <s v="cat|cia|jewish|male nurse|nurse"/>
        <s v="astronomer|comet|mission|president|secretary"/>
        <s v="blood|destiny|nightmare|partner|vampire"/>
        <s v="arizona|death|gang|police|sheriff"/>
        <s v="blind|director|psychosomatic blindness|self deprecating|studio"/>
        <s v="beach|grandson|murder|new york city|police"/>
        <s v="death of child|face|face transplant|prison|terrorist"/>
        <s v="apple computer|box office flop|computer|dialogue driven|father daughter relationship"/>
        <s v="accident|bar|chase|cia|laboratory"/>
        <s v="half sister|hospital|latex gloves|medicine|nun"/>
        <s v="bomb|hostage|military|plane|terrorist"/>
        <s v="based on true story|cia|cocaine|journalist|smear campaign"/>
        <s v="love|train|train wreck|twin brother|two word title"/>
        <s v="armored car|gangster|gotham|mixed martial arts|social decay"/>
        <s v="cat|dog|first part|lasagna|veterinarian"/>
        <s v="disappearance|hearing voices|hypnosis|post hypnotic suggestion|seeing a ghost"/>
        <s v="arrest|drugs|loyalty|raid|violence"/>
        <s v="cannibal|evil brother|giant|london england|queen"/>
        <s v="racism|separation from family|social injustice|torture|whipping"/>
        <s v="abuse of power|friendship|prison|prison guard|title directed by female"/>
        <s v="motor scooter|new york city|newborn baby|scooter|single"/>
        <s v="erotic thriller|infidelity|marital infidelity|unfaithfulness|wife's lover murdered by husband"/>
        <s v="bikini|cult film|fired from the job|martial arts|violence"/>
        <s v="based on real person|female inventor|mop|sales pitch|woman holding a shotgun"/>
        <s v="chaos|disease|infection|pandemic|zombie"/>
        <s v="alaska|small town|snow|vampire|winter"/>
        <s v="mission|spy|surfing|trapped|virtual reality"/>
        <s v="19th century|colombia|love|marriage|widow"/>
        <s v="canada|cuba|france|guantanamo|hmo"/>
        <s v="birthday|call center|fiance|hotel|indian"/>
        <s v="advertising|bar|dating|lingerie slip|six word title"/>
        <s v="flashback|flashback within a flashback|multiple perspectives|obsession|split screen"/>
        <s v="2010s|ape|ballet|psychic|supernatural"/>
        <s v="arrogance|child in peril|disarming someone|kennel|post traumatic stress disorder"/>
        <s v="female protagonist|high school|self destructiveness|student council president|student government"/>
        <s v="immigrant|immigration|magician|money|prostitution"/>
        <s v="dentist|dog|inheritance|race|sled dog"/>
        <s v="boss|business|career|confidence|female protagonist"/>
        <s v="bank|based on novel|ice|teleportation|vault"/>
        <s v="barricade|innkeeper|parole|rebellion|student"/>
        <s v="bipolar disorder|sodomy|stabbing|street life|violence"/>
        <s v="critically acclaimed|drug cartel|juarez mexico|u.s. mexico border|war on drugs"/>
        <s v="england|racism|racist|skinhead|violence"/>
        <s v="band|employment agency|singer|stage fright|suicide"/>
        <s v="castration|chicken|fast food|indian burial ground|protest"/>
        <s v="alien|federation|future|military|planet"/>
        <s v="blood splatter|camera shot from inside human body|combat|die hard scenario|fbi"/>
        <s v="bare breasts|japan|tokyo japan|toxic avenger|troma"/>
        <s v="based on novel|birthday|evil wizard|quidditch|wizard"/>
        <s v="death|die hard scenario|k2|rescue|urination"/>
        <s v="head on a stake|machine gun|martian|nuclear reactor|outer space"/>
        <s v="cia|hong kong|market|undercover|van"/>
        <s v="black american|extortion|navy|psychiatrist|sailor"/>
        <s v="death|fear|hairy chest|social worker|spinning in chair"/>
        <s v="alien|attic|boyfriend|mind control|nintendo ds"/>
        <s v="ex girlfriend|funeral|hospital|male objectification|summer camp"/>
        <s v="best friend|foot fetish|houseguest|newlywed|wedding"/>
        <s v="beauty pageant|blonde|cheerleader uniform|small town|upskirt"/>
        <s v="accountant|bounty hunter|fbi|mafia|mob"/>
        <s v="1980s|forest|lycanthrope|shapeshifting|werewolf transformation"/>
        <s v="cave|expedition|friendship between women|group of friends|survival horror"/>
        <s v="box office flop|burned to death|magic|witch|witch hunter"/>
        <s v="chauffeur|disorganized crime|dog|ransom|slapstick"/>
        <s v="autumn|four seasons|friend|looking at one's self in a mirror|unhappiness"/>
        <s v="friend|job|new york city|toy|wish"/>
        <s v="blue|new york|new york city|no opening credits|smurf"/>
        <s v="based on play|character name in title"/>
        <s v="detective|police|protection|russian|sergeant"/>
        <s v="australian|gasoline|post apocalypse|refinery|warrior"/>
        <s v="birthday|birthday wish|father disappoints child|lie|workaholic"/>
        <s v="battle|friend|super strength|vampire|vision"/>
        <s v="horse|journey|mongolia|shaman|travel"/>
        <s v="beaver puppet|depression|dysfunctional family|puppet|speech"/>
        <s v="captain|greek|island|italian|love"/>
        <s v="alamut|dagger|king|persia|princess"/>
        <s v="black hole|father daughter relationship|saving the world|space travel|wormhole"/>
        <s v="marriage|overweight|psychologist|secret|work"/>
        <s v="cia|crocodile|satellite|snake|spider"/>
        <s v="archdiocese|court|hospital|lawyer|malpractice"/>
        <s v="evil spirit|hatchet|ouija|ouija board|psychopathic killer"/>
        <s v="question mark in title|returning character killed off|sequel|six word title|writer director"/>
        <s v="assassin|car chase|cia|hidden truth|one against many"/>
        <s v="bratislava|hostel|sadistic horror|torture|travel"/>
        <s v="boxing|boxing match|fight|montage|philadelphia"/>
        <s v="art exhibition|augmented reality|cocaine|nervous breakdown|speculative fiction"/>
        <s v="college|friend|ivy league|secret society|suicide"/>
        <s v="bombing|guard|jungle|laos|prisoner"/>
        <s v="chase|clue|detective|movie star|murder"/>
        <s v="funeral|funeral home|hermit|party|secret"/>
        <s v="heaven|hell|soul|soul mate|suicide"/>
        <s v="agent|british|ice skater|ship|spy"/>
        <s v="agent|alien|bomb|fbi|government"/>
        <s v="alien|ghetto|prawn|refugee|refugee camp"/>
        <s v="actor|minstrel show|protest|success|writer"/>
        <s v="actress|bookstore|friend|kiss|love"/>
        <s v="curtain|haunting|mansion|mute|xeroderma pigmentosum"/>
        <s v="accountant|money|opening night|scheme|swedish"/>
        <s v="memory|murder|neo noir|retrofuturism|tech noir"/>
        <s v="broke|promoter|retirement|trainer|training"/>
        <s v="blonde|mafia|mental illness|prison|second part"/>
        <s v="demonic possession|exorcism|exorcist|loss of innocence|priest"/>
        <s v="buddy movie|general|inventor|steampunk|utah"/>
        <s v="e mail|game|school|serial killer|student"/>
        <s v="bible|cabinet meeting|dog|drinking|family relationships"/>
        <s v="fire|goblet|magic|tournament|wizard"/>
        <s v="based on novel|human becoming an animal|slow motion|transformation|young boy"/>
        <s v="escape|jungle|lemur|madagascar|zoo"/>
        <s v="death squad|mass killing|musical number|reference to guantanamo bay|surrealism"/>
        <s v="duchess|duke|heir|infidelity|marriage"/>
        <s v="based on tv series|blanket|box office flop|rescue|sesame street"/>
        <s v="message from outer space|religion|religion versus science|scientist|universe"/>
        <s v="apartment|christmas|christmas present|rent|security guard"/>
        <s v="19th century|hotel|painter|waiter|woman pretending to be a man"/>
        <s v="analyst|cia|ira|terrorist|terrorist attack"/>
        <s v="analyst|cia|nuclear bomb|nuclear weapons|russia"/>
        <s v="coach|high school football"/>
        <s v="comic violence|hand to hand combat|kung fu|talking to self in mirror|violence"/>
        <s v="massacre|mormon|settler|utah|wagon train"/>
        <s v="governor|journalist|louisiana|mistress|politician"/>
        <s v="american|blog|book|cook|cooking"/>
        <s v="doctor|louisiana|secret|title directed by female|witchcraft"/>
        <s v="bar|dog|interview|lebanon|nightmare"/>
        <s v="cia|jordan|middle east|spy|terrorist"/>
        <s v="bosnia|cia|fox|hunt|war criminal"/>
        <s v="apartment|hello kitty|school|teacher|water"/>
        <s v="civil rights|courage|protest|selma alabama|u.s. politics"/>
        <s v="ballroom|dance|dance teacher|student|teacher"/>
        <s v="chop socky|mutant|ninja|shredder|turtle"/>
        <s v="android|ex cop|serial killer|virtual character come to life|virtual reality"/>
        <s v="70mm film|biblical epic|faith|jewish|king herod"/>
        <s v="aborigine|australian|australian aborigine|australian outback|rancher"/>
        <s v="atrocity|battle|chinese|horseback riding|martial arts"/>
        <s v="boat|bully|dare|friend|river"/>
        <s v="baseball|baseball team|bully|millionaire|team"/>
        <s v="evil|killer|murder|psychopath|serial killer"/>
        <s v="black magic|goat|isolation|naked woman|witch"/>
        <s v="1940s|axe|china|gang|sign language"/>
        <s v="flint michigan|merger|michigan|nba|team"/>
        <s v="cia|iraq|iraqi|political military conspiracy|weapon of mass destruction"/>
        <s v="1960s|father|railroad|town|worker"/>
        <s v="easter|fbi|luminol|nurse|omen"/>
        <s v="accountant|blooper|espionage|facebook|high school reunion"/>
        <s v="21st birthday|college student|drunken man|pubic hair|standing up to father"/>
        <s v="basketball|hip hop|rap music|record company|writer"/>
        <s v="artificial intelligence|robot|robot human relationship|turing test|video surveillance"/>
        <s v="king|magic|one word title|pirate|village"/>
        <s v="christmas|resort|thailand|tourist|tsunami"/>
        <s v="costumed hero|death of girlfriend|masked vigilante|returning character killed off|teenager"/>
        <s v="contest|poetry|refusing to eat|starving oneself|teenage girl"/>
        <s v="bar|fbi|law|law firm|lawyer"/>
        <s v="cell phone|hostage|mall|security guard|text messaging"/>
        <s v="alien|duck|laser|planet|singer"/>
      </sharedItems>
    </cacheField>
    <cacheField name="num_user_for_reviews" numFmtId="0">
      <sharedItems containsSemiMixedTypes="0" containsString="0" containsNumber="1" containsInteger="1">
        <n v="44.0"/>
        <n v="163.0"/>
        <n v="289.0"/>
        <n v="235.0"/>
        <n v="510.0"/>
        <n v="221.0"/>
        <n v="2195.0"/>
        <n v="257.0"/>
        <n v="830.0"/>
        <n v="156.0"/>
        <n v="1103.0"/>
        <n v="173.0"/>
        <n v="374.0"/>
        <n v="32.0"/>
        <n v="227.0"/>
        <n v="129.0"/>
        <n v="87.0"/>
        <n v="366.0"/>
        <n v="394.0"/>
        <n v="54.0"/>
        <n v="91.0"/>
        <n v="687.0"/>
        <n v="12.0"/>
        <n v="133.0"/>
        <n v="148.0"/>
        <n v="668.0"/>
        <n v="26.0"/>
        <n v="196.0"/>
        <n v="70.0"/>
        <n v="263.0"/>
        <n v="434.0"/>
        <n v="610.0"/>
        <n v="1076.0"/>
        <n v="120.0"/>
        <n v="485.0"/>
        <n v="806.0"/>
        <n v="98.0"/>
        <n v="46.0"/>
        <n v="22.0"/>
        <n v="348.0"/>
        <n v="349.0"/>
        <n v="216.0"/>
        <n v="1211.0"/>
        <n v="62.0"/>
        <n v="119.0"/>
        <n v="498.0"/>
        <n v="317.0"/>
        <n v="108.0"/>
        <n v="139.0"/>
        <n v="316.0"/>
        <n v="155.0"/>
        <n v="756.0"/>
        <n v="18.0"/>
        <n v="326.0"/>
        <n v="455.0"/>
        <n v="491.0"/>
        <n v="288.0"/>
        <n v="76.0"/>
        <n v="79.0"/>
        <n v="222.0"/>
        <n v="569.0"/>
        <n v="140.0"/>
        <n v="438.0"/>
        <n v="382.0"/>
        <n v="436.0"/>
        <n v="45.0"/>
        <n v="20.0"/>
        <n v="232.0"/>
        <n v="406.0"/>
        <n v="68.0"/>
        <n v="851.0"/>
        <n v="998.0"/>
        <n v="614.0"/>
        <n v="48.0"/>
        <n v="34.0"/>
        <n v="183.0"/>
        <n v="160.0"/>
        <n v="21.0"/>
        <n v="60.0"/>
        <n v="318.0"/>
        <n v="190.0"/>
        <n v="644.0"/>
        <n v="425.0"/>
        <n v="92.0"/>
        <n v="524.0"/>
        <n v="65.0"/>
        <n v="212.0"/>
        <n v="306.0"/>
        <n v="640.0"/>
        <n v="241.0"/>
        <n v="304.0"/>
        <n v="69.0"/>
        <n v="23.0"/>
        <n v="213.0"/>
        <n v="126.0"/>
        <n v="398.0"/>
        <n v="71.0"/>
        <n v="161.0"/>
        <n v="199.0"/>
        <n v="101.0"/>
        <n v="539.0"/>
        <n v="73.0"/>
        <n v="505.0"/>
        <n v="174.0"/>
        <n v="483.0"/>
        <n v="169.0"/>
        <n v="495.0"/>
        <n v="608.0"/>
        <n v="286.0"/>
        <n v="302.0"/>
        <n v="90.0"/>
        <n v="290.0"/>
        <n v="131.0"/>
        <n v="322.0"/>
        <n v="242.0"/>
        <n v="461.0"/>
        <n v="218.0"/>
        <n v="237.0"/>
        <n v="74.0"/>
        <n v="365.0"/>
        <n v="380.0"/>
        <n v="136.0"/>
        <n v="560.0"/>
        <n v="609.0"/>
        <n v="162.0"/>
        <n v="1314.0"/>
        <n v="122.0"/>
        <n v="191.0"/>
        <n v="488.0"/>
        <n v="411.0"/>
        <n v="132.0"/>
        <n v="240.0"/>
        <n v="636.0"/>
        <n v="167.0"/>
        <n v="233.0"/>
        <n v="229.0"/>
        <n v="502.0"/>
        <n v="247.0"/>
        <n v="210.0"/>
        <n v="55.0"/>
        <n v="239.0"/>
        <n v="157.0"/>
        <n v="962.0"/>
        <n v="99.0"/>
        <n v="231.0"/>
        <n v="630.0"/>
        <n v="713.0"/>
        <n v="2277.0"/>
        <n v="52.0"/>
        <n v="40.0"/>
        <n v="50.0"/>
        <n v="415.0"/>
        <n v="281.0"/>
        <n v="39.0"/>
        <n v="351.0"/>
        <n v="274.0"/>
        <n v="66.0"/>
        <n v="634.0"/>
        <n v="2789.0"/>
        <n v="24.0"/>
        <n v="130.0"/>
        <n v="1999.0"/>
        <n v="444.0"/>
        <n v="189.0"/>
        <n v="513.0"/>
        <n v="82.0"/>
        <n v="31.0"/>
        <n v="358.0"/>
        <n v="194.0"/>
        <n v="583.0"/>
        <n v="105.0"/>
        <n v="225.0"/>
        <n v="629.0"/>
        <n v="1848.0"/>
        <n v="205.0"/>
        <n v="564.0"/>
        <n v="292.0"/>
        <n v="30.0"/>
        <n v="94.0"/>
        <n v="426.0"/>
        <n v="16.0"/>
        <n v="393.0"/>
        <n v="179.0"/>
        <n v="10.0"/>
        <n v="2618.0"/>
        <n v="404.0"/>
        <n v="11.0"/>
        <n v="369.0"/>
        <n v="973.0"/>
        <n v="2003.0"/>
        <n v="2417.0"/>
        <n v="56.0"/>
        <n v="59.0"/>
        <n v="150.0"/>
        <n v="159.0"/>
        <n v="89.0"/>
        <n v="106.0"/>
        <n v="25.0"/>
        <n v="201.0"/>
        <n v="85.0"/>
        <n v="245.0"/>
        <n v="42.0"/>
        <n v="431.0"/>
        <n v="248.0"/>
        <n v="440.0"/>
        <n v="520.0"/>
        <n v="224.0"/>
        <n v="529.0"/>
        <n v="211.0"/>
        <n v="378.0"/>
        <n v="666.0"/>
        <n v="38.0"/>
        <n v="315.0"/>
        <n v="204.0"/>
        <n v="95.0"/>
        <n v="117.0"/>
        <n v="593.0"/>
        <n v="448.0"/>
        <n v="49.0"/>
        <n v="144.0"/>
        <n v="147.0"/>
        <n v="889.0"/>
        <n v="214.0"/>
        <n v="463.0"/>
        <n v="84.0"/>
        <n v="2073.0"/>
        <n v="260.0"/>
        <n v="297.0"/>
        <n v="1018.0"/>
        <n v="86.0"/>
        <n v="146.0"/>
        <n v="81.0"/>
        <n v="276.0"/>
        <n v="1470.0"/>
        <n v="123.0"/>
        <n v="388.0"/>
        <n v="47.0"/>
        <n v="142.0"/>
        <n v="88.0"/>
        <n v="113.0"/>
        <n v="1182.0"/>
        <n v="2741.0"/>
        <n v="64.0"/>
        <n v="517.0"/>
        <n v="344.0"/>
        <n v="83.0"/>
        <n v="75.0"/>
        <n v="1902.0"/>
        <n v="2803.0"/>
        <n v="114.0"/>
        <n v="202.0"/>
        <n v="871.0"/>
        <n v="151.0"/>
        <n v="309.0"/>
        <n v="928.0"/>
        <n v="356.0"/>
        <n v="800.0"/>
        <n v="275.0"/>
        <n v="651.0"/>
        <n v="269.0"/>
        <n v="2968.0"/>
        <n v="217.0"/>
        <n v="1144.0"/>
        <n v="27.0"/>
        <n v="154.0"/>
        <n v="110.0"/>
        <n v="339.0"/>
        <n v="418.0"/>
        <n v="597.0"/>
        <n v="942.0"/>
        <n v="219.0"/>
        <n v="752.0"/>
        <n v="171.0"/>
        <n v="67.0"/>
        <n v="681.0"/>
        <n v="632.0"/>
        <n v="2113.0"/>
        <n v="430.0"/>
        <n v="695.0"/>
        <n v="135.0"/>
        <n v="2301.0"/>
        <n v="181.0"/>
        <n v="185.0"/>
        <n v="554.0"/>
        <n v="230.0"/>
        <n v="709.0"/>
        <n v="93.0"/>
        <n v="138.0"/>
        <n v="207.0"/>
        <n v="37.0"/>
        <n v="492.0"/>
        <n v="1117.0"/>
        <n v="53.0"/>
        <n v="270.0"/>
        <n v="284.0"/>
        <n v="308.0"/>
        <n v="1166.0"/>
        <n v="268.0"/>
        <n v="96.0"/>
        <n v="1188.0"/>
        <n v="618.0"/>
        <n v="197.0"/>
        <n v="401.0"/>
        <n v="13.0"/>
        <n v="125.0"/>
        <n v="509.0"/>
        <n v="822.0"/>
        <n v="103.0"/>
        <n v="109.0"/>
        <n v="104.0"/>
        <n v="667.0"/>
        <n v="381.0"/>
        <n v="291.0"/>
        <n v="456.0"/>
        <n v="236.0"/>
        <n v="166.0"/>
        <n v="180.0"/>
        <n v="501.0"/>
        <n v="170.0"/>
        <n v="100.0"/>
        <n v="121.0"/>
        <n v="457.0"/>
        <n v="249.0"/>
        <n v="390.0"/>
        <n v="323.0"/>
        <n v="307.0"/>
        <n v="420.0"/>
        <n v="895.0"/>
        <n v="497.0"/>
        <n v="660.0"/>
        <n v="223.0"/>
        <n v="188.0"/>
        <n v="611.0"/>
        <n v="1033.0"/>
        <n v="72.0"/>
        <n v="850.0"/>
        <n v="102.0"/>
        <n v="61.0"/>
        <n v="145.0"/>
        <n v="118.0"/>
        <n v="1916.0"/>
        <n v="383.0"/>
        <n v="252.0"/>
        <n v="111.0"/>
        <n v="1225.0"/>
        <n v="141.0"/>
        <n v="115.0"/>
        <n v="29.0"/>
        <n v="255.0"/>
        <n v="1559.0"/>
        <n v="203.0"/>
        <n v="1055.0"/>
        <n v="877.0"/>
        <n v="277.0"/>
        <n v="477.0"/>
        <n v="396.0"/>
        <n v="2701.0"/>
        <n v="187.0"/>
        <n v="742.0"/>
        <n v="2054.0"/>
        <n v="361.0"/>
        <n v="331.0"/>
        <n v="77.0"/>
        <n v="5060.0"/>
        <n v="6.0"/>
        <n v="376.0"/>
        <n v="471.0"/>
        <n v="345.0"/>
        <n v="134.0"/>
        <n v="983.0"/>
        <n v="287.0"/>
        <n v="264.0"/>
        <n v="1097.0"/>
        <n v="153.0"/>
        <n v="149.0"/>
        <n v="310.0"/>
        <n v="258.0"/>
        <n v="481.0"/>
        <n v="220.0"/>
        <n v="41.0"/>
        <n v="328.0"/>
        <n v="182.0"/>
        <n v="195.0"/>
        <n v="175.0"/>
        <n v="283.0"/>
        <n v="1736.0"/>
        <n v="36.0"/>
        <n v="602.0"/>
        <n v="915.0"/>
        <n v="259.0"/>
        <n v="656.0"/>
        <n v="373.0"/>
        <n v="341.0"/>
        <n v="704.0"/>
        <n v="527.0"/>
        <n v="226.0"/>
        <n v="451.0"/>
        <n v="781.0"/>
        <n v="178.0"/>
        <n v="482.0"/>
        <n v="186.0"/>
        <n v="460.0"/>
        <n v="552.0"/>
        <n v="392.0"/>
        <n v="619.0"/>
        <n v="238.0"/>
        <n v="116.0"/>
        <n v="1.0"/>
        <n v="266.0"/>
        <n v="112.0"/>
        <n v="158.0"/>
        <n v="329.0"/>
        <n v="408.0"/>
        <n v="282.0"/>
        <n v="1676.0"/>
        <n v="271.0"/>
        <n v="261.0"/>
        <n v="273.0"/>
        <n v="409.0"/>
        <n v="324.0"/>
        <n v="1331.0"/>
        <n v="33.0"/>
        <n v="515.0"/>
        <n v="585.0"/>
        <n v="494.0"/>
        <n v="253.0"/>
        <n v="342.0"/>
        <n v="988.0"/>
        <n v="278.0"/>
        <n v="1832.0"/>
        <n v="312.0"/>
        <n v="352.0"/>
        <n v="801.0"/>
        <n v="612.0"/>
        <n v="532.0"/>
        <n v="168.0"/>
        <n v="28.0"/>
        <n v="265.0"/>
        <n v="511.0"/>
        <n v="403.0"/>
        <n v="63.0"/>
        <n v="628.0"/>
        <n v="313.0"/>
        <n v="300.0"/>
        <n v="1040.0"/>
        <n v="327.0"/>
        <n v="662.0"/>
        <n v="526.0"/>
        <n v="788.0"/>
        <n v="588.0"/>
        <n v="637.0"/>
        <n v="334.0"/>
        <n v="447.0"/>
        <n v="549.0"/>
        <n v="15.0"/>
        <n v="78.0"/>
        <n v="867.0"/>
        <n v="736.0"/>
        <n v="228.0"/>
        <n v="333.0"/>
        <n v="407.0"/>
        <n v="1959.0"/>
        <n v="301.0"/>
        <n v="537.0"/>
        <n v="262.0"/>
        <n v="1390.0"/>
        <n v="700.0"/>
        <n v="305.0"/>
        <n v="35.0"/>
        <n v="340.0"/>
        <n v="367.0"/>
        <n v="184.0"/>
        <n v="152.0"/>
        <n v="97.0"/>
        <n v="2110.0"/>
        <n v="657.0"/>
        <n v="600.0"/>
        <n v="256.0"/>
        <n v="58.0"/>
        <n v="337.0"/>
        <n v="1015.0"/>
        <n v="470.0"/>
        <n v="416.0"/>
        <n v="949.0"/>
        <n v="621.0"/>
        <n v="424.0"/>
        <n v="578.0"/>
        <n v="165.0"/>
        <n v="164.0"/>
        <n v="14.0"/>
        <n v="370.0"/>
        <n v="1641.0"/>
        <n v="546.0"/>
        <n v="9.0"/>
        <n v="869.0"/>
        <n v="19.0"/>
        <n v="314.0"/>
        <n v="243.0"/>
        <n v="472.0"/>
        <n v="856.0"/>
        <n v="437.0"/>
        <n v="332.0"/>
        <n v="1290.0"/>
        <n v="137.0"/>
        <n v="429.0"/>
        <n v="343.0"/>
        <n v="531.0"/>
        <n v="279.0"/>
        <n v="911.0"/>
        <n v="176.0"/>
        <n v="419.0"/>
        <n v="2368.0"/>
        <n v="857.0"/>
        <n v="2012.0"/>
        <n v="311.0"/>
        <n v="215.0"/>
        <n v="363.0"/>
        <n v="43.0"/>
        <n v="1051.0"/>
        <n v="422.0"/>
        <n v="1368.0"/>
        <n v="458.0"/>
        <n v="321.0"/>
        <n v="1624.0"/>
        <n v="368.0"/>
        <n v="107.0"/>
        <n v="7.0"/>
        <n v="791.0"/>
        <n v="731.0"/>
        <n v="384.0"/>
        <n v="703.0"/>
        <n v="518.0"/>
        <n v="391.0"/>
        <n v="1498.0"/>
        <n v="935.0"/>
        <n v="350.0"/>
        <n v="1193.0"/>
        <n v="177.0"/>
        <n v="522.0"/>
        <n v="387.0"/>
        <n v="1441.0"/>
        <n v="2319.0"/>
        <n v="209.0"/>
        <n v="127.0"/>
        <n v="1426.0"/>
        <n v="2.0"/>
        <n v="559.0"/>
        <n v="359.0"/>
        <n v="246.0"/>
        <n v="512.0"/>
        <n v="399.0"/>
        <n v="467.0"/>
        <n v="143.0"/>
        <n v="904.0"/>
        <n v="698.0"/>
        <n v="718.0"/>
        <n v="1191.0"/>
        <n v="1782.0"/>
        <n v="1535.0"/>
        <n v="1206.0"/>
        <n v="80.0"/>
        <n v="1065.0"/>
        <n v="545.0"/>
        <n v="355.0"/>
        <n v="285.0"/>
        <n v="989.0"/>
        <n v="450.0"/>
        <n v="543.0"/>
        <n v="479.0"/>
        <n v="423.0"/>
        <n v="690.0"/>
        <n v="572.0"/>
        <n v="506.0"/>
        <n v="685.0"/>
        <n v="918.0"/>
        <n v="360.0"/>
        <n v="755.0"/>
        <n v="1439.0"/>
        <n v="735.0"/>
        <n v="1382.0"/>
        <n v="193.0"/>
        <n v="421.0"/>
        <n v="397.0"/>
        <n v="362.0"/>
        <n v="200.0"/>
        <n v="57.0"/>
        <n v="389.0"/>
        <n v="795.0"/>
        <n v="357.0"/>
        <n v="364.0"/>
        <n v="445.0"/>
        <n v="2042.0"/>
        <n v="763.0"/>
        <n v="596.0"/>
        <n v="2121.0"/>
        <n v="3286.0"/>
        <n v="1058.0"/>
        <n v="402.0"/>
        <n v="542.0"/>
        <n v="5.0"/>
        <n v="855.0"/>
        <n v="320.0"/>
        <n v="682.0"/>
        <n v="172.0"/>
        <n v="454.0"/>
        <n v="814.0"/>
        <n v="683.0"/>
        <n v="782.0"/>
        <n v="254.0"/>
        <n v="1514.0"/>
        <n v="1017.0"/>
        <n v="251.0"/>
        <n v="1361.0"/>
        <n v="1722.0"/>
        <n v="294.0"/>
        <n v="250.0"/>
        <n v="1053.0"/>
        <n v="919.0"/>
        <n v="2536.0"/>
        <n v="615.0"/>
        <n v="845.0"/>
        <n v="414.0"/>
        <n v="405.0"/>
        <n v="692.0"/>
        <n v="641.0"/>
        <n v="2192.0"/>
        <n v="336.0"/>
        <n v="1108.0"/>
        <n v="244.0"/>
        <n v="613.0"/>
        <n v="1187.0"/>
        <n v="548.0"/>
        <n v="1420.0"/>
        <n v="17.0"/>
        <n v="1413.0"/>
        <n v="902.0"/>
        <n v="899.0"/>
        <n v="319.0"/>
        <n v="985.0"/>
        <n v="377.0"/>
        <n v="335.0"/>
        <n v="849.0"/>
        <n v="234.0"/>
        <n v="514.0"/>
        <n v="669.0"/>
        <n v="805.0"/>
        <n v="807.0"/>
        <n v="1138.0"/>
        <n v="631.0"/>
        <n v="648.0"/>
        <n v="521.0"/>
        <n v="523.0"/>
        <n v="881.0"/>
        <n v="627.0"/>
        <n v="296.0"/>
        <n v="475.0"/>
        <n v="622.0"/>
        <n v="840.0"/>
        <n v="1248.0"/>
        <n v="771.0"/>
        <n v="646.0"/>
        <n v="1437.0"/>
        <n v="773.0"/>
        <n v="433.0"/>
        <n v="466.0"/>
        <n v="824.0"/>
        <n v="836.0"/>
        <n v="722.0"/>
        <n v="2238.0"/>
        <n v="1111.0"/>
        <n v="647.0"/>
        <n v="1594.0"/>
        <n v="674.0"/>
        <n v="330.0"/>
        <n v="410.0"/>
        <n v="864.0"/>
        <n v="672.0"/>
        <n v="604.0"/>
        <n v="658.0"/>
        <n v="978.0"/>
        <n v="474.0"/>
        <n v="198.0"/>
        <n v="372.0"/>
        <n v="267.0"/>
        <n v="753.0"/>
        <n v="452.0"/>
        <n v="1448.0"/>
        <n v="3189.0"/>
        <n v="3018.0"/>
        <n v="1198.0"/>
        <n v="1189.0"/>
        <n v="192.0"/>
        <n v="665.0"/>
        <n v="2528.0"/>
        <n v="591.0"/>
        <n v="555.0"/>
        <n v="536.0"/>
        <n v="533.0"/>
        <n v="293.0"/>
        <n v="1238.0"/>
        <n v="975.0"/>
        <n v="208.0"/>
        <n v="128.0"/>
        <n v="1137.0"/>
        <n v="1473.0"/>
        <n v="738.0"/>
        <n v="815.0"/>
        <n v="944.0"/>
        <n v="124.0"/>
        <n v="280.0"/>
        <n v="720.0"/>
        <n v="1264.0"/>
        <n v="587.0"/>
        <n v="673.0"/>
        <n v="1966.0"/>
        <n v="435.0"/>
        <n v="714.0"/>
        <n v="1100.0"/>
        <n v="780.0"/>
        <n v="2067.0"/>
        <n v="1168.0"/>
        <n v="964.0"/>
        <n v="206.0"/>
        <n v="51.0"/>
        <n v="4667.0"/>
        <n v="468.0"/>
        <n v="1885.0"/>
        <n v="1140.0"/>
        <n v="1367.0"/>
        <n v="724.0"/>
        <n v="1273.0"/>
        <n v="503.0"/>
        <n v="385.0"/>
        <n v="499.0"/>
        <n v="2814.0"/>
        <n v="462.0"/>
        <n v="885.0"/>
        <n v="633.0"/>
        <n v="1106.0"/>
        <n v="4144.0"/>
        <n v="1004.0"/>
        <n v="553.0"/>
        <n v="2105.0"/>
        <n v="1504.0"/>
        <n v="1694.0"/>
        <n v="371.0"/>
        <n v="876.0"/>
        <n v="346.0"/>
        <n v="556.0"/>
        <n v="580.0"/>
        <n v="599.0"/>
        <n v="570.0"/>
        <n v="1588.0"/>
        <n v="303.0"/>
        <n v="951.0"/>
        <n v="550.0"/>
        <n v="589.0"/>
        <n v="701.0"/>
        <n v="338.0"/>
        <n v="625.0"/>
        <n v="643.0"/>
        <n v="710.0"/>
        <n v="3646.0"/>
        <n v="835.0"/>
        <n v="299.0"/>
        <n v="711.0"/>
        <n v="507.0"/>
        <n v="1732.0"/>
        <n v="1509.0"/>
        <n v="3516.0"/>
        <n v="1398.0"/>
        <n v="3597.0"/>
        <n v="799.0"/>
        <n v="1009.0"/>
        <n v="590.0"/>
        <n v="592.0"/>
        <n v="820.0"/>
        <n v="1445.0"/>
        <n v="828.0"/>
        <n v="726.0"/>
        <n v="1401.0"/>
        <n v="751.0"/>
        <n v="2326.0"/>
        <n v="325.0"/>
        <n v="817.0"/>
        <n v="986.0"/>
        <n v="971.0"/>
        <n v="2153.0"/>
        <n v="1171.0"/>
        <n v="916.0"/>
        <n v="504.0"/>
        <n v="1028.0"/>
        <n v="1083.0"/>
        <n v="347.0"/>
        <n v="842.0"/>
        <n v="749.0"/>
        <n v="3054.0"/>
        <n v="412.0"/>
        <n v="1080.0"/>
        <n v="432.0"/>
        <n v="723.0"/>
        <n v="439.0"/>
        <n v="671.0"/>
        <n v="1240.0"/>
        <n v="859.0"/>
        <n v="568.0"/>
        <n v="650.0"/>
        <n v="354.0"/>
        <n v="547.0"/>
        <n v="500.0"/>
        <n v="469.0"/>
        <n v="620.0"/>
        <n v="678.0"/>
        <n v="754.0"/>
        <n v="764.0"/>
        <n v="1023.0"/>
        <n v="484.0"/>
        <n v="706.0"/>
        <n v="858.0"/>
        <n v="786.0"/>
        <n v="789.0"/>
        <n v="400.0"/>
        <n v="1377.0"/>
        <n v="1043.0"/>
        <n v="922.0"/>
        <n v="908.0"/>
        <n v="1690.0"/>
        <n v="888.0"/>
        <n v="974.0"/>
        <n v="395.0"/>
        <n v="1518.0"/>
        <n v="1110.0"/>
        <n v="684.0"/>
        <n v="1243.0"/>
        <n v="1463.0"/>
        <n v="841.0"/>
        <n v="866.0"/>
        <n v="298.0"/>
        <n v="779.0"/>
        <n v="443.0"/>
        <n v="1236.0"/>
        <n v="584.0"/>
        <n v="582.0"/>
        <n v="679.0"/>
        <n v="1101.0"/>
        <n v="1022.0"/>
        <n v="1416.0"/>
        <n v="544.0"/>
        <n v="945.0"/>
        <n v="802.0"/>
        <n v="2047.0"/>
        <n v="747.0"/>
        <n v="386.0"/>
        <n v="577.0"/>
        <n v="696.0"/>
        <n v="605.0"/>
        <n v="776.0"/>
        <n v="862.0"/>
        <n v="4.0"/>
        <n v="903.0"/>
        <n v="1127.0"/>
        <n v="1308.0"/>
        <n v="1527.0"/>
        <n v="645.0"/>
        <n v="428.0"/>
        <n v="900.0"/>
        <n v="734.0"/>
        <n v="741.0"/>
        <n v="541.0"/>
        <n v="1303.0"/>
        <n v="626.0"/>
        <n v="890.0"/>
        <n v="691.0"/>
        <n v="826.0"/>
        <n v="540.0"/>
        <n v="2367.0"/>
        <n v="1912.0"/>
        <n v="478.0"/>
        <n v="809.0"/>
        <n v="586.0"/>
        <n v="8.0"/>
        <n v="798.0"/>
        <n v="413.0"/>
        <n v="1159.0"/>
        <n v="534.0"/>
        <n v="1283.0"/>
        <n v="375.0"/>
        <n v="571.0"/>
        <n v="737.0"/>
        <n v="606.0"/>
        <n v="744.0"/>
        <n v="677.0"/>
        <n v="3400.0"/>
        <n v="1185.0"/>
        <n v="761.0"/>
        <n v="816.0"/>
        <n v="994.0"/>
        <n v="1740.0"/>
        <n v="733.0"/>
        <n v="441.0"/>
        <n v="1344.0"/>
        <n v="1107.0"/>
        <n v="427.0"/>
        <n v="2335.0"/>
        <n v="931.0"/>
        <n v="1066.0"/>
        <n v="493.0"/>
        <n v="535.0"/>
        <n v="2685.0"/>
        <n v="995.0"/>
        <n v="1049.0"/>
        <n v="1571.0"/>
        <n v="379.0"/>
        <n v="453.0"/>
        <n v="2725.0"/>
        <n v="1516.0"/>
        <n v="1262.0"/>
        <n v="1109.0"/>
        <n v="624.0"/>
        <n v="1896.0"/>
        <n v="1067.0"/>
      </sharedItems>
    </cacheField>
    <cacheField name="language" numFmtId="0">
      <sharedItems>
        <s v="English"/>
        <s v="Italian"/>
        <s v="Cantonese"/>
        <s v="Filipino"/>
        <s v="French"/>
        <s v="Hindi"/>
        <s v="Arabic"/>
        <s v="German"/>
        <s v="Japanese"/>
        <s v="Spanish"/>
        <s v="Korean"/>
        <s v="None"/>
        <s v="Aboriginal"/>
        <s v="Persian"/>
        <s v="Portuguese"/>
        <s v="Mandarin"/>
        <s v="Hungarian"/>
        <s v="Icelandic"/>
        <s v="Kazakh"/>
        <s v="Danish"/>
        <s v="Norwegian"/>
        <s v="Thai"/>
        <s v="Telugu"/>
        <s v="Indonesian"/>
        <s v="Dutch"/>
        <s v="Aramaic"/>
        <s v="Dzongkha"/>
        <s v="Bosnian"/>
        <s v="Dari"/>
        <s v="Russian"/>
        <s v="Swedish"/>
        <s v="Mongolian"/>
        <s v="Zulu"/>
        <s v="Maya"/>
        <s v="Czech"/>
        <s v="Vietnamese"/>
        <s v="Hebrew"/>
      </sharedItems>
    </cacheField>
    <cacheField name="country" numFmtId="0">
      <sharedItems>
        <s v="USA"/>
        <s v="Italy"/>
        <s v="UK"/>
        <s v="Australia"/>
        <s v="Hong Kong"/>
        <s v="Germany"/>
        <s v="China"/>
        <s v="Ireland"/>
        <s v="France"/>
        <s v="Canada"/>
        <s v="India"/>
        <s v="New Zealand"/>
        <s v="Spain"/>
        <s v="Japan"/>
        <s v="South Korea"/>
        <s v="Mexico"/>
        <s v="Belgium"/>
        <s v="Argentina"/>
        <s v="Iran"/>
        <s v="Brazil"/>
        <s v="Iceland"/>
        <s v="Taiwan"/>
        <s v="Hungary"/>
        <s v="Denmark"/>
        <s v="Finland"/>
        <s v="South Africa"/>
        <s v="Greece"/>
        <s v="Norway"/>
        <s v="Thailand"/>
        <s v="Philippines"/>
        <s v="Indonesia"/>
        <s v="Netherlands"/>
        <s v="Poland"/>
        <s v="Czech Republic"/>
        <s v="Colombia"/>
        <s v="Afghanistan"/>
        <s v="Official site"/>
        <s v="Russia"/>
        <s v="Peru"/>
        <s v="Sweden"/>
        <s v="Georgia"/>
        <s v="Chile"/>
        <s v="New Line"/>
        <s v="West Germany"/>
        <s v="Romania"/>
        <s v="Aruba"/>
        <s v="Israel"/>
      </sharedItems>
    </cacheField>
    <cacheField name="budget" numFmtId="164">
      <sharedItems containsSemiMixedTypes="0" containsString="0" containsNumber="1" containsInteger="1">
        <n v="4.0E7"/>
        <n v="1.05E8"/>
        <n v="2.8E7"/>
        <n v="200000.0"/>
        <n v="3.1E7"/>
        <n v="5.6E7"/>
        <n v="8000000.0"/>
        <n v="4.8E7"/>
        <n v="3.0E7"/>
        <n v="3.3E7"/>
        <n v="9.2E7"/>
        <n v="5000000.0"/>
        <n v="1.0E8"/>
        <n v="1000000.0"/>
        <n v="1.4E7"/>
        <n v="2.3E7"/>
        <n v="500000.0"/>
        <n v="2.7E7"/>
        <n v="3.6E7"/>
        <n v="3700000.0"/>
        <n v="2.5E7"/>
        <n v="7000000.0"/>
        <n v="4500000.0"/>
        <n v="4.5E7"/>
        <n v="1800000.0"/>
        <n v="3.5E7"/>
        <n v="1.2E8"/>
        <n v="9000000.0"/>
        <n v="2.4E7"/>
        <n v="1.5E8"/>
        <n v="8.0E7"/>
        <n v="1.85E7"/>
        <n v="7.5E7"/>
        <n v="1.8E7"/>
        <n v="2.2E7"/>
        <n v="350000.0"/>
        <n v="6000000.0"/>
        <n v="1.17E8"/>
        <n v="1.06E7"/>
        <n v="1.6E7"/>
        <n v="1.15E7"/>
        <n v="1.44E8"/>
        <n v="6.8E7"/>
        <n v="1.0E7"/>
        <n v="6.0E7"/>
        <n v="3.2E7"/>
        <n v="5.7E7"/>
        <n v="160000.0"/>
        <n v="2000000.0"/>
        <n v="1.6E8"/>
        <n v="2.0E7"/>
        <n v="8.5E7"/>
        <n v="5.5E7"/>
        <n v="1.25E7"/>
        <n v="2.25E8"/>
        <n v="100000.0"/>
        <n v="8200000.0"/>
        <n v="1.7E7"/>
        <n v="1.5E7"/>
        <n v="8.2E7"/>
        <n v="6.5E7"/>
        <n v="5.0E7"/>
        <n v="1300000.0"/>
        <n v="2.6E7"/>
        <n v="1.75E8"/>
        <n v="4.6E7"/>
        <n v="3000000.0"/>
        <n v="3500000.0"/>
        <n v="6.95E7"/>
        <n v="7.7E7"/>
        <n v="1.64E7"/>
        <n v="6.6E7"/>
        <n v="1900000.0"/>
        <n v="2.15E7"/>
        <n v="1.3E7"/>
        <n v="1.03E8"/>
        <n v="8.4E7"/>
        <n v="1.1E7"/>
        <n v="7.0E7"/>
        <n v="8500000.0"/>
        <n v="1650000.0"/>
        <n v="1.3E8"/>
        <n v="9.0E7"/>
        <n v="4700000.0"/>
        <n v="1.8E8"/>
        <n v="1.4E8"/>
        <n v="1.65E8"/>
        <n v="1.2E7"/>
        <n v="4000000.0"/>
        <n v="7.15E7"/>
        <n v="2.115E7"/>
        <n v="2500000.0"/>
        <n v="6.3E7"/>
        <n v="1.35E7"/>
        <n v="1.1E8"/>
        <n v="600000.0"/>
        <n v="9.5E7"/>
        <n v="2.07E8"/>
        <n v="65000.0"/>
        <n v="2.5E8"/>
        <n v="9.4E7"/>
        <n v="2700000.0"/>
        <n v="4.7E7"/>
        <n v="900000.0"/>
        <n v="1.135E7"/>
        <n v="8.8E7"/>
        <n v="3.8E7"/>
        <n v="1.65E7"/>
        <n v="2600000.0"/>
        <n v="1.35E8"/>
        <n v="3.4E7"/>
        <n v="4.3E7"/>
        <n v="850000.0"/>
        <n v="1.25E8"/>
        <n v="7.8E7"/>
        <n v="7200000.0"/>
        <n v="2800000.0"/>
        <n v="1.32E8"/>
        <n v="2.1E7"/>
        <n v="9400000.0"/>
        <n v="2.58E8"/>
        <n v="218.0"/>
        <n v="4900000.0"/>
        <n v="1.98E7"/>
        <n v="1.9E7"/>
        <n v="5.4E7"/>
        <n v="8400000.0"/>
        <n v="1500000.0"/>
        <n v="1.1E9"/>
        <n v="400000.0"/>
        <n v="1.940087E7"/>
        <n v="250000.0"/>
        <n v="800000.0"/>
        <n v="1.32E7"/>
        <n v="4.2E7"/>
        <n v="2.75E7"/>
        <n v="1.45E8"/>
        <n v="6.9E7"/>
        <n v="5.2E7"/>
        <n v="6500000.0"/>
        <n v="1.33E8"/>
        <n v="3.9E8"/>
        <n v="609000.0"/>
        <n v="5500000.0"/>
        <n v="2.3E8"/>
        <n v="2.0E8"/>
        <n v="9.3E7"/>
        <n v="1.14E7"/>
        <n v="225000.0"/>
        <n v="2.9E7"/>
        <n v="7217600.0"/>
        <n v="3.15E7"/>
        <n v="5.3E7"/>
        <n v="1.7E8"/>
        <n v="1.46E7"/>
        <n v="4800000.0"/>
        <n v="5.1E7"/>
        <n v="5.8E7"/>
        <n v="560000.0"/>
        <n v="7500000.0"/>
        <n v="10000.0"/>
        <n v="7.6E7"/>
        <n v="1.75E7"/>
        <n v="1750211.0"/>
        <n v="180000.0"/>
        <n v="6900000.0"/>
        <n v="1.02E8"/>
        <n v="229575.0"/>
        <n v="7.0E8"/>
        <n v="2.15E8"/>
        <n v="806947.0"/>
        <n v="6800000.0"/>
        <n v="1.37E8"/>
        <n v="5300000.0"/>
        <n v="8.7E7"/>
        <n v="930000.0"/>
        <n v="70000.0"/>
        <n v="1.55E8"/>
        <n v="890000.0"/>
        <n v="14000.0"/>
        <n v="3600000.0"/>
        <n v="8900000.0"/>
        <n v="2400000.0"/>
        <n v="4.4E7"/>
        <n v="9500000.0"/>
        <n v="4.1E7"/>
        <n v="1.05E7"/>
        <n v="2200000.0"/>
        <n v="3800000.0"/>
        <n v="40000.0"/>
        <n v="750000.0"/>
        <n v="7900000.0"/>
        <n v="6.4E7"/>
        <n v="2100000.0"/>
        <n v="1.39E8"/>
        <n v="1.85E8"/>
        <n v="2.5E9"/>
        <n v="7.2E7"/>
        <n v="1.07E7"/>
        <n v="3300000.0"/>
        <n v="6.0E8"/>
        <n v="2883848.0"/>
        <n v="7.1E7"/>
        <n v="300000.0"/>
        <n v="5.25E7"/>
        <n v="1200000.0"/>
        <n v="1.56E7"/>
        <n v="34000.0"/>
        <n v="6.1E7"/>
        <n v="5.9E7"/>
        <n v="1400000.0"/>
        <n v="1700000.0"/>
        <n v="1.943E7"/>
        <n v="1066167.0"/>
        <n v="3.7E7"/>
        <n v="825000.0"/>
        <n v="5600000.0"/>
        <n v="9000.0"/>
        <n v="7300000.0"/>
        <n v="1.28E7"/>
        <n v="1.45E7"/>
        <n v="3850000.0"/>
        <n v="8.12E7"/>
        <n v="9800000.0"/>
        <n v="1.13E8"/>
        <n v="3.9E7"/>
        <n v="960000.0"/>
        <n v="700000.0"/>
        <n v="1.2305523E7"/>
        <n v="439000.0"/>
        <n v="2.2E8"/>
        <n v="4.9E7"/>
        <n v="1.275E8"/>
        <n v="1.15E8"/>
        <n v="6.2E7"/>
        <n v="1.16E8"/>
        <n v="2.27E7"/>
        <n v="650000.0"/>
        <n v="1.26E8"/>
        <n v="450000.0"/>
        <n v="9.9E7"/>
        <n v="2.1E8"/>
        <n v="4500.0"/>
        <n v="1250000.0"/>
        <n v="2.127519898E9"/>
        <n v="1.99E7"/>
        <n v="7.9E7"/>
        <n v="2.55E7"/>
        <n v="4.0E8"/>
        <n v="60000.0"/>
        <n v="4.45E7"/>
        <n v="1.95E8"/>
        <n v="375000.0"/>
        <n v="1.08E7"/>
        <n v="270000.0"/>
        <n v="7000.0"/>
        <n v="1.49E8"/>
        <n v="3.25E7"/>
        <n v="1100000.0"/>
        <n v="1.8026148E7"/>
        <n v="1.09E8"/>
        <n v="1.77E7"/>
        <n v="2.553E7"/>
        <n v="1.38E7"/>
        <n v="7.3E7"/>
        <n v="1.78E8"/>
        <n v="1.9E8"/>
        <n v="312000.0"/>
        <n v="25000.0"/>
        <n v="15000.0"/>
        <n v="3.1115E7"/>
        <n v="9600000.0"/>
        <n v="3.0E8"/>
        <n v="1600000.0"/>
        <n v="5.966E7"/>
        <n v="5.02E7"/>
        <n v="2.35E7"/>
        <n v="3.92E7"/>
        <n v="2.78E7"/>
        <n v="1.0E9"/>
        <n v="2.36E7"/>
        <n v="3768785.0"/>
        <n v="2.4E9"/>
        <n v="2.637E8"/>
        <n v="5.53632E8"/>
        <n v="1.55E7"/>
        <n v="1.12E8"/>
        <n v="8550000.0"/>
        <n v="1.27E8"/>
        <n v="1.19E7"/>
        <n v="3.025E7"/>
        <n v="23000.0"/>
        <n v="6400000.0"/>
        <n v="42000.0"/>
        <n v="6200000.0"/>
        <n v="46000.0"/>
        <n v="2.09E8"/>
        <n v="6600000.0"/>
        <n v="5250000.0"/>
        <n v="5.88E7"/>
        <n v="780000.0"/>
        <n v="3.86E7"/>
        <n v="2.37E8"/>
        <n v="1.48E7"/>
        <n v="4200000.0"/>
        <n v="3200000.0"/>
        <n v="8600000.0"/>
        <n v="150000.0"/>
        <n v="2.25E7"/>
        <n v="1.44E7"/>
        <n v="1.58E7"/>
        <n v="1.08E8"/>
        <n v="210000.0"/>
        <n v="2450000.0"/>
        <n v="1.07E8"/>
        <n v="3500159.0"/>
        <n v="1100.0"/>
        <n v="2.6E8"/>
        <n v="7.4E7"/>
        <n v="8.6E7"/>
        <n v="8800000.0"/>
        <n v="3.52E7"/>
        <n v="365000.0"/>
        <n v="2900000.0"/>
        <n v="1.76E8"/>
        <n v="2300000.0"/>
        <n v="8495000.0"/>
        <n v="8700000.0"/>
        <n v="1.0818775E7"/>
        <n v="1.94E7"/>
        <n v="1.23E8"/>
        <n v="9.8E7"/>
        <n v="83532.0"/>
        <n v="230000.0"/>
        <n v="1.26E7"/>
        <n v="1.34E7"/>
        <n v="8.1E7"/>
        <n v="2280000.0"/>
        <n v="4.99E7"/>
        <n v="8.445E7"/>
        <n v="1.53E7"/>
        <n v="3400000.0"/>
        <n v="777000.0"/>
        <n v="379000.0"/>
        <n v="1.42E8"/>
        <n v="910000.0"/>
        <n v="2.45E8"/>
        <n v="1592000.0"/>
        <n v="5.01E7"/>
        <n v="2.51E7"/>
      </sharedItems>
    </cacheField>
    <cacheField name="profit" numFmtId="164">
      <sharedItems containsSemiMixedTypes="0" containsString="0" containsNumber="1" containsInteger="1">
        <n v="1.7011847E7"/>
        <n v="0.0"/>
        <n v="3.6371181E7"/>
        <n v="3300000.0"/>
        <n v="1.3983704E7"/>
        <n v="9.993E7"/>
        <n v="1.5169908E7"/>
        <n v="1.6638745E7"/>
        <n v="8269963.0"/>
        <n v="7468807.0"/>
        <n v="485341.0"/>
        <n v="4768374.0"/>
        <n v="3.5026631E7"/>
        <n v="1.5618786E7"/>
        <n v="7.67E7"/>
        <n v="2.4705E7"/>
        <n v="2.7049108E7"/>
        <n v="1167270.0"/>
        <n v="8.2831698E7"/>
        <n v="6.67E7"/>
        <n v="4.2057639E7"/>
        <n v="2.9483949E7"/>
        <n v="3650000.0"/>
        <n v="1.1560085E7"/>
        <n v="1.1454968E7"/>
        <n v="5334024.0"/>
        <n v="2.9982968E7"/>
        <n v="2.32523113E8"/>
        <n v="1.9392418E7"/>
        <n v="1.4058698E7"/>
        <n v="701088.0"/>
        <n v="1.9219978E7"/>
        <n v="2.5794166E7"/>
        <n v="2.36437427E8"/>
        <n v="6546368.0"/>
        <n v="1.60706665E8"/>
        <n v="6.006914E7"/>
        <n v="6.0050171E7"/>
        <n v="3.2144465E7"/>
        <n v="2.8462534E7"/>
        <n v="4.9566871E7"/>
        <n v="1.0074663E7"/>
        <n v="4.6530738E7"/>
        <n v="1.55014286E8"/>
        <n v="9284475.0"/>
        <n v="1.97E7"/>
        <n v="1797066.0"/>
        <n v="1.5259652E7"/>
        <n v="2.056623E7"/>
        <n v="2.8771072E7"/>
        <n v="3.686803E7"/>
        <n v="8096053.0"/>
        <n v="9.2012643E7"/>
        <n v="5682070.0"/>
        <n v="1.0193873E8"/>
        <n v="2.3237389E7"/>
        <n v="3.1517441E7"/>
        <n v="1.87645141E8"/>
        <n v="5920167.0"/>
        <n v="1.3218041E7"/>
        <n v="670712.0"/>
        <n v="8.4031112E7"/>
        <n v="6793213.0"/>
        <n v="2.86471036E8"/>
        <n v="8.0805112E7"/>
        <n v="7.7121452E7"/>
        <n v="5239376.0"/>
        <n v="4.505694E7"/>
        <n v="1.41616238E8"/>
        <n v="3.8815117E7"/>
        <n v="9.4852971E7"/>
        <n v="1.4129186E7"/>
        <n v="8830000.0"/>
        <n v="1.09731527E8"/>
        <n v="1.51870271E8"/>
        <n v="1.2652036E7"/>
        <n v="2.6423726E7"/>
        <n v="2.7919096E7"/>
        <n v="7.9460116E7"/>
        <n v="1.3883359E7"/>
        <n v="1.9068786E7"/>
        <n v="794341.0"/>
        <n v="2361537.0"/>
        <n v="1.23795342E8"/>
        <n v="6.0000942E7"/>
        <n v="2.5064955E7"/>
        <n v="3.0227069E7"/>
        <n v="6.5832203E7"/>
        <n v="1.46119491E8"/>
        <n v="2.07E7"/>
        <n v="2.1704396E7"/>
        <n v="2667015.0"/>
        <n v="6.1407328E7"/>
        <n v="1.31492479E8"/>
        <n v="1.00315155E8"/>
        <n v="5.8539855E7"/>
        <n v="2.045E7"/>
        <n v="1335839.0"/>
        <n v="2.079316E7"/>
        <n v="2.9667095E7"/>
        <n v="5.700688E7"/>
        <n v="4.7356221E7"/>
        <n v="4.0566004E7"/>
        <n v="7.2656464E7"/>
        <n v="3.003378E7"/>
        <n v="4440119.0"/>
        <n v="8297830.0"/>
        <n v="1.3435068E7"/>
        <n v="7236496.0"/>
        <n v="3.4244877E7"/>
        <n v="2.1882551E7"/>
        <n v="7678089.0"/>
        <n v="1.3230435E7"/>
        <n v="1.105126E7"/>
        <n v="1.1464368E7"/>
        <n v="1.4281235E7"/>
        <n v="1.9691811E7"/>
        <n v="5.195698E7"/>
        <n v="5.4195633E7"/>
        <n v="2.46478898E8"/>
        <n v="2094451.0"/>
        <n v="3.8697449E7"/>
        <n v="8.697884E7"/>
        <n v="2501651.0"/>
        <n v="4.7541E7"/>
        <n v="1.3717E8"/>
        <n v="4.5000874E7"/>
        <n v="3.2066497E7"/>
        <n v="5801344.0"/>
        <n v="2354988.0"/>
        <n v="6805534.0"/>
        <n v="7.6115031E7"/>
        <n v="1.416808E7"/>
        <n v="4659817.0"/>
        <n v="3.0618403E7"/>
        <n v="1.8037513E7"/>
        <n v="2.0033643E7"/>
        <n v="1.9179516E7"/>
        <n v="5.0353764E7"/>
        <n v="2.62E7"/>
        <n v="8.17E7"/>
        <n v="5.1889948E7"/>
        <n v="4.2343675E7"/>
        <n v="1.11175354E8"/>
        <n v="5566327.0"/>
        <n v="3422650.0"/>
        <n v="2.53501675E8"/>
        <n v="2.4244684E7"/>
        <n v="8768623.0"/>
        <n v="1.9489752E7"/>
        <n v="1.3257E7"/>
        <n v="7055248.0"/>
        <n v="4.1793567E7"/>
        <n v="3.66E7"/>
        <n v="4.49935665E8"/>
        <n v="5911876.0"/>
        <n v="7168.0"/>
        <n v="5222640.0"/>
        <n v="1.7272306E7"/>
        <n v="1.02277056E8"/>
        <n v="4104113.0"/>
        <n v="3.69E7"/>
        <n v="7.8530303E7"/>
        <n v="1.32568851E8"/>
        <n v="591796.0"/>
        <n v="5.1636016E7"/>
        <n v="6.8413606E7"/>
        <n v="4.5276912E7"/>
        <n v="6.587124E7"/>
        <n v="3.1008288E7"/>
        <n v="1.3552429E7"/>
        <n v="3.28E7"/>
        <n v="2.57E7"/>
        <n v="2.1500105E7"/>
        <n v="3.3307796E7"/>
        <n v="5667084.0"/>
        <n v="9688384.0"/>
        <n v="8758465.0"/>
        <n v="3330342.0"/>
        <n v="7.4769345E7"/>
        <n v="279017.0"/>
        <n v="1.5989008E7"/>
        <n v="1.0028592E7"/>
        <n v="7.5241322E7"/>
        <n v="4531491.0"/>
        <n v="5802596.0"/>
        <n v="2.6676606E7"/>
        <n v="1.65388685E8"/>
        <n v="1.7007184E7"/>
        <n v="1289999.0"/>
        <n v="4604054.0"/>
        <n v="2.6638165E7"/>
        <n v="1.0889913E8"/>
        <n v="3767324.0"/>
        <n v="7997095.0"/>
        <n v="3.50033E7"/>
        <n v="2.3511038E7"/>
        <n v="2.8826569E7"/>
        <n v="865931.0"/>
        <n v="8818967.0"/>
        <n v="2.08991599E8"/>
        <n v="1.5542421E7"/>
        <n v="1.6370001E7"/>
        <n v="1.468E7"/>
        <n v="1.92447E7"/>
        <n v="1.56E7"/>
        <n v="3.9343632E7"/>
        <n v="2270647.0"/>
        <n v="4.1593527E7"/>
        <n v="4.5856565E7"/>
        <n v="1.1447959E7"/>
        <n v="4.8635922E7"/>
        <n v="6003149.0"/>
        <n v="4.582094E7"/>
        <n v="8.28E7"/>
        <n v="5429707.0"/>
        <n v="2.7879132E7"/>
        <n v="3.9816662E7"/>
        <n v="9100000.0"/>
        <n v="1.12435221E8"/>
        <n v="1.7303237E7"/>
        <n v="9546543.0"/>
        <n v="5.8011073E7"/>
        <n v="7.6028097E7"/>
        <n v="4.5776832E7"/>
        <n v="4.8200832E7"/>
        <n v="6.6317423E7"/>
        <n v="1.5370763E7"/>
        <n v="1.744218E7"/>
        <n v="3.3375151E7"/>
        <n v="3971000.0"/>
        <n v="3.92663E7"/>
        <n v="2.0169068E7"/>
        <n v="1.36138454E8"/>
        <n v="7015224.0"/>
        <n v="7.3548685E7"/>
        <n v="2.4048637E7"/>
        <n v="3909616.0"/>
        <n v="3.8658172E7"/>
        <n v="1.268367E7"/>
        <n v="2.436353E7"/>
        <n v="2.93784E8"/>
        <n v="7.9218018E7"/>
        <n v="2.6087161E7"/>
        <n v="2391000.0"/>
        <n v="1.659783E7"/>
        <n v="9.170421E7"/>
        <n v="1014398.0"/>
        <n v="8694528.0"/>
        <n v="4.7308367E7"/>
        <n v="1.9155435E7"/>
        <n v="1.40863268E8"/>
        <n v="5.1270454E7"/>
        <n v="6671475.0"/>
        <n v="2.6963967E7"/>
        <n v="1549702.0"/>
        <n v="8631221.0"/>
        <n v="4738570.0"/>
        <n v="1.3324946E7"/>
        <n v="1.541E8"/>
        <n v="1.62208848E8"/>
        <n v="1.22833357E8"/>
        <n v="3.2030663E7"/>
        <n v="4.3625922E7"/>
        <n v="4.3347242E7"/>
        <n v="5.9006721E7"/>
        <n v="1.4008741E7"/>
        <n v="5.3668525E7"/>
        <n v="1.07704099E8"/>
        <n v="6.560336E7"/>
        <n v="2348123.0"/>
        <n v="3.5468793E7"/>
        <n v="1.49171806E8"/>
        <n v="1.0802315E7"/>
        <n v="1.98130642E8"/>
        <n v="4.2373442E7"/>
        <n v="3383834.0"/>
        <n v="1.3302927E8"/>
        <n v="2.20837577E8"/>
        <n v="4.1573085E7"/>
        <n v="1.8758599E7"/>
        <n v="2713208.0"/>
        <n v="5.2572496E7"/>
        <n v="8.7559438E7"/>
        <n v="1.3154431E7"/>
        <n v="8432823.0"/>
        <n v="2.1041732E7"/>
        <n v="1459004.0"/>
        <n v="4.73E7"/>
        <n v="8336565.0"/>
        <n v="1.8167424E7"/>
        <n v="7.18E7"/>
        <n v="5.0328194E7"/>
        <n v="224196.0"/>
        <n v="4.9001297E7"/>
        <n v="1.63130696E8"/>
        <n v="8.7620724E7"/>
        <n v="4.2792677E7"/>
        <n v="3.7536959E7"/>
        <n v="2.5916903E7"/>
        <n v="5.6306973E7"/>
        <n v="259297.0"/>
        <n v="2.2133888E7"/>
        <n v="3.9567722E7"/>
        <n v="1.0985501E7"/>
        <n v="1.06573705E8"/>
        <n v="3.2356857E7"/>
        <n v="1.7603594E7"/>
        <n v="2.5601508E7"/>
        <n v="8168741.0"/>
        <n v="9881000.0"/>
        <n v="4.4715371E7"/>
        <n v="3.90526E7"/>
        <n v="7277055.0"/>
        <n v="203020.0"/>
        <n v="1.17979556E8"/>
        <n v="5.2100855E7"/>
        <n v="2.8328558E7"/>
        <n v="5.2245055E7"/>
        <n v="1.1421314E7"/>
        <n v="4.0752337E7"/>
        <n v="9.9093296E7"/>
        <n v="1.140747E7"/>
        <n v="3057024.0"/>
        <n v="3.3536011E7"/>
        <n v="1.0332737E7"/>
        <n v="2.3779955E7"/>
        <n v="2307550.0"/>
        <n v="8.9214072E7"/>
        <n v="8115878.0"/>
        <n v="663780.0"/>
        <n v="6.5457688E7"/>
        <n v="1.2000688E7"/>
        <n v="2.5517854E7"/>
        <n v="1.2734552E7"/>
        <n v="2900000.0"/>
        <n v="4927390.0"/>
        <n v="2154410.0"/>
        <n v="5972900.0"/>
        <n v="1.1655665E7"/>
        <n v="9257933.0"/>
        <n v="1093039.0"/>
        <n v="4.4787599E7"/>
        <n v="2.1185897E7"/>
        <n v="3.2808615E7"/>
        <n v="5.1324422E7"/>
        <n v="1.53483808E8"/>
        <n v="5012990.0"/>
        <n v="5.5416609E7"/>
        <n v="3786715.0"/>
        <n v="4.8693523E7"/>
        <n v="3.0014112E7"/>
        <n v="3208190.0"/>
        <n v="1.44613391E8"/>
        <n v="999622.0"/>
        <n v="1.0651231E8"/>
        <n v="1.8645546E7"/>
        <n v="4.6159365E7"/>
        <n v="1.98032628E8"/>
        <n v="1.31963328E8"/>
        <n v="2.5605492E7"/>
        <n v="3.2811275E7"/>
        <n v="2.4412677E7"/>
        <n v="1.2369573E7"/>
        <n v="2828771.0"/>
        <n v="1.8043505E7"/>
        <n v="3.5010106E7"/>
        <n v="2.2101E7"/>
        <n v="5000377.0"/>
        <n v="6.3313048E7"/>
        <n v="1.0474107E7"/>
        <n v="1239558.0"/>
        <n v="4.1489425E7"/>
        <n v="6.8488329E7"/>
        <n v="1.9903076E7"/>
        <n v="241395.0"/>
        <n v="2237244.0"/>
        <n v="1.27E7"/>
        <n v="7.9175854E7"/>
        <n v="2214255.0"/>
        <n v="1.0154426E7"/>
        <n v="7034272.0"/>
        <n v="2.03E7"/>
        <n v="3.1193053E7"/>
        <n v="2.4001218E7"/>
        <n v="1.3240988E7"/>
        <n v="3.8192114E7"/>
        <n v="2.752833E7"/>
        <n v="2.2176108E7"/>
        <n v="2.7453345E7"/>
        <n v="2.0911262E7"/>
        <n v="9.8614544E7"/>
        <n v="1.34185206E8"/>
        <n v="2.2931301E7"/>
        <n v="7397469.0"/>
        <n v="9008928.0"/>
        <n v="2.3585416E7"/>
        <n v="9284657.0"/>
        <n v="3.29999255E8"/>
        <n v="1.3515786E7"/>
        <n v="9.6248145E7"/>
        <n v="2173190.0"/>
        <n v="2774834.0"/>
        <n v="3.2962333E7"/>
        <n v="2.67761243E8"/>
        <n v="4.5969179E7"/>
        <n v="1.439975E7"/>
        <n v="2323044.0"/>
        <n v="2.2296514E7"/>
        <n v="6.5771527E7"/>
        <n v="4.7715416E7"/>
        <n v="9843379.0"/>
        <n v="3825820.0"/>
        <n v="3292105.0"/>
        <n v="3092822.0"/>
        <n v="4.838378E7"/>
        <n v="8350177.0"/>
        <n v="3331103.0"/>
        <n v="5.2165546E7"/>
        <n v="3.4706988E7"/>
        <n v="5.0608545E7"/>
        <n v="5927406.0"/>
        <n v="2.7887943E7"/>
        <n v="2.52E8"/>
        <n v="1.756744E7"/>
        <n v="2.0651422E7"/>
        <n v="1.8143332E7"/>
        <n v="4.6806312E7"/>
        <n v="1.23947053E8"/>
        <n v="9.7637474E7"/>
        <n v="9901126.0"/>
        <n v="2.174757E7"/>
        <n v="7168445.0"/>
        <n v="4.7676582E7"/>
        <n v="2.0700247E7"/>
        <n v="7.620332E7"/>
        <n v="3.765E7"/>
        <n v="7.5724075E7"/>
        <n v="1.2515793E7"/>
        <n v="1.19019489E8"/>
        <n v="4300302.0"/>
        <n v="6153600.0"/>
        <n v="1.7226474E7"/>
        <n v="6.142365E7"/>
        <n v="1.4551E7"/>
        <n v="3614488.0"/>
        <n v="3.6121934E7"/>
        <n v="4.3906114E7"/>
        <n v="1.3696761E7"/>
        <n v="2.28E7"/>
        <n v="6.1807667E7"/>
        <n v="2.3745923E7"/>
        <n v="1.13067808E8"/>
        <n v="8.3243478E7"/>
        <n v="3.1134898E7"/>
        <n v="8.8001286E7"/>
        <n v="6.1793915E7"/>
        <n v="2.202174E7"/>
        <n v="513940.0"/>
        <n v="9.9007828E7"/>
        <n v="2.2360069E7"/>
        <n v="9278980.0"/>
        <n v="747724.0"/>
        <n v="1885134.0"/>
        <n v="2.3E7"/>
        <n v="1.9138847E7"/>
        <n v="237233.0"/>
        <n v="1.0116191E7"/>
        <n v="1.7823573E7"/>
        <n v="2.7061228E7"/>
        <n v="3.026934E7"/>
        <n v="1.2668906E7"/>
        <n v="2.31124059E8"/>
        <n v="5998709.0"/>
        <n v="1.1571351E7"/>
        <n v="1.61781728E8"/>
        <n v="3.1094903E7"/>
        <n v="2.6624E7"/>
        <n v="5.02177271E8"/>
        <n v="5.7231524E7"/>
        <n v="2.155E7"/>
        <n v="2.3343413E7"/>
        <n v="264487.0"/>
        <n v="4.5607673E7"/>
        <n v="1.32575E7"/>
        <n v="5.5014842E7"/>
        <n v="7200000.0"/>
        <n v="5.2360285E7"/>
        <n v="1.7721635E7"/>
        <n v="1.00175871E8"/>
        <n v="1.8386128E7"/>
        <n v="1.4421271E7"/>
        <n v="4.7008303E7"/>
        <n v="8.4670866E7"/>
        <n v="3.84E7"/>
        <n v="2.64706375E8"/>
        <n v="4.02932E7"/>
        <n v="5734486.0"/>
        <n v="1483540.0"/>
        <n v="5917210.0"/>
        <n v="4.7666629E7"/>
        <n v="1.32011114E8"/>
        <n v="825638.0"/>
        <n v="2.1457409E7"/>
        <n v="3.5910583E7"/>
        <n v="1.43630478E8"/>
        <n v="3.2266306E7"/>
        <n v="8.001174E7"/>
        <n v="8699684.0"/>
        <n v="3.012762E7"/>
        <n v="6.59E7"/>
        <n v="4.8057348E7"/>
        <n v="7.7334374E7"/>
        <n v="1.3955614E7"/>
        <n v="8031620.0"/>
        <n v="2.7469602E7"/>
        <n v="3.7541683E7"/>
        <n v="5.42E7"/>
        <n v="6.4518155E7"/>
        <n v="2.9948113E7"/>
        <n v="1.03620822E8"/>
        <n v="9792000.0"/>
        <n v="7544812.0"/>
        <n v="1.9995817E7"/>
        <n v="3.8950483E7"/>
        <n v="4.5255243E7"/>
        <n v="1.61796233E8"/>
        <n v="1.04360277E8"/>
        <n v="3.620792E7"/>
        <n v="2.2116152E7"/>
        <n v="1.36564E7"/>
        <n v="6.9049418E7"/>
        <n v="2929123.0"/>
        <n v="6.2804648E7"/>
        <n v="2060184.0"/>
        <n v="2903262.0"/>
        <n v="4.630976E7"/>
        <n v="5.5072454E7"/>
        <n v="8.2528646E7"/>
        <n v="4059537.0"/>
        <n v="4479776.0"/>
        <n v="3.7063889E7"/>
        <n v="3.0836296E7"/>
        <n v="4886369.0"/>
        <n v="5.5768056E7"/>
        <n v="2.6372293E7"/>
        <n v="3.7257433E7"/>
        <n v="3821335.0"/>
        <n v="2.0291815E7"/>
        <n v="9.0397307E7"/>
        <n v="5.2925609E7"/>
        <n v="1.0247512E7"/>
        <n v="299658.0"/>
        <n v="1062898.0"/>
        <n v="1.6197315E7"/>
        <n v="1.6583369E7"/>
        <n v="2.9484168E7"/>
        <n v="5.33E7"/>
        <n v="8.1749884E7"/>
        <n v="1.5581633E7"/>
        <n v="5.7153533E7"/>
        <n v="6.4364921E7"/>
        <n v="1.17387405E8"/>
        <n v="5.165143E7"/>
        <n v="3.6360018E7"/>
        <n v="7580895.0"/>
        <n v="3.349156E7"/>
        <n v="2.507366E8"/>
        <n v="1.6472057E7"/>
        <n v="3.7696176E7"/>
        <n v="5.326901E7"/>
        <n v="243649.0"/>
        <n v="1.4857814E7"/>
        <n v="4.67E7"/>
        <n v="1.68759914E8"/>
        <n v="7.1244774E7"/>
        <n v="9851591.0"/>
        <n v="8.663131E7"/>
        <n v="5292381.0"/>
        <n v="1.0854896E7"/>
        <n v="2.0306281E7"/>
        <n v="1.54449475E8"/>
        <n v="7.836E7"/>
        <n v="9370057.0"/>
        <n v="3600000.0"/>
        <n v="1.2676062E7"/>
        <n v="2.6466372E7"/>
        <n v="2.1836394E7"/>
        <n v="2.1097664E7"/>
        <n v="4.5623128E7"/>
        <n v="2.8423368E7"/>
        <n v="4.1149655E7"/>
        <n v="3.1838728E7"/>
        <n v="1.4302097E7"/>
        <n v="5.5149435E7"/>
        <n v="6.7340146E7"/>
        <n v="1.9397498E7"/>
        <n v="2.293713E7"/>
        <n v="8.6546825E7"/>
        <n v="2.909964E7"/>
        <n v="8.5395021E7"/>
        <n v="2.6533608E7"/>
        <n v="1.3987576E8"/>
        <n v="8.35E7"/>
        <n v="2.02076689E8"/>
        <n v="2.5670855E7"/>
        <n v="8089926.0"/>
        <n v="1.7829818E8"/>
        <n v="347780.0"/>
        <n v="1.6874745E7"/>
        <n v="4.6637947E7"/>
        <n v="5.0191634E7"/>
        <n v="3.143116E7"/>
        <n v="455447.0"/>
        <n v="5856732.0"/>
        <n v="1.2569041E7"/>
        <n v="5.3319509E7"/>
        <n v="2.6746109E7"/>
        <n v="3.2462438E7"/>
        <n v="1.50079163E8"/>
        <n v="5.580752E7"/>
        <n v="4.8299761E7"/>
        <n v="1.9737645E7"/>
        <n v="1.10956E7"/>
        <n v="7515297.0"/>
        <n v="2.1544445E7"/>
        <n v="1655091.0"/>
        <n v="1.0495673E7"/>
        <n v="3069884.0"/>
        <n v="1.799276E7"/>
        <n v="4055108.0"/>
        <n v="3.5122319E7"/>
        <n v="557668.0"/>
        <n v="7.1366733E7"/>
        <n v="2.9730907E7"/>
        <n v="1.6067398E7"/>
        <n v="2.1111837E7"/>
        <n v="1.6496802E7"/>
        <n v="1.0813237E8"/>
        <n v="2.67262555E8"/>
        <n v="6019483.0"/>
        <n v="3.05024263E8"/>
        <n v="4.459096E7"/>
        <n v="1.16275247E8"/>
        <n v="2.5707719E7"/>
        <n v="2.6777564E7"/>
        <n v="8.3151473E7"/>
        <n v="1.9044241E7"/>
        <n v="4452209.0"/>
        <n v="1.1589307E7"/>
        <n v="1.28339411E8"/>
        <n v="1.6814909E7"/>
        <n v="1.1844424E7"/>
        <n v="706659.0"/>
        <n v="3.36E7"/>
        <n v="1994973.0"/>
        <n v="2.3894477E7"/>
        <n v="1861000.0"/>
        <n v="2.4520804E7"/>
        <n v="8.5069696E7"/>
        <n v="8.5648585E7"/>
        <n v="1.1833473E7"/>
        <n v="4329966.0"/>
        <n v="1.4126138E7"/>
        <n v="1.1482931E7"/>
        <n v="1.25684505E8"/>
        <n v="3.2148997E7"/>
        <n v="5.6456431E7"/>
        <n v="4.03279547E8"/>
        <n v="1019112.0"/>
        <n v="2558739.0"/>
        <n v="2.46623634E8"/>
        <n v="6.6021565E7"/>
        <n v="4.2235322E7"/>
        <n v="1.0248063E7"/>
        <n v="3393765.0"/>
        <n v="1.5332007E7"/>
        <n v="2.87E7"/>
        <n v="5.1083765E7"/>
        <n v="4.6501438E7"/>
        <n v="9.8405771E7"/>
        <n v="1273984.0"/>
        <n v="2.302156E7"/>
        <n v="7.9443253E7"/>
        <n v="1.7895491E7"/>
        <n v="3.19E7"/>
        <n v="4.1E7"/>
        <n v="1.97794E7"/>
        <n v="1109095.0"/>
        <n v="2.9883016E7"/>
        <n v="3842000.0"/>
        <n v="5.5034302E7"/>
        <n v="3.3983001E7"/>
        <n v="1.7736779E7"/>
        <n v="1.42000866E8"/>
        <n v="4.4808372E7"/>
        <n v="2.2418902E7"/>
        <n v="1.5281507E7"/>
        <n v="2.8939454E7"/>
        <n v="6.884513E7"/>
        <n v="7862546.0"/>
        <n v="3000000.0"/>
        <n v="2.8546578E7"/>
        <n v="1.26319195E8"/>
        <n v="2508670.0"/>
        <n v="2.08992272E8"/>
        <n v="2.4699513E7"/>
        <n v="1.5197842E7"/>
        <n v="1.2320979E7"/>
        <n v="1.4822707E7"/>
        <n v="2.6845943E7"/>
        <n v="5.6897215E7"/>
        <n v="1.9990064E7"/>
        <n v="7003620.0"/>
        <n v="1.5419483E7"/>
        <n v="1651777.0"/>
        <n v="301331.0"/>
        <n v="9.6447667E7"/>
        <n v="5.0313314E7"/>
        <n v="1.3064616E7"/>
        <n v="1.5829874E7"/>
        <n v="1.06386216E8"/>
        <n v="2.21244E7"/>
        <n v="7.501934E7"/>
        <n v="3009155.0"/>
        <n v="2262293.0"/>
        <n v="2.3583175E7"/>
        <n v="324804.0"/>
        <n v="2596914.0"/>
        <n v="6033556.0"/>
        <n v="6.538956E7"/>
        <n v="2.7470017E7"/>
        <n v="1.44705587E8"/>
        <n v="7381787.0"/>
        <n v="8.5512915E7"/>
        <n v="2.9507053E7"/>
        <n v="1957978.0"/>
        <n v="761283.0"/>
        <n v="3.1174897E7"/>
        <n v="2.0378E7"/>
        <n v="1.3422556E7"/>
        <n v="8.4805005E7"/>
        <n v="6.146896E7"/>
        <n v="2.44E7"/>
        <n v="3.5428137E7"/>
        <n v="1.60147615E8"/>
        <n v="2.4037564E7"/>
        <n v="131507.0"/>
        <n v="8.9692572E7"/>
        <n v="1.785E7"/>
        <n v="1177215.0"/>
        <n v="6.9470202E7"/>
        <n v="3.77783777E8"/>
        <n v="100000.0"/>
        <n v="1.1188905E7"/>
        <n v="3.6468315E7"/>
        <n v="1.19E7"/>
        <n v="1.17387272E8"/>
        <n v="7655201.0"/>
        <n v="652835.0"/>
        <n v="5.2387997E7"/>
        <n v="1590010.0"/>
        <n v="4.5264608E7"/>
        <n v="1703287.0"/>
        <n v="6383298.0"/>
        <n v="1409668.0"/>
        <n v="6532308.0"/>
        <n v="9.9541238E7"/>
        <n v="8.9732962E7"/>
        <n v="3.3553787E7"/>
        <n v="4.334693E7"/>
        <n v="2.1304264E7"/>
        <n v="1.2621249E7"/>
        <n v="5004225.0"/>
        <n v="8.4222438E7"/>
        <n v="7368960.0"/>
        <n v="3.7322273E7"/>
        <n v="6800000.0"/>
        <n v="6.2749203E7"/>
        <n v="8232624.0"/>
        <n v="2690677.0"/>
        <n v="1.3599284E8"/>
        <n v="1.55823397E8"/>
        <n v="3.73656E7"/>
        <n v="6.2310175E7"/>
        <n v="1081498.0"/>
        <n v="8.0292856E7"/>
        <n v="3.6643346E7"/>
        <n v="3290318.0"/>
        <n v="2137776.0"/>
        <n v="3549339.0"/>
        <n v="1.3539321E7"/>
        <n v="3984028.0"/>
        <n v="1.1605861E7"/>
        <n v="2575718.0"/>
        <n v="9563543.0"/>
        <n v="200000.0"/>
        <n v="3.4172251E7"/>
        <n v="2.2877959E7"/>
        <n v="4.88E7"/>
        <n v="682273.0"/>
        <n v="1.3014536E7"/>
        <n v="1.1509682E8"/>
        <n v="2.78E7"/>
        <n v="9858926.0"/>
        <n v="7.3005002E7"/>
        <n v="1.5422828E7"/>
        <n v="9.1519448E7"/>
        <n v="2.8895417E7"/>
        <n v="3.2614858E7"/>
        <n v="2.2670733E7"/>
        <n v="2844929.0"/>
        <n v="2.0687587E7"/>
        <n v="1.9234747E7"/>
        <n v="2.24374454E8"/>
        <n v="9677.0"/>
        <n v="8.374065E7"/>
        <n v="1.5596227E7"/>
        <n v="4.96549E7"/>
        <n v="1.81454367E8"/>
        <n v="242172.0"/>
        <n v="1.8635046E7"/>
        <n v="3.5305995E7"/>
        <n v="2.5454043E7"/>
        <n v="4.5929973E7"/>
        <n v="1.6144183E7"/>
        <n v="6.3930411E7"/>
        <n v="48622.0"/>
        <n v="2033920.0"/>
        <n v="2.13592E7"/>
        <n v="2.5400856E7"/>
        <n v="1743332.0"/>
        <n v="5.3350242E7"/>
        <n v="3.2455275E7"/>
        <n v="406666.0"/>
        <n v="3.7253092E7"/>
        <n v="2.1285499E7"/>
        <n v="1.0396744E7"/>
        <n v="1.745E7"/>
        <n v="1.28821952E8"/>
        <n v="7.6975169E7"/>
        <n v="2.4327868E7"/>
        <n v="2.76625409E8"/>
        <n v="751715.0"/>
        <n v="1.6632614E7"/>
        <n v="8.214959E7"/>
        <n v="2860839.0"/>
        <n v="4627372.0"/>
        <n v="1.4967035E7"/>
        <n v="1.7067631E7"/>
        <n v="1.368763E7"/>
        <n v="7553210.0"/>
        <n v="2.3382841E7"/>
        <n v="8.3025093E7"/>
        <n v="3.6527787E7"/>
        <n v="1200000.0"/>
        <n v="5740078.0"/>
        <n v="9387695.0"/>
        <n v="1.508603E7"/>
        <n v="2.3334256E7"/>
        <n v="5.5720716E7"/>
        <n v="7.3371987E7"/>
        <n v="2.4281723E7"/>
        <n v="523568.0"/>
        <n v="8607223.0"/>
        <n v="1.8049082E7"/>
        <n v="3.0973336E7"/>
        <n v="3.8493982E7"/>
        <n v="2.7680195E7"/>
        <n v="6246959.0"/>
        <n v="3.4225164E7"/>
        <n v="7416109.0"/>
        <n v="902679.0"/>
        <n v="7.7692062E7"/>
        <n v="1.91E7"/>
        <n v="3.22E7"/>
        <n v="2688364.0"/>
        <n v="1659955.0"/>
        <n v="3738726.0"/>
        <n v="1.4967359E7"/>
        <n v="3294553.0"/>
        <n v="2.2305037E7"/>
        <n v="7096584.0"/>
        <n v="608545.0"/>
        <n v="2.1432423E7"/>
        <n v="8100000.0"/>
        <n v="4.24449459E8"/>
        <n v="7867349.0"/>
        <n v="3.9812796E7"/>
        <n v="1.58E7"/>
        <n v="2.1968653E7"/>
        <n v="1.4078294E7"/>
        <n v="1.848809E7"/>
        <n v="2773863.0"/>
        <n v="969176.0"/>
        <n v="2128202.0"/>
        <n v="1.04E7"/>
        <n v="277257.0"/>
        <n v="2.83019252E8"/>
        <n v="8.2001186E7"/>
        <n v="1.25665036E8"/>
        <n v="8.0249062E7"/>
        <n v="3.0485039E7"/>
        <n v="1.18734225E8"/>
        <n v="1.10505958E8"/>
        <n v="2180954.0"/>
        <n v="1.02216E7"/>
        <n v="1.942E8"/>
        <n v="1.07902283E8"/>
        <n v="3.9190055E7"/>
        <n v="5.0301521E7"/>
        <n v="2.6635E7"/>
        <n v="1.27384E7"/>
        <n v="2051787.0"/>
        <n v="4.58672302E8"/>
        <n v="5.158822E7"/>
        <n v="3.1E7"/>
        <n v="3231500.0"/>
        <n v="7.9444419E7"/>
        <n v="2862501.0"/>
        <n v="1.01463226E8"/>
        <n v="2.1846082E7"/>
        <n v="5.1071133E7"/>
        <n v="1.2414716E7"/>
        <n v="2.9993847E7"/>
        <n v="2.9968224E7"/>
        <n v="2.8536019E7"/>
        <n v="9.63E7"/>
        <n v="1932305.0"/>
        <n v="3.0302314E7"/>
        <n v="2.4891374E7"/>
        <n v="2.3680848E7"/>
        <n v="9404152.0"/>
        <n v="2386698.0"/>
        <n v="677838.0"/>
        <n v="5797927.0"/>
        <n v="2.7243721E7"/>
        <n v="1.8308901E7"/>
        <n v="8045844.0"/>
        <n v="2.0089048E7"/>
        <n v="1.1584722E7"/>
        <n v="2.4850554E8"/>
        <n v="1.2441122E7"/>
        <n v="4.3711404E7"/>
        <n v="3574731.0"/>
        <n v="4.4148781E7"/>
        <n v="1518876.0"/>
        <n v="6954997.0"/>
        <n v="2057332.0"/>
        <n v="2592872.0"/>
        <n v="4.8535067E7"/>
        <n v="6.8571803E7"/>
        <n v="3120196.0"/>
        <n v="5.98E7"/>
        <n v="1.7536E8"/>
        <n v="3.5461307E7"/>
        <n v="4.4140956E7"/>
        <n v="3.1015141E7"/>
        <n v="9.1518352E7"/>
        <n v="1.1371425E7"/>
        <n v="1.5404871E7"/>
        <n v="4.6955956E7"/>
        <n v="1.1720444E8"/>
        <n v="5565975.0"/>
        <n v="3.8127162E7"/>
        <n v="1.5280058E7"/>
        <n v="1.9455658E7"/>
        <n v="3.1997107E7"/>
        <n v="1.6628981E7"/>
        <n v="6097096.0"/>
        <n v="1.5638743E7"/>
        <n v="8059386.0"/>
        <n v="1.6505912E7"/>
        <n v="1.546448E7"/>
        <n v="63071.0"/>
        <n v="1.0331028E7"/>
        <n v="3.1859105E7"/>
        <n v="7781388.0"/>
        <n v="9.2536138E7"/>
        <n v="3.8771291E7"/>
        <n v="1.2253315E7"/>
        <n v="6.7568E7"/>
        <n v="2.1475962E7"/>
        <n v="3.45E7"/>
        <n v="4900000.0"/>
        <n v="1.6530884E7"/>
        <n v="4.7968405E7"/>
        <n v="1.6235088E7"/>
        <n v="3005123.0"/>
        <n v="5110552.0"/>
        <n v="3.8023275E7"/>
        <n v="1.4213619E7"/>
        <n v="3432299.0"/>
        <n v="9761993.0"/>
        <n v="1.5226144E7"/>
        <n v="1.0372662E7"/>
        <n v="3.48316061E8"/>
        <n v="3228696.0"/>
        <n v="7.2632573E7"/>
        <n v="2822418.0"/>
        <n v="1.4880476E7"/>
        <n v="3.2860214E7"/>
        <n v="165429.0"/>
        <n v="4247405.0"/>
        <n v="1.74084951E8"/>
        <n v="2.7410049E7"/>
        <n v="9.3952327E7"/>
        <n v="1.23001229E8"/>
        <n v="1.33031347E8"/>
        <n v="1043445.0"/>
        <n v="7.4067179E7"/>
        <n v="1.853139E7"/>
        <n v="1.4559259E8"/>
        <n v="5.3270259E7"/>
        <n v="5.0263257E7"/>
        <n v="1.0984397E7"/>
        <n v="4158074.0"/>
        <n v="1.57358779E8"/>
        <n v="2808744.0"/>
        <n v="3.3338338E7"/>
        <n v="5.835355E7"/>
        <n v="3.053732E7"/>
        <n v="5613460.0"/>
        <n v="2.2652003E7"/>
        <n v="5.120801E7"/>
        <n v="5.5219395E7"/>
        <n v="851636.0"/>
        <n v="5.2163317E7"/>
        <n v="3.1261036E7"/>
        <n v="57096.0"/>
        <n v="3341469.0"/>
        <n v="292175.0"/>
        <n v="5.3856263E7"/>
        <n v="1.2918501E7"/>
        <n v="1.7112929E7"/>
        <n v="329466.0"/>
        <n v="1.255096E7"/>
        <n v="4.2357453E7"/>
        <n v="6876974.0"/>
        <n v="1.4365105E7"/>
        <n v="1.97756197E8"/>
        <n v="3325872.0"/>
        <n v="9.63089E7"/>
        <n v="5.1990286E7"/>
        <n v="3.1726644E7"/>
        <n v="3936931.0"/>
        <n v="2.0132596E7"/>
        <n v="4.0098138E7"/>
        <n v="1.9402612E7"/>
        <n v="9533945.0"/>
        <n v="1003072.0"/>
        <n v="3.9703412E7"/>
        <n v="4.41E7"/>
        <n v="2.871551E7"/>
        <n v="2.2689474E7"/>
        <n v="3901336.0"/>
        <n v="1.1514713E7"/>
        <n v="6675178.0"/>
        <n v="3.4073773E7"/>
        <n v="1.19358727E8"/>
        <n v="2000000.0"/>
        <n v="1.0384136E7"/>
        <n v="700000.0"/>
        <n v="2.8728E7"/>
        <n v="2.4707598E7"/>
        <n v="308707.0"/>
        <n v="1.4772796E7"/>
        <n v="3.2522221E7"/>
        <n v="2.685345E7"/>
        <n v="2106233.0"/>
        <n v="5.0731542E7"/>
        <n v="2.1876365E7"/>
        <n v="2.2114556E7"/>
        <n v="4.5181732E7"/>
        <n v="1.2978402E7"/>
        <n v="3.5592846E7"/>
        <n v="2483154.0"/>
        <n v="4.7001027E7"/>
        <n v="4.6975611E7"/>
        <n v="1.0914153E8"/>
        <n v="4231215.0"/>
        <n v="1.4951824E7"/>
        <n v="2304950.0"/>
        <n v="5.8307945E7"/>
        <n v="1.05E7"/>
        <n v="1.175E8"/>
        <n v="3629485.0"/>
        <n v="1250934.0"/>
        <n v="2.2285953E7"/>
        <n v="3.3355354E7"/>
        <n v="950218.0"/>
        <n v="1.0905674E7"/>
        <n v="1.7707116E7"/>
        <n v="2.9604977E7"/>
        <n v="4.2724272E7"/>
        <n v="1.00125E7"/>
        <n v="1.6003411E8"/>
        <n v="1.08383253E8"/>
        <n v="5.2491137E7"/>
        <n v="4.64E7"/>
        <n v="5.670206E7"/>
        <n v="1755271.0"/>
        <n v="1.65853E7"/>
        <n v="5.9502303E7"/>
        <n v="3.2235441E7"/>
        <n v="9427926.0"/>
        <n v="3.5003492E7"/>
        <n v="4.9354205E7"/>
        <n v="9.694572E7"/>
        <n v="2.1E7"/>
        <n v="1.6E7"/>
        <n v="476767.0"/>
        <n v="6.034138E7"/>
        <n v="3997790.0"/>
        <n v="1.0018837E7"/>
        <n v="1102171.0"/>
        <n v="2.7693162E7"/>
        <n v="750798.0"/>
        <n v="1.1092237E8"/>
        <n v="2.88481E7"/>
        <n v="5128617.0"/>
        <n v="5.9267897E7"/>
        <n v="7.9225854E7"/>
        <n v="1.95631306E8"/>
        <n v="1.06148159E8"/>
        <n v="5648679.0"/>
        <n v="1.886001E7"/>
        <n v="1.7162741E7"/>
        <n v="3.4098862E7"/>
        <n v="4.1827E7"/>
        <n v="2.207605E8"/>
        <n v="3.1353636E7"/>
        <n v="7130611.0"/>
        <n v="5.8326666E7"/>
        <n v="1204508.0"/>
        <n v="7980275.0"/>
        <n v="8197405.0"/>
        <n v="5.3953403E7"/>
        <n v="1.95675583E8"/>
        <n v="2.74691196E8"/>
        <n v="1.8292061E7"/>
        <n v="8272447.0"/>
        <n v="3.59544677E8"/>
        <n v="8642254.0"/>
        <n v="4.0136047E7"/>
        <n v="3.4034755E7"/>
        <n v="3.2306065E7"/>
        <n v="1.0152879E7"/>
        <n v="2.4054514E7"/>
        <n v="5.5173235E7"/>
        <n v="4.6257845E7"/>
        <n v="5.0401464E7"/>
        <n v="1.9588068E7"/>
        <n v="4351969.0"/>
        <n v="7.7946274E7"/>
        <n v="1.6002004E7"/>
        <n v="4.14394E7"/>
        <n v="1.82925485E8"/>
        <n v="5.4412921E7"/>
        <n v="3517198.0"/>
        <n v="1.6994911E7"/>
        <n v="1.9540762E7"/>
        <n v="7617947.0"/>
        <n v="1.16578352E8"/>
        <n v="6753840.0"/>
        <n v="4.0668868E7"/>
        <n v="2.3071558E7"/>
        <n v="1.1713709E8"/>
        <n v="1.2051917E7"/>
        <n v="199816.0"/>
        <n v="815288.0"/>
        <n v="3.6398162E7"/>
        <n v="1.7926543E7"/>
        <n v="2269307.0"/>
        <n v="1.2969824E7"/>
        <n v="1.06415432E8"/>
        <n v="3179303.0"/>
        <n v="3.0270227E7"/>
        <n v="8876924.0"/>
        <n v="5862100.0"/>
        <n v="5.0920948E7"/>
        <n v="3245861.0"/>
        <n v="4.8884821E7"/>
        <n v="1081331.0"/>
        <n v="2.6087366E7"/>
        <n v="2.4093107E7"/>
        <n v="8.2299717E7"/>
        <n v="7.4497271E7"/>
        <n v="1.6089953E7"/>
        <n v="1.15329763E8"/>
        <n v="1854039.0"/>
        <n v="5114507.0"/>
        <n v="2.16188924E8"/>
        <n v="5.881346E7"/>
        <n v="1.2043633E7"/>
        <n v="5.8103929E7"/>
        <n v="6.1573391E7"/>
        <n v="1.5102717E7"/>
        <n v="1.07586036E8"/>
        <n v="3.0695394E7"/>
        <n v="1.9103378E7"/>
        <n v="6.001271E7"/>
        <n v="2.91323553E8"/>
        <n v="1.82501645E8"/>
        <n v="5266619.0"/>
        <n v="2439163.0"/>
        <n v="2.4123143E7"/>
        <n v="1216074.0"/>
        <n v="3649779.0"/>
        <n v="4997476.0"/>
        <n v="3831145.0"/>
        <n v="1.12708996E8"/>
        <n v="1.3001785E7"/>
        <n v="1.577307E7"/>
        <n v="441829.0"/>
        <n v="530270.0"/>
        <n v="2.7701895E7"/>
        <n v="1.84E7"/>
        <n v="1.4490142E7"/>
        <n v="3.5448498E7"/>
        <n v="1947339.0"/>
        <n v="3.8872378E7"/>
        <n v="5.23505847E8"/>
        <n v="6.1830669E7"/>
        <n v="5218921.0"/>
        <n v="5.46E7"/>
        <n v="4628751.0"/>
        <n v="6.712534E7"/>
        <n v="1.4106737E7"/>
        <n v="1.2382982E7"/>
        <n v="2.1263182E7"/>
        <n v="3.034167E7"/>
        <n v="5.4817937E7"/>
        <n v="8.5762022E7"/>
        <n v="1.10117807E8"/>
        <n v="2883495.0"/>
        <n v="6595716.0"/>
        <n v="3.8756232E7"/>
        <n v="5500797.0"/>
        <n v="2.759253E7"/>
        <n v="1.12057433E8"/>
        <n v="3.1505065E7"/>
        <n v="4.1929168E7"/>
        <n v="5.1209973E7"/>
        <n v="128566.0"/>
        <n v="2.0530832E7"/>
        <n v="1508841.0"/>
        <n v="9.4324072E7"/>
        <n v="2.5074895E7"/>
        <n v="8662299.0"/>
        <n v="4.81E7"/>
        <n v="1.103531E7"/>
        <n v="2163911.0"/>
        <n v="6867101.0"/>
        <n v="4.0274748E7"/>
        <n v="3.632868E7"/>
        <n v="1.5733485E7"/>
        <n v="3.9456509E7"/>
        <n v="1.6435406E7"/>
        <n v="4.350464E7"/>
        <n v="8938179.0"/>
        <n v="46737.0"/>
        <n v="5.61E7"/>
        <n v="1.7277485E7"/>
        <n v="9464388.0"/>
        <n v="346122.0"/>
        <n v="1.8565375E7"/>
        <n v="8906039.0"/>
        <n v="1.2362581E7"/>
        <n v="4.43E7"/>
        <n v="4.04E7"/>
        <n v="8.9746958E7"/>
        <n v="70536.0"/>
        <n v="6734992.0"/>
        <n v="2.0236603E7"/>
        <n v="4.8452056E7"/>
        <n v="1.1756514E7"/>
        <n v="3.8543795E7"/>
        <n v="4.125334E7"/>
        <n v="2576314.0"/>
        <n v="1.8771174E7"/>
        <n v="5773825.0"/>
        <n v="1.9185998E7"/>
        <n v="4.3823091E7"/>
        <n v="4733909.0"/>
        <n v="2700000.0"/>
        <n v="1.07575142E8"/>
        <n v="5.5597042E7"/>
        <n v="614943.0"/>
        <n v="41309.0"/>
        <n v="745402.0"/>
        <n v="4.7325559E7"/>
        <n v="1.4049211E7"/>
        <n v="8.6757447E7"/>
        <n v="9.350621E7"/>
        <n v="1.114657E7"/>
        <n v="4.103819E7"/>
        <n v="1.4930005E7"/>
        <n v="1.011842E7"/>
        <n v="4203192.0"/>
        <n v="1.6184015E7"/>
        <n v="1.20430993E8"/>
        <n v="2103828.0"/>
        <n v="7.8574831E7"/>
        <n v="3.0311509E7"/>
        <n v="2.94645577E8"/>
        <n v="4.4888996E7"/>
        <n v="4790000.0"/>
        <n v="1.61970615E8"/>
        <n v="2.5399E7"/>
        <n v="2615685.0"/>
        <n v="2228241.0"/>
        <n v="2.627742E7"/>
        <n v="2.479535E7"/>
        <n v="4808247.0"/>
        <n v="1.4168359E7"/>
        <n v="3.1691009E7"/>
        <n v="4692139.0"/>
        <n v="1.8270895E7"/>
        <n v="1.7478175E7"/>
        <n v="3.527969E7"/>
        <n v="2572742.0"/>
        <n v="1547570.0"/>
        <n v="1186670.0"/>
        <n v="7.6801374E7"/>
        <n v="9053924.0"/>
        <n v="1.2313582E7"/>
        <n v="6415649.0"/>
        <n v="2411331.0"/>
        <n v="6280507.0"/>
        <n v="4.3806889E7"/>
        <n v="5583510.0"/>
        <n v="9300771.0"/>
        <n v="2.7002815E7"/>
        <n v="1.7244913E7"/>
        <n v="1.20000989E8"/>
        <n v="7947763.0"/>
        <n v="9.7992827E7"/>
        <n v="6.9413017E7"/>
        <n v="2.904156E7"/>
        <n v="3.3305545E7"/>
        <n v="1.40381405E8"/>
        <n v="5.3618384E7"/>
        <n v="2.6363118E7"/>
        <n v="1161099.0"/>
        <n v="4.9273505E7"/>
        <n v="6.79E7"/>
        <n v="2570442.0"/>
        <n v="6.2624961E7"/>
        <n v="1.5645204E7"/>
        <n v="3.7239856E7"/>
        <n v="84122.0"/>
        <n v="1.767235E7"/>
        <n v="2.42E7"/>
        <n v="1.11709845E8"/>
        <n v="3.1282411E7"/>
        <n v="4.9176215E7"/>
        <n v="6.8706165E7"/>
        <n v="1.6501098E7"/>
        <n v="2.483386E7"/>
        <n v="4.2933793E7"/>
        <n v="2.8683887E8"/>
        <n v="1.386E8"/>
        <n v="1.3701902E7"/>
        <n v="1.0338609E7"/>
        <n v="3.08E7"/>
        <n v="9015786.0"/>
        <n v="7.7997349E7"/>
        <n v="4.1030827E7"/>
        <n v="3.3762229E7"/>
        <n v="3.47E7"/>
        <n v="3.3563158E7"/>
        <n v="4338033.0"/>
        <n v="1.3747385E7"/>
        <n v="1228120.0"/>
        <n v="4.6807024E7"/>
        <n v="1.647143E7"/>
        <n v="2.4024969E7"/>
        <n v="5.35E7"/>
        <n v="8400000.0"/>
        <n v="8.8166115E7"/>
        <n v="4806295.0"/>
        <n v="1.1384919E7"/>
        <n v="1.055523E7"/>
        <n v="417760.0"/>
        <n v="3.3146E7"/>
        <n v="4.4287414E7"/>
        <n v="3.8797148E7"/>
        <n v="1.5972187E7"/>
        <n v="7235267.0"/>
        <n v="2.7647595E7"/>
        <n v="2.5001065E7"/>
        <n v="6.6683135E7"/>
        <n v="177467.0"/>
        <n v="5.0915214E7"/>
        <n v="1.0443603E7"/>
        <n v="6515579.0"/>
        <n v="7189039.0"/>
        <n v="5.5E7"/>
        <n v="615792.0"/>
        <n v="7.7001351E7"/>
        <n v="7.9556401E7"/>
        <n v="2.566E7"/>
        <n v="2831622.0"/>
        <n v="3.6636816E7"/>
        <n v="2.4335698E7"/>
        <n v="4.23699E7"/>
        <n v="2.676635E7"/>
        <n v="9536788.0"/>
        <n v="1.64406268E8"/>
        <n v="2.3818159E7"/>
        <n v="2.6202956E8"/>
        <n v="5.2264926E7"/>
        <n v="5.9568845E7"/>
        <n v="1.12868837E8"/>
        <n v="5.6001698E7"/>
        <n v="1.15085755E8"/>
        <n v="3.6528842E7"/>
        <n v="5.5370362E7"/>
        <n v="2.26950375E8"/>
        <n v="1.57197282E8"/>
        <n v="4185387.0"/>
        <n v="1.0566655E7"/>
        <n v="2.4812241E7"/>
        <n v="6.7458785E7"/>
        <n v="1.3894863E7"/>
        <n v="7.8038276E7"/>
        <n v="4.2200504E7"/>
        <n v="1.65835E8"/>
        <n v="1610731.0"/>
        <n v="573641.0"/>
        <n v="8408614.0"/>
        <n v="3946250.0"/>
        <n v="1.13078393E8"/>
        <n v="7.6694016E7"/>
        <n v="9.0736215E7"/>
        <n v="3.0849949E7"/>
        <n v="1.136529E7"/>
        <n v="1.41487252E8"/>
        <n v="1.4008532E7"/>
        <n v="1.9228104E7"/>
        <n v="4.4735548E7"/>
        <n v="4871190.0"/>
        <n v="6.307495E7"/>
        <n v="1.238552E7"/>
        <n v="2.07652016E8"/>
        <n v="1.0494878E8"/>
        <n v="4296447.0"/>
        <n v="4.4882128E7"/>
        <n v="7891000.0"/>
        <n v="3.549E7"/>
        <n v="4.4149837E7"/>
        <n v="4535191.0"/>
        <n v="7235293.0"/>
        <n v="5108370.0"/>
        <n v="4.6269171E7"/>
        <n v="3.9571513E7"/>
        <n v="2298046.0"/>
        <n v="1.5678096E8"/>
        <n v="117603.0"/>
        <n v="3.774472E7"/>
        <n v="15185.0"/>
        <n v="5.8136909E7"/>
        <n v="1.7981889E7"/>
        <n v="5.6917897E7"/>
        <n v="9225165.0"/>
        <n v="1.56074524E8"/>
        <n v="2588228.0"/>
        <n v="4.2618434E7"/>
        <n v="2.4870275E7"/>
        <n v="5.8476776E7"/>
        <n v="124220.0"/>
        <n v="2.5853424E7"/>
        <n v="3.5990057E7"/>
        <n v="2.2499043E7"/>
        <n v="1.047022E7"/>
        <n v="4.501217E7"/>
        <n v="2.7852604E7"/>
        <n v="1815748.0"/>
        <n v="2.2569532E7"/>
        <n v="7.6491683E7"/>
        <n v="4.8635996E7"/>
        <n v="1.9597131E7"/>
        <n v="3257792.0"/>
        <n v="5473600.0"/>
        <n v="7887882.0"/>
        <n v="1.9506619E7"/>
        <n v="6012734.0"/>
        <n v="4.6126012E7"/>
        <n v="1.1643008E7"/>
        <n v="9.69364E7"/>
        <n v="1.65E7"/>
        <n v="6354736.0"/>
        <n v="6987757.0"/>
        <n v="2.6068547E7"/>
        <n v="1.06735396E8"/>
        <n v="2695428.0"/>
        <n v="1.5531634E7"/>
        <n v="8503161.0"/>
        <n v="6.2000082E7"/>
        <n v="2732062.0"/>
        <n v="1.0706119E7"/>
        <n v="1.7032279E7"/>
        <n v="4.5523073E7"/>
        <n v="8.4713132E7"/>
        <n v="1.2318875E7"/>
        <n v="8175394.0"/>
        <n v="3.3914986E7"/>
        <n v="6.5234139E7"/>
        <n v="4.7115211E7"/>
        <n v="2.3825798E7"/>
        <n v="802119.0"/>
        <n v="5677801.0"/>
        <n v="3.5006147E7"/>
        <n v="8792641.0"/>
        <n v="1.3648142E7"/>
        <n v="2.0887263E7"/>
        <n v="2.12103873E8"/>
        <n v="2401264.0"/>
        <n v="5.2282182E7"/>
        <n v="7036404.0"/>
        <n v="8.66E7"/>
        <n v="2.72158751E8"/>
        <n v="4.9138076E7"/>
        <n v="1.37031035E8"/>
        <n v="1.0684949E7"/>
        <n v="3.5168022E7"/>
        <n v="2960089.0"/>
        <n v="5.7487711E7"/>
        <n v="1.0090181E7"/>
        <n v="1.6959436E7"/>
        <n v="360866.0"/>
        <n v="1.1536376E7"/>
        <n v="744858.0"/>
        <n v="1.9219708E7"/>
        <n v="7.53E7"/>
        <n v="1.1112916E7"/>
        <n v="250263.0"/>
        <n v="9.9455175E7"/>
        <n v="8000000.0"/>
        <n v="2481242.0"/>
        <n v="9141959.0"/>
        <n v="1178893.0"/>
        <n v="1.73377893E8"/>
        <n v="5.6435493E7"/>
        <n v="1.0400764E8"/>
        <n v="7.5213377E7"/>
        <n v="2.3338891E7"/>
        <n v="4.0950721E7"/>
        <n v="1920333.0"/>
        <n v="7.85E7"/>
        <n v="1.205734E7"/>
        <n v="1157157.0"/>
        <n v="3099680.0"/>
        <n v="1.5443638E8"/>
        <n v="2.5188667E7"/>
        <n v="9.09E7"/>
        <n v="2.8025E7"/>
        <n v="2.1601713E7"/>
        <n v="1.5339117E7"/>
        <n v="3.9156435E7"/>
        <n v="3.0775468E7"/>
        <n v="2921130.0"/>
        <n v="2.7317535E7"/>
        <n v="1.95E7"/>
        <n v="4.4631572E7"/>
        <n v="9.501403E7"/>
        <n v="4.7570368E7"/>
        <n v="4305922.0"/>
        <n v="5434867.0"/>
        <n v="1.42645693E8"/>
        <n v="2817771.0"/>
        <n v="5687294.0"/>
        <n v="2.770347E7"/>
        <n v="2.1788807E7"/>
        <n v="2.1300107E7"/>
        <n v="1.5764085E7"/>
        <n v="3.52E7"/>
        <n v="1.3337608E7"/>
        <n v="5.6448821E7"/>
        <n v="1.1017403E7"/>
        <n v="2.098423E7"/>
        <n v="5.1504069E7"/>
        <n v="1.6158958E8"/>
        <n v="1.1838002E7"/>
        <n v="2.48E7"/>
        <n v="4.1182182E7"/>
        <n v="5.3200012E7"/>
        <n v="1.2768E7"/>
        <n v="5993605.0"/>
        <n v="6022940.0"/>
        <n v="1.00965237E8"/>
        <n v="2.0557989E7"/>
        <n v="8854588.0"/>
        <n v="3.1022333E7"/>
        <n v="4.2706877E7"/>
        <n v="1.2071069E7"/>
        <n v="5433940.0"/>
        <n v="1560950.0"/>
        <n v="2.4360014E7"/>
        <n v="2.3028109E7"/>
        <n v="824921.0"/>
        <n v="1.4201636E7"/>
        <n v="2.3874933E7"/>
        <n v="1.5990505E7"/>
        <n v="3.4218429E7"/>
        <n v="2.186796E7"/>
        <n v="1.0859889E7"/>
        <n v="1142507.0"/>
        <n v="1.4052167E7"/>
        <n v="2.2487293E7"/>
        <n v="2.0063926E7"/>
        <n v="1679969.0"/>
        <n v="2.1045445E7"/>
        <n v="2.84E7"/>
        <n v="7.412E7"/>
        <n v="4719300.0"/>
        <n v="8074715.0"/>
        <n v="2814185.0"/>
        <n v="3156970.0"/>
        <n v="5.94E7"/>
        <n v="2.8022524E7"/>
        <n v="3.3147445E7"/>
        <n v="4.7998368E7"/>
        <n v="9343976.0"/>
        <n v="6201559.0"/>
        <n v="2.72E7"/>
        <n v="2.0054909E7"/>
        <n v="1.89350219E8"/>
        <n v="3.6362352E7"/>
        <n v="6.6336103E7"/>
        <n v="9975979.0"/>
        <n v="3759147.0"/>
        <n v="6.1739919E7"/>
        <n v="3.9461335E7"/>
        <n v="6598492.0"/>
        <n v="1.6658108E7"/>
        <n v="4768918.0"/>
        <n v="2.3332128E7"/>
        <n v="2.1131483E7"/>
        <n v="2.0281096E7"/>
        <n v="204793.0"/>
        <n v="6.9288182E7"/>
        <n v="2.223877E7"/>
        <n v="1.24052771E8"/>
        <n v="2.7645152E7"/>
        <n v="2.85E7"/>
        <n v="1.8337537E7"/>
        <n v="2.2657819E7"/>
        <n v="1.1006503E7"/>
        <n v="8.5014968E7"/>
        <n v="3132222.0"/>
        <n v="1.7288314E7"/>
        <n v="6526393.0"/>
        <n v="5.3492685E7"/>
        <n v="1.24E7"/>
        <n v="4.5500556E7"/>
        <n v="1.91609762E8"/>
        <n v="8.8495848E7"/>
        <n v="5016190.0"/>
        <n v="1.2117571E7"/>
        <n v="1.4020063E7"/>
        <n v="1.5501605E7"/>
        <n v="1.3082743E7"/>
        <n v="1623749.0"/>
        <n v="6.8636983E7"/>
        <n v="7.1204016E7"/>
        <n v="1.3637507E7"/>
        <n v="3.4886089E7"/>
        <n v="1.8416702E7"/>
        <n v="1.55585516E8"/>
        <n v="1.169E8"/>
        <n v="5.0418803E7"/>
        <n v="1.174655E7"/>
        <n v="1.6669413E7"/>
        <n v="80850.0"/>
        <n v="5.083503E7"/>
        <n v="1.69437578E8"/>
        <n v="1.1622333E7"/>
        <n v="1.21666058E8"/>
        <n v="4.2586544E7"/>
        <n v="2190525.0"/>
        <n v="7.7763837E7"/>
        <n v="2.1790248E7"/>
        <n v="5077977.0"/>
        <n v="4888703.0"/>
        <n v="1677654.0"/>
        <n v="3138210.0"/>
        <n v="1373585.0"/>
        <n v="1.0169735E8"/>
        <n v="611615.0"/>
        <n v="1.6033759E7"/>
        <n v="2.0455802E7"/>
        <n v="3.2E7"/>
        <n v="1.14223E8"/>
        <n v="2.2696902E7"/>
        <n v="2.1137505E7"/>
        <n v="1.1161406E7"/>
        <n v="8396624.0"/>
        <n v="1.00722E8"/>
        <n v="4.5865715E7"/>
        <n v="3472213.0"/>
        <n v="1.9143839E7"/>
        <n v="2429000.0"/>
        <n v="8077470.0"/>
        <n v="480318.0"/>
        <n v="3.0163652E7"/>
        <n v="4976634.0"/>
        <n v="2.057401E7"/>
        <n v="2.8280963E7"/>
        <n v="1.74907418E8"/>
        <n v="4848292.0"/>
        <n v="3.5960517E7"/>
        <n v="1.40470114E8"/>
        <n v="2.92049635E8"/>
        <n v="1.8201106E7"/>
        <n v="2.8200225E7"/>
        <n v="7.5502246E7"/>
        <n v="7.6107476E7"/>
        <n v="1.5230261E7"/>
        <n v="201437.0"/>
        <n v="1.8873374E7"/>
        <n v="1.47825435E8"/>
        <n v="8690000.0"/>
        <n v="150619.0"/>
        <n v="656942.0"/>
        <n v="6.251923E7"/>
        <n v="2.14984497E8"/>
        <n v="1.5097652E7"/>
        <n v="8.2922376E7"/>
        <n v="2.567263E7"/>
        <n v="4.2698894E7"/>
        <n v="5.5001343E7"/>
        <n v="3.6154094E7"/>
        <n v="4.8197993E7"/>
        <n v="1.9999143E7"/>
        <n v="1.0685267E7"/>
        <n v="2.1629916E7"/>
        <n v="1.1108891E8"/>
        <n v="1.1122105E7"/>
        <n v="3.2951479E7"/>
        <n v="1445438.0"/>
        <n v="1.57326336E8"/>
        <n v="2.2981571E7"/>
        <n v="1.5218903E7"/>
        <n v="3.6885587E7"/>
        <n v="3746915.0"/>
        <n v="3.1359959E7"/>
        <n v="7.99E7"/>
        <n v="1.49688385E8"/>
        <n v="2.9098051E7"/>
        <n v="1.10071312E8"/>
        <n v="1.01340178E8"/>
        <n v="8311368.0"/>
        <n v="1.5596569E8"/>
        <n v="1.4474048E7"/>
        <n v="1612029.0"/>
        <n v="7592632.0"/>
        <n v="1.552E8"/>
        <n v="300000.0"/>
        <n v="1.11727E8"/>
        <n v="7.0422786E7"/>
        <n v="3.6377022E7"/>
        <n v="1.5005329E7"/>
        <n v="1.1122504E8"/>
        <n v="6.5459099E7"/>
        <n v="800000.0"/>
        <n v="3.2225777E7"/>
        <n v="1.375E7"/>
        <n v="5.5343774E7"/>
        <n v="4.0367693E7"/>
        <n v="9133087.0"/>
        <n v="7563179.0"/>
        <n v="3.666787E7"/>
        <n v="8813366.0"/>
        <n v="2752475.0"/>
        <n v="1.3050028E7"/>
        <n v="1.2351611E7"/>
        <n v="7568996.0"/>
        <n v="7.3760631E7"/>
        <n v="1.5530513E7"/>
        <n v="5.3952276E7"/>
        <n v="1.2014289E7"/>
        <n v="3.5443237E7"/>
        <n v="6879556.0"/>
        <n v="4.6150692E7"/>
        <n v="8.777546E7"/>
        <n v="1.6875468E7"/>
        <n v="1.92557891E8"/>
        <n v="8578145.0"/>
        <n v="4.5625986E7"/>
        <n v="2.160432E7"/>
        <n v="561238.0"/>
        <n v="8413606.0"/>
        <n v="1.6986E7"/>
        <n v="2.2505908E7"/>
        <n v="9.6968774E7"/>
        <n v="3.2614158E7"/>
        <n v="7003011.0"/>
        <n v="1.3639538E8"/>
        <n v="1.72298923E8"/>
        <n v="2.2991439E7"/>
        <n v="4.0184721E7"/>
        <n v="1.5399192E7"/>
        <n v="3.8E7"/>
        <n v="5369373.0"/>
        <n v="4.0072596E7"/>
        <n v="1.0104913E8"/>
        <n v="4.2477326E7"/>
        <n v="7.4712885E7"/>
        <n v="2.000718E7"/>
        <n v="5584685.0"/>
        <n v="1676553.0"/>
        <n v="3.43E7"/>
        <n v="1.7892374E7"/>
        <n v="8.5646235E7"/>
        <n v="7.400608E7"/>
        <n v="7.9471845E7"/>
        <n v="1.96565E8"/>
        <n v="9042266.0"/>
        <n v="417500.0"/>
        <n v="1.39994397E8"/>
        <n v="1.18136719E8"/>
        <n v="323741.0"/>
        <n v="1.0853835E7"/>
        <n v="1.2983713E7"/>
        <n v="3.8287363E7"/>
        <n v="5.047132E7"/>
        <n v="1.5127963E7"/>
        <n v="5.4125426E7"/>
        <n v="8821531.0"/>
        <n v="783276.0"/>
        <n v="3.2066E7"/>
        <n v="4703228.0"/>
        <n v="5.3656813E7"/>
        <n v="1413105.0"/>
        <n v="103943.0"/>
        <n v="2.4651794E7"/>
        <n v="2.1638292E7"/>
        <n v="7.6088877E7"/>
        <n v="1.2675765E7"/>
        <n v="1.9362712E7"/>
        <n v="1.0440971E7"/>
        <n v="2853933.0"/>
        <n v="1.163484E8"/>
      </sharedItems>
    </cacheField>
    <cacheField name="Loss" numFmtId="165">
      <sharedItems containsSemiMixedTypes="0" containsString="0" containsNumber="1" containsInteger="1">
        <n v="0.0"/>
        <n v="7.6227778E7"/>
        <n v="1.0139961E7"/>
        <n v="1388796.0"/>
        <n v="1.1499034E7"/>
        <n v="3.2368843E7"/>
        <n v="571465.0"/>
        <n v="1.0810486E7"/>
        <n v="744000.0"/>
        <n v="1.9483292E7"/>
        <n v="5110478.0"/>
        <n v="2.7699111E7"/>
        <n v="3.4950587E7"/>
        <n v="8.978738E7"/>
        <n v="7.6896216E7"/>
        <n v="2.7999515E7"/>
        <n v="2.4224407E7"/>
        <n v="4653497.0"/>
        <n v="4.0581346E7"/>
        <n v="486866.0"/>
        <n v="1.5682875E7"/>
        <n v="2.5900341E7"/>
        <n v="4286998.0"/>
        <n v="5682650.0"/>
        <n v="1992320.0"/>
        <n v="4118133.0"/>
        <n v="7663544.0"/>
        <n v="1.5559345E7"/>
        <n v="1.26E7"/>
        <n v="8.3385977E7"/>
        <n v="1.576596E7"/>
        <n v="498668.0"/>
        <n v="2.0901437E7"/>
        <n v="7946519.0"/>
        <n v="6.9833498E7"/>
        <n v="4.7456299E7"/>
        <n v="5.904918E7"/>
        <n v="5979800.0"/>
        <n v="1.0639452E7"/>
        <n v="9297917.0"/>
        <n v="2.7481675E7"/>
        <n v="1.9596068E7"/>
        <n v="3.5646427E7"/>
        <n v="604771.0"/>
        <n v="1.8302044E7"/>
        <n v="190187.0"/>
        <n v="1254850.0"/>
        <n v="4673692.0"/>
        <n v="194801.0"/>
        <n v="2.910003E7"/>
        <n v="1.7012353E7"/>
        <n v="6.7838031E7"/>
        <n v="2.906794E7"/>
        <n v="3.0161611E7"/>
        <n v="8000000.0"/>
        <n v="1.8125131E7"/>
        <n v="3.0579748E7"/>
        <n v="3263734.0"/>
        <n v="640226.0"/>
        <n v="2235973.0"/>
        <n v="4.0557129E7"/>
        <n v="1.2931913E7"/>
        <n v="1.5278E7"/>
        <n v="1.0016428E7"/>
        <n v="4.3798339E7"/>
        <n v="2.1866841E7"/>
        <n v="4078262.0"/>
        <n v="4.0008098E7"/>
        <n v="479422.0"/>
        <n v="4.0204983E7"/>
        <n v="5806898.0"/>
        <n v="9800895.0"/>
        <n v="1338990.0"/>
        <n v="526618.0"/>
        <n v="825130.0"/>
        <n v="1.02725701E8"/>
        <n v="6.6989354E7"/>
        <n v="1.3046268E7"/>
        <n v="2.6033943E7"/>
        <n v="3.835979E7"/>
        <n v="1.408825E7"/>
        <n v="338013.0"/>
        <n v="4.1392993E7"/>
        <n v="1647420.0"/>
        <n v="2.3979782E7"/>
        <n v="7487948.0"/>
        <n v="6.153901E7"/>
        <n v="5.6425668E7"/>
        <n v="4.1791922E7"/>
        <n v="1.6893131E7"/>
        <n v="5.0707978E7"/>
        <n v="2994861.0"/>
        <n v="2.1898858E7"/>
        <n v="239409.0"/>
        <n v="3279766.0"/>
        <n v="1.64334574E8"/>
        <n v="1.370536E7"/>
        <n v="5071000.0"/>
        <n v="6384422.0"/>
        <n v="9733871.0"/>
        <n v="572808.0"/>
        <n v="1894923.0"/>
        <n v="1801234.0"/>
        <n v="9.9344497E7"/>
        <n v="6.0326576E7"/>
        <n v="2.3557749E7"/>
        <n v="1.3313646E7"/>
        <n v="2.0881753E7"/>
        <n v="2.4536691E7"/>
        <n v="428012.0"/>
        <n v="487945.0"/>
        <n v="3.9443804E7"/>
        <n v="2604984.0"/>
        <n v="4.0832183E7"/>
        <n v="1649942.0"/>
        <n v="8080104.0"/>
        <n v="9693285.0"/>
        <n v="893357.0"/>
        <n v="6264471.0"/>
        <n v="3.7673753E7"/>
        <n v="6467012.0"/>
        <n v="725339.0"/>
        <n v="2.4768635E7"/>
        <n v="1.1120689E7"/>
        <n v="8030610.0"/>
        <n v="1.11931604E8"/>
        <n v="6.2684455E7"/>
        <n v="5.0607905E7"/>
        <n v="2.6355679E7"/>
        <n v="1.9000897E7"/>
        <n v="4.7362515E7"/>
        <n v="3.0340253E7"/>
        <n v="2.1017158E7"/>
        <n v="6.1357548E7"/>
        <n v="4597590.0"/>
        <n v="2787583.0"/>
        <n v="2.5643E7"/>
        <n v="2.3345419E7"/>
        <n v="407362.0"/>
        <n v="1.7714996E7"/>
        <n v="1.09916481E8"/>
        <n v="690958.0"/>
        <n v="2288790.0"/>
        <n v="2.1878028E7"/>
        <n v="1552547.0"/>
        <n v="1.03295584E8"/>
        <n v="1.3150858E7"/>
        <n v="1.3595247E7"/>
        <n v="1.6250939E7"/>
        <n v="7115337.0"/>
        <n v="4973029.0"/>
        <n v="1.2144354E7"/>
        <n v="8988946.0"/>
        <n v="1929689.0"/>
        <n v="5.1178721E7"/>
        <n v="1.393674E7"/>
        <n v="1.6617691E7"/>
        <n v="2960148.0"/>
        <n v="8.675378E7"/>
        <n v="2.77E7"/>
        <n v="3.6490658E7"/>
        <n v="4.0923185E7"/>
        <n v="2.5976605E7"/>
        <n v="1.1843275E7"/>
        <n v="7.5014388E7"/>
        <n v="1.5365723E7"/>
        <n v="2.1171682E7"/>
        <n v="8394275.0"/>
        <n v="6964896.0"/>
        <n v="8.2603302E7"/>
        <n v="1.1747316E7"/>
        <n v="6.9590483E7"/>
        <n v="1.8592056E7"/>
        <n v="1.4202684E7"/>
        <n v="1.7282242E7"/>
        <n v="1326934.0"/>
        <n v="1.3870652E7"/>
        <n v="1.099560838E9"/>
        <n v="6.3885779E7"/>
        <n v="9816803.0"/>
        <n v="4.2525888E7"/>
        <n v="1.931412E7"/>
        <n v="2411568.0"/>
        <n v="3.3885763E7"/>
        <n v="2.7541731E7"/>
        <n v="5963503.0"/>
        <n v="5.0100362E7"/>
        <n v="5945394.0"/>
        <n v="2.7330724E7"/>
        <n v="72160.0"/>
        <n v="655417.0"/>
        <n v="2.8134226E7"/>
        <n v="999279.0"/>
        <n v="2.2320362E7"/>
        <n v="3955382.0"/>
        <n v="3898945.0"/>
        <n v="5.6780252E7"/>
        <n v="3.223992E7"/>
        <n v="2.3487185E7"/>
        <n v="1.7835684E7"/>
        <n v="3.3494358E7"/>
        <n v="9006456.0"/>
        <n v="855569.0"/>
        <n v="2.9511421E7"/>
        <n v="2.7477648E7"/>
        <n v="6146000.0"/>
        <n v="8690151.0"/>
        <n v="7505506.0"/>
        <n v="9871514.0"/>
        <n v="8590794.0"/>
        <n v="1.3414611E7"/>
        <n v="9215287.0"/>
        <n v="7701890.0"/>
        <n v="2.4898139E7"/>
        <n v="2.6675252E7"/>
        <n v="7925162.0"/>
        <n v="2.0519686E7"/>
        <n v="4.2823835E7"/>
        <n v="1.1220364E7"/>
        <n v="3798243.0"/>
        <n v="7431305.0"/>
        <n v="1.2733495E7"/>
        <n v="8972134.0"/>
        <n v="6.0519261E7"/>
        <n v="5.278192E7"/>
        <n v="799244.0"/>
        <n v="3.75868702E8"/>
        <n v="6358212.0"/>
        <n v="9128166.0"/>
        <n v="1.2112543E7"/>
        <n v="980461.0"/>
        <n v="6369774.0"/>
        <n v="5.2394332E7"/>
        <n v="3024316.0"/>
        <n v="7.471031E7"/>
        <n v="1.07235E7"/>
        <n v="2.7456806E7"/>
        <n v="3.9842984E7"/>
        <n v="9.694162E7"/>
        <n v="492921.0"/>
        <n v="1906509.0"/>
        <n v="890722.0"/>
        <n v="8723016.0"/>
        <n v="10239.0"/>
        <n v="4.865108E7"/>
        <n v="1.7363557E7"/>
        <n v="2236987.0"/>
        <n v="7872856.0"/>
        <n v="3.3649447E7"/>
        <n v="1.3642958E7"/>
        <n v="6621859.0"/>
        <n v="535345.0"/>
        <n v="2.5314641E7"/>
        <n v="2177843.0"/>
        <n v="1.356878E7"/>
        <n v="3.3887833E7"/>
        <n v="4.7468302E7"/>
        <n v="1.7754E7"/>
        <n v="5.4985766E7"/>
        <n v="1.9044575E7"/>
        <n v="1.4885685E7"/>
        <n v="2.945998E7"/>
        <n v="4.5451936E7"/>
        <n v="1.1386249E7"/>
        <n v="954324.0"/>
        <n v="4170061.0"/>
        <n v="1.0162368E7"/>
        <n v="2.4500032E7"/>
        <n v="1.0647214E7"/>
        <n v="7792888.0"/>
        <n v="2.0656327E7"/>
        <n v="1.2617007E7"/>
        <n v="1.4003282E7"/>
        <n v="8830469.0"/>
        <n v="1.0265197E7"/>
        <n v="3525492.0"/>
        <n v="3943898.0"/>
        <n v="8517793.0"/>
        <n v="1398153.0"/>
        <n v="5382932.0"/>
        <n v="354460.0"/>
        <n v="774089.0"/>
        <n v="569815.0"/>
        <n v="6935774.0"/>
        <n v="1.4247275E7"/>
        <n v="736141.0"/>
        <n v="4591178.0"/>
        <n v="23927.0"/>
        <n v="1.497113E7"/>
        <n v="1081047.0"/>
        <n v="7668682.0"/>
        <n v="7484640.0"/>
        <n v="2.6623494E7"/>
        <n v="1.089935E7"/>
        <n v="1.1478165E7"/>
        <n v="2.1467706E7"/>
        <n v="8549125.0"/>
        <n v="2.4860746E7"/>
        <n v="2.725139E7"/>
        <n v="6.0432117E7"/>
        <n v="8163255.0"/>
        <n v="1.4600121E7"/>
        <n v="6662701.0"/>
        <n v="1.2796359E7"/>
        <n v="9.6407585E7"/>
        <n v="262699.0"/>
        <n v="44995.0"/>
        <n v="1.5981636E7"/>
        <n v="1.13021005E8"/>
        <n v="4.7791061E7"/>
        <n v="1.1526E7"/>
        <n v="1.15035182E8"/>
        <n v="718500.0"/>
        <n v="3792025.0"/>
        <n v="4.7114435E7"/>
        <n v="1.1032429E7"/>
        <n v="8.6856188E7"/>
        <n v="8935090.0"/>
        <n v="4.999939E7"/>
        <n v="1.4666342E7"/>
        <n v="6210108.0"/>
        <n v="3087018.0"/>
        <n v="5813617.0"/>
        <n v="226328.0"/>
        <n v="7474079.0"/>
        <n v="5.0781132E7"/>
        <n v="4.9649808E7"/>
        <n v="1.08858926E8"/>
        <n v="1.3564917E7"/>
        <n v="1.05E7"/>
        <n v="5876166.0"/>
        <n v="1.1413624E7"/>
        <n v="3.177088E7"/>
        <n v="651422.0"/>
        <n v="2969275.0"/>
        <n v="1.795475E7"/>
        <n v="273613.0"/>
        <n v="1604408.0"/>
        <n v="3.7955679E7"/>
        <n v="1.7390018E7"/>
        <n v="2973655.0"/>
        <n v="4.5979146E7"/>
        <n v="2.7968963E7"/>
        <n v="3.948808E7"/>
        <n v="3.0348E7"/>
        <n v="6.98312689E8"/>
        <n v="9258013.0"/>
        <n v="1.0043599E7"/>
        <n v="1900853.0"/>
        <n v="1.9736635E7"/>
        <n v="2.179066E7"/>
        <n v="9.3153376E7"/>
        <n v="3649226.0"/>
        <n v="1.9880795E7"/>
        <n v="2452144.0"/>
        <n v="3.4314732E7"/>
        <n v="6750474.0"/>
        <n v="1.0486817E8"/>
        <n v="2.1598317E7"/>
        <n v="2628615.0"/>
        <n v="1404336.0"/>
        <n v="6.0917086E7"/>
        <n v="1971342.0"/>
        <n v="2894915.0"/>
        <n v="909814.0"/>
        <n v="39916.0"/>
        <n v="1.8935723E7"/>
        <n v="1.4333738E7"/>
        <n v="6.5267965E7"/>
        <n v="7035257.0"/>
        <n v="3624277.0"/>
        <n v="1.672658E7"/>
        <n v="1333.0"/>
        <n v="2.318581E7"/>
        <n v="2.0935667E7"/>
        <n v="1297136.0"/>
        <n v="1.1410555E7"/>
        <n v="1.8823678E7"/>
        <n v="1.4577793E7"/>
        <n v="1.1111645E7"/>
        <n v="468168.0"/>
        <n v="1.5111972E7"/>
        <n v="4655153.0"/>
        <n v="1.20706229E8"/>
        <n v="1.9983606E7"/>
        <n v="8674623.0"/>
        <n v="1.3924922E7"/>
        <n v="4.1472875E7"/>
        <n v="3.2737712E7"/>
        <n v="5959121.0"/>
        <n v="3.5946421E7"/>
        <n v="959412.0"/>
        <n v="3602635.0"/>
        <n v="2196204.0"/>
        <n v="1.4821835E7"/>
        <n v="3772117.0"/>
        <n v="4.2633738E7"/>
        <n v="1140525.0"/>
        <n v="61430.0"/>
        <n v="4.93E7"/>
        <n v="8363615.0"/>
        <n v="1.0964434E7"/>
        <n v="4.25E7"/>
        <n v="1.8569728E7"/>
        <n v="2.9125385E7"/>
        <n v="2.4673965E7"/>
        <n v="2446488.0"/>
        <n v="1820357.0"/>
        <n v="4.6644185E7"/>
        <n v="1.2336018E7"/>
        <n v="3.2401069E7"/>
        <n v="3780041.0"/>
        <n v="2.4862498E7"/>
        <n v="2981550.0"/>
        <n v="8124411.0"/>
        <n v="366222.0"/>
        <n v="3.6870545E7"/>
        <n v="5.2305212E7"/>
        <n v="3.7376626E7"/>
        <n v="389009.0"/>
        <n v="1.9886035E7"/>
        <n v="3.7948E7"/>
        <n v="702671.0"/>
        <n v="1.3461796E7"/>
        <n v="7713686.0"/>
        <n v="5.6403089E7"/>
        <n v="2001718.0"/>
        <n v="9245330.0"/>
        <n v="360000.0"/>
        <n v="1.4684317E7"/>
        <n v="1918374.0"/>
        <n v="2.5872105E7"/>
        <n v="2.2523765E7"/>
        <n v="1.6969037E7"/>
        <n v="7228760.0"/>
        <n v="1.8058441E7"/>
        <n v="3.2945076E7"/>
        <n v="6790560.0"/>
        <n v="2.0593594E7"/>
        <n v="1.7624564E7"/>
        <n v="2.3368755E7"/>
        <n v="1425912.0"/>
        <n v="2.528007E7"/>
        <n v="1.0683354E7"/>
        <n v="4715640.0"/>
        <n v="4043793.0"/>
        <n v="6546921.0"/>
        <n v="1.3069116E7"/>
        <n v="9552250.0"/>
        <n v="2.7818516E7"/>
        <n v="4923575.0"/>
        <n v="6238280.0"/>
        <n v="2.399082E7"/>
        <n v="5.0108179E7"/>
        <n v="3.338341E7"/>
        <n v="8752225.0"/>
        <n v="7.78231E7"/>
        <n v="6928760.0"/>
        <n v="1717323.0"/>
        <n v="1.7726628E7"/>
        <n v="9401355.0"/>
        <n v="1.6356539E7"/>
        <n v="2674927.0"/>
        <n v="1.4051289E7"/>
        <n v="6004550.0"/>
        <n v="1.182463E7"/>
        <n v="3.8735525E7"/>
        <n v="2.499804112E9"/>
        <n v="8650382.0"/>
        <n v="1.8851301E7"/>
        <n v="4.4203958E7"/>
        <n v="1.6603219E7"/>
        <n v="1.9865246E7"/>
        <n v="3.6460586E7"/>
        <n v="1178017.0"/>
        <n v="5.5464883E7"/>
        <n v="3400000.0"/>
        <n v="2.1926608E7"/>
        <n v="5118665.0"/>
        <n v="9988165.0"/>
        <n v="1.0703427E7"/>
        <n v="1.497962E7"/>
        <n v="4.5393665E7"/>
        <n v="2994995.0"/>
        <n v="1.1139998E7"/>
        <n v="9810821.0"/>
        <n v="6789304.0"/>
        <n v="5.98397534E8"/>
        <n v="5.9533912E7"/>
        <n v="2.9936195E7"/>
        <n v="776010.0"/>
        <n v="9530189.0"/>
        <n v="3200000.0"/>
        <n v="2.8551183E7"/>
        <n v="2.3676031E7"/>
        <n v="3270031.0"/>
        <n v="9782502.0"/>
        <n v="2816208.0"/>
        <n v="1.2471908E7"/>
        <n v="1192174.0"/>
        <n v="7.4992955E7"/>
        <n v="2.1735014E7"/>
        <n v="2.7727253E7"/>
        <n v="1801593.0"/>
        <n v="315648.0"/>
        <n v="1907599.0"/>
        <n v="4318497.0"/>
        <n v="3751299.0"/>
        <n v="9450893.0"/>
        <n v="9444652.0"/>
        <n v="1.4491311E7"/>
        <n v="2.6261368E7"/>
        <n v="1095876.0"/>
        <n v="2.4922769E7"/>
        <n v="1.1738519E7"/>
        <n v="4.97936E7"/>
        <n v="8444012.0"/>
        <n v="636215.0"/>
        <n v="9000000.0"/>
        <n v="1200000.0"/>
        <n v="1.3320925E7"/>
        <n v="808054.0"/>
        <n v="2898989.0"/>
        <n v="73435.0"/>
        <n v="4306379.0"/>
        <n v="3.2778006E7"/>
        <n v="2428096.0"/>
        <n v="809722.0"/>
        <n v="2535644.0"/>
        <n v="4.0713572E7"/>
        <n v="1.1530572E7"/>
        <n v="3785127.0"/>
        <n v="4416.0"/>
        <n v="2856597.0"/>
        <n v="3307186.0"/>
        <n v="2198810.0"/>
        <n v="3.1671949E7"/>
        <n v="1.9345223E7"/>
        <n v="37715.0"/>
        <n v="1.0227031E7"/>
        <n v="299639.0"/>
        <n v="2.0288322E7"/>
        <n v="1.405717E7"/>
        <n v="2.6095018E7"/>
        <n v="8642509.0"/>
        <n v="1.3390407E7"/>
        <n v="9980652.0"/>
        <n v="428053.0"/>
        <n v="3238291.0"/>
        <n v="3.2713269E7"/>
        <n v="2424273.0"/>
        <n v="3.8023633E7"/>
        <n v="987004.0"/>
        <n v="7.9860848E7"/>
        <n v="1.4882502E7"/>
        <n v="9773208.0"/>
        <n v="1.4724554E7"/>
        <n v="4.14E7"/>
        <n v="2.277206E7"/>
        <n v="2.1464425E7"/>
        <n v="1.0265765E7"/>
        <n v="398921.0"/>
        <n v="1.4976909E7"/>
        <n v="1.9492772E7"/>
        <n v="1.8435269E7"/>
        <n v="5261308.0"/>
        <n v="2.254355E7"/>
        <n v="1.3997244E7"/>
        <n v="9777353.0"/>
        <n v="2296998.0"/>
        <n v="4065142.0"/>
        <n v="4.1779224E7"/>
        <n v="2.3445431E7"/>
        <n v="1212565.0"/>
        <n v="1.2048569E7"/>
        <n v="4347435.0"/>
        <n v="1995042.0"/>
        <n v="5481319.0"/>
        <n v="3.9347474E7"/>
        <n v="1.1451066E7"/>
        <n v="8.0448338E7"/>
        <n v="8142624.0"/>
        <n v="1231955.0"/>
        <n v="2899325.0"/>
        <n v="8887065.0"/>
        <n v="7882810.0"/>
        <n v="2.9359355E7"/>
        <n v="6.4927587E7"/>
        <n v="1730939.0"/>
        <n v="9257739.0"/>
        <n v="1.0740241E7"/>
        <n v="2.3813043E7"/>
        <n v="9.1973129E7"/>
        <n v="7601580.0"/>
        <n v="1.7525384E7"/>
        <n v="8626307.0"/>
        <n v="8600000.0"/>
        <n v="3.1480159E7"/>
        <n v="903266.0"/>
        <n v="7242870.0"/>
        <n v="1.5E7"/>
        <n v="5.9768583E7"/>
        <n v="1.3414567E7"/>
        <n v="865951.0"/>
        <n v="4.8339916E7"/>
        <n v="7473856.0"/>
        <n v="1939157.0"/>
        <n v="3.196875E7"/>
        <n v="8069340.0"/>
        <n v="2.6573039E7"/>
        <n v="1.9693732E7"/>
        <n v="2.0949555E7"/>
        <n v="2.7339971E7"/>
        <n v="1.2069202E7"/>
        <n v="3628103.0"/>
        <n v="8881923.0"/>
        <n v="1.2879981E7"/>
        <n v="5094254.0"/>
        <n v="957510.0"/>
        <n v="9018367.0"/>
        <n v="2216223.0"/>
        <n v="2.3315181E7"/>
        <n v="605096.0"/>
        <n v="7.408817E7"/>
        <n v="4.5940982E7"/>
        <n v="2.3962091E7"/>
        <n v="5.4684676E7"/>
        <n v="1.2122192E7"/>
        <n v="1.5622726E7"/>
        <n v="2567658.0"/>
        <n v="6785970.0"/>
        <n v="3.9871022E7"/>
        <n v="3.891139E7"/>
        <n v="2737058.0"/>
        <n v="1394057.0"/>
        <n v="1.2086323E7"/>
        <n v="1.0439741E7"/>
        <n v="1.6480373E7"/>
        <n v="6457975.0"/>
        <n v="3.9335749E7"/>
        <n v="1.39E7"/>
        <n v="2.9959707E7"/>
        <n v="4.8844258E7"/>
        <n v="3.0524377E7"/>
        <n v="1.7646272E7"/>
        <n v="787759.0"/>
        <n v="1.8816646E7"/>
        <n v="2.5536708E7"/>
        <n v="531428.0"/>
        <n v="1.0482822E7"/>
        <n v="6185756.0"/>
        <n v="1.4292206E7"/>
        <n v="4346385.0"/>
        <n v="2.4599087E7"/>
        <n v="3731172.0"/>
        <n v="2726412.0"/>
        <n v="8950114.0"/>
        <n v="2.7989147E7"/>
        <n v="9.0200974E7"/>
        <n v="1.6855194E7"/>
        <n v="1.8503478E7"/>
        <n v="1093965.0"/>
        <n v="4907170.0"/>
        <n v="456793.0"/>
        <n v="2279629.0"/>
        <n v="1.97E7"/>
        <n v="905404.0"/>
        <n v="165959.0"/>
        <n v="8505389.0"/>
        <n v="1.5667676E7"/>
        <n v="9996393.0"/>
        <n v="3206096.0"/>
        <n v="1.9871876E7"/>
        <n v="4287928.0"/>
        <n v="1.4926452E7"/>
        <n v="2.7130631E7"/>
        <n v="7678961.0"/>
        <n v="4983934.0"/>
        <n v="1.2602611E7"/>
        <n v="3.3328495E7"/>
        <n v="3.371656E7"/>
        <n v="2.5032818E7"/>
        <n v="7302852.0"/>
        <n v="6.6359574E7"/>
        <n v="3.5222993E7"/>
        <n v="2.12710951E9"/>
        <n v="1.1E7"/>
        <n v="5708430.0"/>
        <n v="3368360.0"/>
        <n v="1.4994117E7"/>
        <n v="3.2310542E7"/>
        <n v="49971.0"/>
        <n v="2.372077E7"/>
        <n v="1.9647348E7"/>
        <n v="4841843.0"/>
        <n v="2.5458771E7"/>
        <n v="2.4697039E7"/>
        <n v="3.96E7"/>
        <n v="7569012.0"/>
        <n v="2.2947259E7"/>
        <n v="2.2236956E7"/>
        <n v="2.2673938E7"/>
        <n v="7937613.0"/>
        <n v="1.39853928E8"/>
        <n v="7.6070659E7"/>
        <n v="3.9034803E7"/>
        <n v="2581732.0"/>
        <n v="3.695446E7"/>
        <n v="99275.0"/>
        <n v="3.6624819E7"/>
        <n v="2400000.0"/>
        <n v="1.2946185E7"/>
        <n v="1.8752184E7"/>
        <n v="3.99545745E8"/>
        <n v="2.8329069E7"/>
        <n v="8199698.0"/>
        <n v="2195727.0"/>
        <n v="1.7430732E7"/>
        <n v="3.4547688E7"/>
        <n v="19443.0"/>
        <n v="1.0890678E7"/>
        <n v="2.2698869E7"/>
        <n v="3157942.0"/>
        <n v="1.8918217E7"/>
        <n v="4021435.0"/>
        <n v="1.1348338E7"/>
        <n v="2.472032E7"/>
        <n v="278739.0"/>
        <n v="6.938216E7"/>
        <n v="4998280.0"/>
        <n v="7467810.0"/>
        <n v="1.3334037E7"/>
        <n v="8368161.0"/>
        <n v="6939142.0"/>
        <n v="1.1464232E7"/>
        <n v="201659.0"/>
        <n v="345923.0"/>
        <n v="4.3129431E7"/>
        <n v="7373095.0"/>
        <n v="2.0412268E7"/>
        <n v="1.4549025E7"/>
        <n v="1.7231467E7"/>
        <n v="1217916.0"/>
        <n v="6470234.0"/>
        <n v="7443292.0"/>
        <n v="3.297333E7"/>
        <n v="1.2982814E8"/>
        <n v="1472045.0"/>
        <n v="6.4831323E7"/>
        <n v="1.0825346E7"/>
        <n v="2.888874E7"/>
        <n v="3.0503417E7"/>
        <n v="1.5565274E7"/>
        <n v="4.8343151E7"/>
        <n v="2.4037529E7"/>
        <n v="1.2E7"/>
        <n v="8.4540684E7"/>
        <n v="1.8218547E7"/>
        <n v="4857000.0"/>
        <n v="204532.0"/>
        <n v="3.0784021E7"/>
        <n v="2.8935714E7"/>
        <n v="1.3953505E7"/>
        <n v="451570.0"/>
        <n v="1.4664065E7"/>
        <n v="625893.0"/>
        <n v="8.8958772E7"/>
        <n v="1.0904697E7"/>
        <n v="2.1775151E7"/>
        <n v="1.49237822E8"/>
        <n v="1.1975825E7"/>
        <n v="5.0616376E7"/>
        <n v="2.1482203E7"/>
        <n v="1.0221401E7"/>
        <n v="1.0896E7"/>
        <n v="3962246.0"/>
        <n v="901776.0"/>
        <n v="1.9289545E7"/>
        <n v="1318980.0"/>
        <n v="1.1528148E7"/>
        <n v="8553105.0"/>
        <n v="1.3045798E7"/>
        <n v="4637692.0"/>
        <n v="1.3215568E7"/>
        <n v="1498907.0"/>
        <n v="1829786.0"/>
        <n v="5482285.0"/>
        <n v="8916034.0"/>
        <n v="1.6702103E7"/>
        <n v="9455857.0"/>
        <n v="4920684.0"/>
        <n v="1380159.0"/>
        <n v="3.2675768E7"/>
        <n v="1.7419365E7"/>
        <n v="3.0573703E7"/>
        <n v="5231584.0"/>
        <n v="5500000.0"/>
        <n v="1.9083691E7"/>
        <n v="6.96724557E8"/>
        <n v="2.2795993E7"/>
        <n v="2.3014913E7"/>
        <n v="9.6582135E7"/>
        <n v="9.4780265E7"/>
        <n v="1.14095E7"/>
        <n v="3474166.0"/>
        <n v="5.0231945E7"/>
        <n v="6044961.0"/>
        <n v="1.6025347E7"/>
        <n v="3771476.0"/>
        <n v="1.239E7"/>
        <n v="1.5614237E7"/>
        <n v="1.0822459E7"/>
        <n v="9136085.0"/>
        <n v="993613.0"/>
        <n v="1965583.0"/>
        <n v="3403207.0"/>
        <n v="468063.0"/>
        <n v="1823108.0"/>
        <n v="3712212.0"/>
        <n v="1605064.0"/>
        <n v="1.0374831E7"/>
        <n v="1.8353336E7"/>
        <n v="4535974.0"/>
        <n v="5882440.0"/>
        <n v="2.9593736E7"/>
        <n v="1.4313571E7"/>
        <n v="9528558.0"/>
        <n v="3398772.0"/>
        <n v="3.3982216E7"/>
        <n v="1.8696681E7"/>
        <n v="4.6604061E7"/>
        <n v="2.9671868E7"/>
        <n v="3.1527637E7"/>
        <n v="1.1272676E7"/>
        <n v="4207881.0"/>
        <n v="1.32E7"/>
        <n v="2438373.0"/>
        <n v="2.5551411E7"/>
        <n v="5.3361326E7"/>
        <n v="4.1599308E7"/>
        <n v="1.0938241E7"/>
        <n v="1.01E7"/>
        <n v="6876149.0"/>
        <n v="4.9244714E7"/>
        <n v="1.8809982E7"/>
        <n v="1.88094481E8"/>
        <n v="9192361.0"/>
        <n v="1.4182006E7"/>
        <n v="1573107.0"/>
        <n v="1.48438E7"/>
        <n v="4.071237E7"/>
        <n v="2.7051841E7"/>
        <n v="1.2904682E7"/>
        <n v="3991940.0"/>
        <n v="3.4369221E7"/>
        <n v="4.3708398E7"/>
        <n v="2.2467699E7"/>
        <n v="1.3363463E7"/>
        <n v="4152561.0"/>
        <n v="6491078.0"/>
        <n v="4081717.0"/>
        <n v="4.7934015E7"/>
        <n v="2.1569645E7"/>
        <n v="6982599.0"/>
        <n v="9491157.0"/>
        <n v="1.4169043E7"/>
        <n v="6428265.0"/>
        <n v="1.6577194E7"/>
        <n v="2298120.0"/>
        <n v="1.4816912E7"/>
        <n v="1451000.0"/>
        <n v="297532.0"/>
        <n v="6.4928486E7"/>
        <n v="1043871.0"/>
        <n v="231805.0"/>
        <n v="3716496.0"/>
        <n v="1.6624154E7"/>
        <n v="500000.0"/>
        <n v="2.9476832E7"/>
        <n v="1.2976053E7"/>
        <n v="1000000.0"/>
        <n v="2446068.0"/>
        <n v="1.4646257E7"/>
        <n v="1.280379E7"/>
        <n v="1.3960131E7"/>
        <n v="2.1561851E7"/>
        <n v="3.8476729E7"/>
        <n v="8116113.0"/>
        <n v="2.8791977E7"/>
        <n v="1.4831605E7"/>
        <n v="3.3118496E7"/>
        <n v="1.4867345E7"/>
        <n v="758291.0"/>
        <n v="3508650.0"/>
        <n v="3856347.0"/>
        <n v="3.5962961E7"/>
        <n v="1459475.0"/>
        <n v="3.4636971E7"/>
        <n v="2.4745828E7"/>
        <n v="904547.0"/>
        <n v="4236531.0"/>
        <n v="1.4794657E7"/>
        <n v="113700.0"/>
        <n v="1.6939434E7"/>
        <n v="4962560.0"/>
        <n v="3242913.0"/>
        <n v="8.9809438E7"/>
        <n v="9.8996261E8"/>
        <n v="3457140.0"/>
        <n v="6139597.0"/>
        <n v="6433363.0"/>
        <n v="4556684.0"/>
        <n v="7214368.0"/>
        <n v="861524.0"/>
        <n v="2.9500737E7"/>
        <n v="2.9565557E7"/>
        <n v="7.6985496E7"/>
        <n v="1294705.0"/>
        <n v="1336755.0"/>
        <n v="3.2900538E7"/>
        <n v="1.9145306E7"/>
        <n v="8.8214518E7"/>
        <n v="8573195.0"/>
        <n v="3917956.0"/>
        <n v="4671063.0"/>
        <n v="1.423004E7"/>
        <n v="9906393.0"/>
        <n v="6135658.0"/>
        <n v="2325000.0"/>
        <n v="2.2777816E7"/>
        <n v="2747274.0"/>
        <n v="2.4731154E7"/>
        <n v="689492.0"/>
        <n v="9.5588898E7"/>
        <n v="2.9E7"/>
        <n v="899760.0"/>
        <n v="1.49800772E8"/>
        <n v="5669173.0"/>
        <n v="6929955.0"/>
        <n v="1661305.0"/>
        <n v="4.1771652E7"/>
        <n v="1.4072893E7"/>
        <n v="1.5307392E7"/>
        <n v="1126033.0"/>
        <n v="7709024.0"/>
        <n v="1806081.0"/>
        <n v="2.3800483E7"/>
        <n v="3.26375E7"/>
        <n v="4241500.0"/>
        <n v="447150.0"/>
        <n v="4508347.0"/>
        <n v="1234893.0"/>
        <n v="1.2698695E7"/>
        <n v="1.952373E7"/>
        <n v="3.0863374E7"/>
        <n v="9975917.0"/>
        <n v="1.0673164E7"/>
        <n v="5600389.0"/>
        <n v="3312828.0"/>
        <n v="1845268.0"/>
        <n v="2.9821223E7"/>
        <n v="5.980129E7"/>
        <n v="2.397701809E9"/>
        <n v="1.6406844E7"/>
        <n v="1.7258404E7"/>
        <n v="1.4618493E7"/>
        <n v="3.4931608E7"/>
        <n v="1.90641321E8"/>
        <n v="1331157.0"/>
        <n v="9181250.0"/>
        <n v="1780971.0"/>
        <n v="6803933.0"/>
        <n v="5.53005191E8"/>
        <n v="1421092.0"/>
        <n v="9550442.0"/>
        <n v="2.0479108E7"/>
        <n v="3877439.0"/>
        <n v="2407809.0"/>
        <n v="7077834.0"/>
        <n v="2.262091E7"/>
        <n v="1.518296E7"/>
        <n v="8.3406809E7"/>
        <n v="3.1951647E7"/>
        <n v="8167174.0"/>
        <n v="1.8423913E7"/>
        <n v="4308561.0"/>
        <n v="2.8407897E7"/>
        <n v="6.9223741E7"/>
        <n v="6640707.0"/>
        <n v="8192146.0"/>
        <n v="2.4816338E7"/>
        <n v="420316.0"/>
        <n v="2.8159583E7"/>
        <n v="1.548161E7"/>
        <n v="1.4888185E7"/>
        <n v="6976162.0"/>
        <n v="9830576.0"/>
        <n v="1260859.0"/>
        <n v="1.5791616E7"/>
        <n v="5.5948241E7"/>
        <n v="2.2431493E7"/>
        <n v="1.175286E7"/>
        <n v="1.5147856E7"/>
        <n v="3297099.0"/>
        <n v="4.7128307E7"/>
        <n v="1.0474724E7"/>
        <n v="1.2571009E8"/>
        <n v="2.0924712E7"/>
        <n v="1288722.0"/>
        <n v="5940412.0"/>
        <n v="3557841.0"/>
        <n v="1.8891023E7"/>
        <n v="1.1827231E7"/>
        <n v="2.006633E7"/>
        <n v="4505513.0"/>
        <n v="1.3266274E7"/>
        <n v="4169790.0"/>
        <n v="1.0764163E7"/>
        <n v="1305432.0"/>
        <n v="1207221.0"/>
        <n v="4651683.0"/>
        <n v="9939047.0"/>
        <n v="9994022.0"/>
        <n v="2.5993274E7"/>
        <n v="1.1851144E7"/>
        <n v="3.0348023E7"/>
        <n v="6827190.0"/>
        <n v="688237.0"/>
        <n v="6967504.0"/>
        <n v="8954199.0"/>
        <n v="1455956.0"/>
        <n v="4.2718168E7"/>
        <n v="7391173.0"/>
        <n v="6.704798E7"/>
        <n v="2.8169943E7"/>
        <n v="2450515.0"/>
        <n v="4.6840695E7"/>
        <n v="4934913.0"/>
        <n v="1774772.0"/>
        <n v="2.490381E7"/>
        <n v="5744713.0"/>
        <n v="7899497.0"/>
        <n v="4072280.0"/>
        <n v="417976.0"/>
        <n v="2.0E7"/>
        <n v="9094723.0"/>
        <n v="7128397.0"/>
        <n v="3.4816875E7"/>
        <n v="2.616187E7"/>
        <n v="6919884.0"/>
        <n v="1912244.0"/>
        <n v="7469465.0"/>
        <n v="1233986.0"/>
        <n v="17786.0"/>
        <n v="3.2245792E7"/>
        <n v="9099074.0"/>
        <n v="4877005.0"/>
        <n v="7.490142E7"/>
        <n v="1.7680813E7"/>
        <n v="6644564.0"/>
        <n v="5628919.0"/>
        <n v="7027590.0"/>
        <n v="2.8889425E7"/>
        <n v="8185137.0"/>
        <n v="1.6662721E7"/>
        <n v="2.99897945E8"/>
        <n v="6073753.0"/>
        <n v="7200000.0"/>
        <n v="4907100.0"/>
        <n v="1.4382684E8"/>
        <n v="7891338.0"/>
        <n v="4921063.0"/>
        <n v="3535096.0"/>
        <n v="1.2305895E7"/>
        <n v="4.8197944E7"/>
        <n v="5477230.0"/>
        <n v="2436330.0"/>
        <n v="1.5705099E7"/>
        <n v="9421473.0"/>
        <n v="1.3912817E7"/>
        <n v="2.1383311E7"/>
        <n v="4.5618284E7"/>
        <n v="4483513.0"/>
        <n v="1.2037424E7"/>
        <n v="2.1949883E7"/>
        <n v="6953549.0"/>
        <n v="2.4943308E7"/>
        <n v="2.3402879E7"/>
        <n v="1.1792806E7"/>
        <n v="2718714.0"/>
        <n v="3725615.0"/>
        <n v="1.7092709E7"/>
        <n v="6210687.0"/>
        <n v="8245681.0"/>
        <n v="6002193.0"/>
        <n v="1.1834365E7"/>
        <n v="1.3991568E7"/>
        <n v="9693553.0"/>
        <n v="8368825.0"/>
        <n v="1.5997036E7"/>
        <n v="1.6880121E7"/>
        <n v="750995.0"/>
        <n v="3.2005864E7"/>
        <n v="3189032.0"/>
        <n v="3469419.0"/>
        <n v="2022635.0"/>
        <n v="7900000.0"/>
        <n v="7116045.0"/>
        <n v="1.4168495E7"/>
        <n v="2.3910635E7"/>
        <n v="9980747.0"/>
        <n v="3.5164032E7"/>
        <n v="701468.0"/>
        <n v="5.4531374E7"/>
        <n v="6766897.0"/>
        <n v="1.0802214E7"/>
        <n v="2.3948874E7"/>
        <n v="2.395712E7"/>
        <n v="1.81E7"/>
        <n v="1.2170266E7"/>
        <n v="1.6880006E7"/>
        <n v="8972555.0"/>
        <n v="2800000.0"/>
        <n v="1.7287907E7"/>
        <n v="2.3839471E7"/>
        <n v="6389971.0"/>
        <n v="945296.0"/>
        <n v="2425934.0"/>
        <n v="2.9610033E7"/>
        <n v="5572976.0"/>
        <n v="1.4024817E7"/>
        <n v="478801.0"/>
        <n v="9984553.0"/>
        <n v="5.1009458E7"/>
        <n v="1089280.0"/>
        <n v="4.6917712E7"/>
        <n v="1.2069815E7"/>
        <n v="1.1689814E7"/>
        <n v="5089440.0"/>
        <n v="6617054.0"/>
        <n v="5.3559509E7"/>
        <n v="9561700.0"/>
        <n v="2712523.0"/>
        <n v="9117710.0"/>
        <n v="1.196134E7"/>
        <n v="1.0993094E7"/>
        <n v="5204874.0"/>
        <n v="1.0297723E7"/>
        <n v="3.0695163E7"/>
        <n v="4.5433254E7"/>
        <n v="2.499009E7"/>
        <n v="2716218.0"/>
        <n v="1496522.0"/>
        <n v="1.2731341E7"/>
        <n v="1156686.0"/>
        <n v="1482420.0"/>
        <n v="1994515.0"/>
        <n v="5.9331829E7"/>
        <n v="3.5748872E7"/>
        <n v="9.6179906E7"/>
        <n v="4.0554783E7"/>
        <n v="2.850573E7"/>
        <n v="1.9982851E7"/>
        <n v="2.3594175E7"/>
        <n v="1.8442521E7"/>
        <n v="4505853.0"/>
        <n v="3.6426209E7"/>
        <n v="2799197.0"/>
        <n v="1.830947E7"/>
        <n v="1.9624526E7"/>
        <n v="1.7399565E7"/>
        <n v="2.0291812E7"/>
        <n v="1.0922453E7"/>
        <n v="4005443.0"/>
        <n v="3.5610546E7"/>
        <n v="9673593.0"/>
        <n v="8185043.0"/>
        <n v="1.5229136E7"/>
        <n v="1.1643257E7"/>
        <n v="1560341.0"/>
        <n v="8936125.0"/>
        <n v="1.0285518E7"/>
        <n v="1.4280633E7"/>
        <n v="1.1906682E7"/>
        <n v="1.15374E7"/>
        <n v="3088667.0"/>
        <n v="2435641.0"/>
        <n v="2.3100203E7"/>
        <n v="1.0E7"/>
        <n v="1.0151678E7"/>
        <n v="2.4326667E7"/>
        <n v="7747170.0"/>
        <n v="9284389.0"/>
        <n v="2.5739083E7"/>
        <n v="2.0203976E7"/>
        <n v="6.1682E7"/>
        <n v="2.9067628E7"/>
        <n v="1951288.0"/>
        <n v="2.2520222E7"/>
        <n v="1.3571117E7"/>
        <n v="25318.0"/>
        <n v="3.8972251E7"/>
        <n v="1.944007E7"/>
        <n v="2400149.0"/>
        <n v="6.2149904E7"/>
        <n v="1.4298357E7"/>
        <n v="5.7435963E7"/>
        <n v="2271261.0"/>
        <n v="8.4593638E7"/>
        <n v="1.5552522E7"/>
        <n v="2.4969837E7"/>
        <n v="2795501.0"/>
        <n v="2326217.0"/>
        <n v="2697796.0"/>
        <n v="401983.0"/>
        <n v="1.15E7"/>
        <n v="696442.0"/>
        <n v="1.0639221E7"/>
        <n v="1.3811358E7"/>
        <n v="5.6073614E7"/>
        <n v="6639805.0"/>
        <n v="1.374968E7"/>
        <n v="6312165.0"/>
        <n v="2.346388E7"/>
        <n v="3.9371991E7"/>
        <n v="3.1631573E7"/>
        <n v="1.0886412E7"/>
        <n v="3.0915039E7"/>
        <n v="4692196.0"/>
        <n v="1.0806975E7"/>
        <n v="1.9034791E7"/>
        <n v="5.9973647E7"/>
        <n v="928770.0"/>
        <n v="2470843.0"/>
        <n v="338009.0"/>
        <n v="5755845.0"/>
        <n v="2.9304773E7"/>
        <n v="2.7024351E7"/>
        <n v="1.0660475E7"/>
        <n v="3.3873489E7"/>
        <n v="1.2785034E7"/>
        <n v="720718.0"/>
        <n v="2.1219958E7"/>
        <n v="3.9383131E7"/>
        <n v="4.5516179E7"/>
        <n v="9133222.0"/>
        <n v="1.0603058E7"/>
        <n v="2613590.0"/>
        <n v="7998060.0"/>
        <n v="1117120.0"/>
        <n v="2.1441338E7"/>
        <n v="5.9977549E7"/>
        <n v="4995352.0"/>
        <n v="1870242.0"/>
        <n v="3600207.0"/>
        <n v="799341.0"/>
        <n v="8.3287549E7"/>
        <n v="3385764.0"/>
        <n v="5.19751E7"/>
        <n v="5719423.0"/>
        <n v="1569178.0"/>
        <n v="1.7843067E7"/>
        <n v="6012518.0"/>
        <n v="631531.0"/>
        <n v="1.36702695E8"/>
        <n v="2.2509198E7"/>
        <n v="88202.0"/>
        <n v="1336492.0"/>
        <n v="3.643904E7"/>
        <n v="2497745.0"/>
        <n v="5.9192738E7"/>
        <n v="5470983.0"/>
        <n v="4.9976894E7"/>
        <n v="2777139.0"/>
        <n v="2003560.0"/>
        <n v="4.1424284E7"/>
        <n v="2095743.0"/>
        <n v="198889.0"/>
        <n v="9767063.0"/>
        <n v="7.086867E7"/>
        <n v="4231704.0"/>
        <n v="2.8419913E7"/>
        <n v="1.0217492E7"/>
        <n v="3.68944E7"/>
        <n v="586507.0"/>
        <n v="4.4951668E7"/>
        <n v="2.4878709E7"/>
        <n v="2.1162885E7"/>
        <n v="87637.0"/>
        <n v="1.3383001E7"/>
        <n v="5225998.0"/>
        <n v="5262941.0"/>
        <n v="2.4549473E7"/>
        <n v="8359756.0"/>
        <n v="8851518.0"/>
        <n v="1.9119074E7"/>
        <n v="787706.0"/>
        <n v="2.4043621E7"/>
        <n v="1.9691019E7"/>
        <n v="4391771.0"/>
        <n v="3019662.0"/>
        <n v="1875506.0"/>
        <n v="2533006.0"/>
        <n v="1800000.0"/>
        <n v="518814.0"/>
        <n v="1.8774204E7"/>
        <n v="6894032.0"/>
        <n v="4.8816034E7"/>
        <n v="712239.0"/>
        <n v="4851788.0"/>
        <n v="5005196.0"/>
        <n v="1.286305E7"/>
        <n v="9430929.0"/>
        <n v="2.8675334E7"/>
        <n v="895923.0"/>
        <n v="1.4306109E7"/>
        <n v="2.1084535E7"/>
        <n v="1.9923562E7"/>
        <n v="1.5998879E7"/>
        <n v="672499.0"/>
        <n v="4.1132306E7"/>
        <n v="1.6682849E7"/>
        <n v="6349262.0"/>
        <n v="2.7059493E7"/>
        <n v="1.2513862E7"/>
        <n v="1304240.0"/>
        <n v="4.8012713E7"/>
        <n v="4988000.0"/>
        <n v="1.3955468E7"/>
        <n v="1498479.0"/>
        <n v="1.0665355E7"/>
        <n v="1997564.0"/>
        <n v="1217162.0"/>
        <n v="1.6446167E7"/>
        <n v="925977.0"/>
        <n v="1.2247786E7"/>
        <n v="348611.0"/>
        <n v="7.1007672E7"/>
        <n v="3.3795862E7"/>
        <n v="6072524.0"/>
        <n v="7146360.0"/>
        <n v="2.6800785E7"/>
        <n v="8049706.0"/>
        <n v="7696561.0"/>
        <n v="2.3660367E7"/>
        <n v="1.28624673E8"/>
        <n v="1.8987439E7"/>
        <n v="1.01879446E8"/>
        <n v="1.5116461E7"/>
        <n v="2.000193E7"/>
        <n v="5130675.0"/>
        <n v="1.6008503E7"/>
        <n v="7965819.0"/>
        <n v="2.2528315E7"/>
        <n v="1.3594629E7"/>
        <n v="1734419.0"/>
        <n v="2292073.0"/>
        <n v="2.8437251E7"/>
        <n v="2247069.0"/>
        <n v="1.0241539E7"/>
        <n v="6429473.0"/>
        <n v="1.0260951E7"/>
        <n v="8337682.0"/>
        <n v="9252415.0"/>
        <n v="6782889.0"/>
        <n v="1.64E7"/>
        <n v="3219004.0"/>
        <n v="9382401.0"/>
        <n v="3.371168E7"/>
        <n v="1141064.0"/>
        <n v="1.6601608E7"/>
        <n v="3.4226481E7"/>
        <n v="5149694.0"/>
        <n v="6666177.0"/>
        <n v="4330587.0"/>
        <n v="1.135231E7"/>
        <n v="1.8287436E7"/>
        <n v="3.2098491E7"/>
        <n v="2.4282247E7"/>
        <n v="1.0120004E7"/>
        <n v="3380827.0"/>
        <n v="603965.0"/>
        <n v="2.1001676E7"/>
        <n v="1.0144863E7"/>
        <n v="3437941.0"/>
        <n v="3922954.0"/>
        <n v="6814219.0"/>
        <n v="3786587.0"/>
        <n v="4.3997807E7"/>
        <n v="3.6709023E7"/>
        <n v="1.1701351E7"/>
        <n v="5246069.0"/>
        <n v="7.7810499E7"/>
        <n v="7981305.0"/>
        <n v="6958197.0"/>
        <n v="3.6142013E7"/>
        <n v="3462394.0"/>
        <n v="6608826.0"/>
        <n v="1576479.0"/>
        <n v="1.0220716E7"/>
        <n v="3401692.0"/>
        <n v="2.3399089E7"/>
        <n v="8743723.0"/>
        <n v="1107418.0"/>
        <n v="8102818.0"/>
        <n v="1.8011004E7"/>
        <n v="1.4290615E7"/>
        <n v="3.1483987E7"/>
        <n v="1.1491577E7"/>
        <n v="9708035.0"/>
        <n v="7913655.0"/>
        <n v="3802134.0"/>
        <n v="1.1849597E7"/>
        <n v="1.4386444E7"/>
        <n v="4.3926768E7"/>
        <n v="7714482.0"/>
        <n v="7352460.0"/>
        <n v="9976725.0"/>
        <n v="5884138.0"/>
        <n v="4475146.0"/>
        <n v="826515.0"/>
        <n v="1.3236409E7"/>
        <n v="2.9643614E7"/>
        <n v="6435852.0"/>
        <n v="3.3853591E7"/>
        <n v="2055787.0"/>
        <n v="2778191.0"/>
        <n v="1642524.0"/>
        <n v="2.4222577E7"/>
        <n v="8930592.0"/>
        <n v="2308300.0"/>
        <n v="4115185.0"/>
        <n v="2566866.0"/>
        <n v="2.8979512E7"/>
        <n v="3.0410125E7"/>
        <n v="1.3436643E7"/>
        <n v="2561892.0"/>
        <n v="7953834.0"/>
        <n v="8.5995841E7"/>
        <n v="8216000.0"/>
        <n v="1950865.0"/>
        <n v="2.9449288E7"/>
        <n v="8.7E7"/>
        <n v="123471.0"/>
        <n v="1363170.0"/>
        <n v="6758303.0"/>
        <n v="3.2156953E7"/>
        <n v="1.823687E7"/>
        <n v="2.2332053E7"/>
        <n v="1.4250866E7"/>
        <n v="5127357.0"/>
        <n v="4.3122835E7"/>
        <n v="9708376.0"/>
        <n v="3855482.0"/>
        <n v="5.0180506E7"/>
        <n v="1891482.0"/>
        <n v="1.7872563E7"/>
        <n v="60918.0"/>
        <n v="2.8834579E7"/>
        <n v="3853598.0"/>
        <n v="818710.0"/>
        <n v="4202093.0"/>
        <n v="2.834276E7"/>
        <n v="2.4995244E7"/>
        <n v="1.3E7"/>
        <n v="1.372319E7"/>
        <n v="3.0517805E7"/>
        <n v="5.5263886E7"/>
        <n v="8.3832772E7"/>
        <n v="1.5430082E7"/>
        <n v="1.1011124E7"/>
        <n v="1.5218475E7"/>
        <n v="6.2406609E7"/>
        <n v="7997690.0"/>
        <n v="5973565.0"/>
        <n v="9511128.0"/>
        <n v="2.483237E7"/>
        <n v="4797910.0"/>
        <n v="3987164.0"/>
        <n v="1.194572E7"/>
        <n v="3260233.0"/>
        <n v="1.2587955E7"/>
        <n v="4059945.0"/>
        <n v="5964485.0"/>
        <n v="8.8062505E7"/>
        <n v="104762.0"/>
        <n v="1573149.0"/>
        <n v="5.2248021E7"/>
        <n v="4875280.0"/>
        <n v="5724443.0"/>
        <n v="3.7407175E7"/>
        <n v="2.946242E7"/>
        <n v="8944346.0"/>
        <n v="9441786.0"/>
        <n v="2200996.0"/>
        <n v="2.2324928E7"/>
        <n v="5.2526755E7"/>
        <n v="6.9477903E7"/>
        <n v="978790.0"/>
        <n v="4588020.0"/>
        <n v="1.9513094E7"/>
        <n v="1.3585465E7"/>
        <n v="2844228.0"/>
        <n v="1.0493002E7"/>
        <n v="6439124.0"/>
        <n v="2.780594E7"/>
        <n v="8060559.0"/>
        <n v="2.459275E7"/>
        <n v="1.0675256E7"/>
        <n v="1516510.0"/>
        <n v="3.3045595E7"/>
        <n v="7865580.0"/>
        <n v="6616263.0"/>
        <n v="4.4854891E7"/>
        <n v="8965564.0"/>
        <n v="2.4870885E7"/>
        <n v="198218.0"/>
        <n v="3.7083113E7"/>
        <n v="1.4353446E7"/>
        <n v="3.040626E7"/>
        <n v="1305692.0"/>
        <n v="1888640.0"/>
        <n v="2.9346242E7"/>
        <n v="1.089709E7"/>
        <n v="1.4318803E7"/>
        <n v="2.4655608E7"/>
        <n v="2.4977277E7"/>
        <n v="2480678.0"/>
        <n v="3135041.0"/>
        <n v="1.7174509E7"/>
        <n v="3.534441E7"/>
        <n v="3742998.0"/>
        <n v="1.4360758E7"/>
        <n v="5245102.0"/>
        <n v="1476537.0"/>
        <n v="1.7403744E7"/>
        <n v="6.2902875E7"/>
        <n v="3.7894825E7"/>
        <n v="7246194.0"/>
        <n v="4.1457582E7"/>
        <n v="6784690.0"/>
        <n v="1047380.0"/>
        <n v="1.8586498E7"/>
        <n v="6198245.0"/>
        <n v="4.4925825E7"/>
        <n v="467355.0"/>
        <n v="2.47E7"/>
        <n v="3017368.0"/>
        <n v="2.345E7"/>
        <n v="4.284546E7"/>
        <n v="1.7918075E7"/>
        <n v="2.2654469E7"/>
        <n v="7.4679997E7"/>
        <n v="2.4008619E7"/>
        <n v="3900000.0"/>
        <n v="1947834.0"/>
        <n v="7601372.0"/>
        <n v="693303.0"/>
        <n v="953049.0"/>
        <n v="2.0761389E7"/>
        <n v="5515935.0"/>
        <n v="1539005.0"/>
        <n v="8164216.0"/>
        <n v="9352616.0"/>
        <n v="3.8434505E7"/>
        <n v="1.9292673E7"/>
        <n v="2.1621647E7"/>
        <n v="2.2505025E7"/>
        <n v="5443993.0"/>
        <n v="100000.0"/>
        <n v="1.1160617E7"/>
        <n v="3.7566085E7"/>
        <n v="1.2249417E7"/>
        <n v="2.5641967E7"/>
        <n v="1.1858147E7"/>
        <n v="2554354.0"/>
        <n v="1.493E7"/>
        <n v="8.7207693E7"/>
        <n v="256653.0"/>
        <n v="3556518.0"/>
        <n v="4.0415114E7"/>
        <n v="1.3884496E7"/>
        <n v="1.7168879E7"/>
        <n v="1.4015257E7"/>
        <n v="9994439.0"/>
        <n v="4829854.0"/>
        <n v="9868383.0"/>
        <n v="1172081.0"/>
        <n v="3628423.0"/>
        <n v="477000.0"/>
        <n v="5.0299935E7"/>
        <n v="5.5705158E7"/>
        <n v="1507034.0"/>
        <n v="6526640.0"/>
        <n v="1.9565399E7"/>
        <n v="2.4923864E7"/>
        <n v="1.3751523E7"/>
        <n v="1.9799588E7"/>
        <n v="6.264391E7"/>
        <n v="3017320.0"/>
        <n v="6794756.0"/>
        <n v="1499297.0"/>
        <n v="8224415.0"/>
        <n v="4016.0"/>
        <n v="2.0041681E7"/>
        <n v="3.1471505E7"/>
        <n v="1.09244357E8"/>
        <n v="937520.0"/>
        <n v="4515625.0"/>
        <n v="2.9649103E7"/>
        <n v="7814734.0"/>
        <n v="2.5622273E7"/>
        <n v="1.2662421E7"/>
        <n v="1.0197239E7"/>
        <n v="2.7877751E7"/>
        <n v="5.6254592E7"/>
        <n v="9908458.0"/>
        <n v="515779.0"/>
        <n v="5365542.0"/>
        <n v="4985459.0"/>
        <n v="1.1895931E7"/>
        <n v="9933445.0"/>
        <n v="4.7778542E7"/>
        <n v="3.0619558E7"/>
        <n v="2.4123329E7"/>
        <n v="4527033.0"/>
        <n v="5952000.0"/>
        <n v="1.1880078E7"/>
        <n v="1.036251E7"/>
        <n v="2895331.0"/>
        <n v="2.152715E7"/>
        <n v="6.4975525E7"/>
        <n v="147562.0"/>
        <n v="1.0625822E7"/>
        <n v="3.1654597E7"/>
        <n v="2.6003245E7"/>
        <n v="535874.0"/>
        <n v="5180871.0"/>
        <n v="1.8704226E7"/>
      </sharedItems>
    </cacheField>
    <cacheField name="title_year" numFmtId="0">
      <sharedItems containsSemiMixedTypes="0" containsString="0" containsNumber="1" containsInteger="1">
        <n v="2013.0"/>
        <n v="2015.0"/>
        <n v="2004.0"/>
        <n v="1964.0"/>
        <n v="2000.0"/>
        <n v="1994.0"/>
        <n v="1998.0"/>
        <n v="2006.0"/>
        <n v="1992.0"/>
        <n v="2001.0"/>
        <n v="1996.0"/>
        <n v="2010.0"/>
        <n v="1999.0"/>
        <n v="2002.0"/>
        <n v="1948.0"/>
        <n v="2007.0"/>
        <n v="2009.0"/>
        <n v="1984.0"/>
        <n v="1986.0"/>
        <n v="2003.0"/>
        <n v="2008.0"/>
        <n v="1987.0"/>
        <n v="2011.0"/>
        <n v="1993.0"/>
        <n v="2016.0"/>
        <n v="2005.0"/>
        <n v="1989.0"/>
        <n v="2014.0"/>
        <n v="2012.0"/>
        <n v="1965.0"/>
        <n v="1983.0"/>
        <n v="1997.0"/>
        <n v="1990.0"/>
        <n v="1995.0"/>
        <n v="1988.0"/>
        <n v="1977.0"/>
        <n v="1979.0"/>
        <n v="1985.0"/>
        <n v="1991.0"/>
        <n v="1940.0"/>
        <n v="1971.0"/>
        <n v="1963.0"/>
        <n v="1982.0"/>
        <n v="1981.0"/>
        <n v="1978.0"/>
        <n v="1935.0"/>
        <n v="1973.0"/>
        <n v="1968.0"/>
        <n v="1974.0"/>
        <n v="1920.0"/>
        <n v="1970.0"/>
        <n v="1975.0"/>
        <n v="1980.0"/>
        <n v="1960.0"/>
        <n v="1961.0"/>
        <n v="1946.0"/>
        <n v="1959.0"/>
        <n v="1962.0"/>
        <n v="1954.0"/>
        <n v="1976.0"/>
        <n v="1933.0"/>
        <n v="1972.0"/>
        <n v="1969.0"/>
        <n v="1953.0"/>
        <n v="1966.0"/>
        <n v="1936.0"/>
        <n v="1939.0"/>
        <n v="1950.0"/>
        <n v="1937.0"/>
        <n v="1957.0"/>
        <n v="1967.0"/>
        <n v="1947.0"/>
        <n v="1927.0"/>
        <n v="1952.0"/>
        <n v="1929.0"/>
      </sharedItems>
    </cacheField>
    <cacheField name="imdb_score" numFmtId="0">
      <sharedItems containsSemiMixedTypes="0" containsString="0" containsNumber="1">
        <n v="5.9"/>
        <n v="5.3"/>
        <n v="7.5"/>
        <n v="8.0"/>
        <n v="7.3"/>
        <n v="6.2"/>
        <n v="8.9"/>
        <n v="6.1"/>
        <n v="4.4"/>
        <n v="7.7"/>
        <n v="7.6"/>
        <n v="6.0"/>
        <n v="3.6"/>
        <n v="4.1"/>
        <n v="5.6"/>
        <n v="7.0"/>
        <n v="7.1"/>
        <n v="4.9"/>
        <n v="7.9"/>
        <n v="6.5"/>
        <n v="6.7"/>
        <n v="6.8"/>
        <n v="6.3"/>
        <n v="6.4"/>
        <n v="8.4"/>
        <n v="5.4"/>
        <n v="4.7"/>
        <n v="5.5"/>
        <n v="2.7"/>
        <n v="5.8"/>
        <n v="6.9"/>
        <n v="6.6"/>
        <n v="4.2"/>
        <n v="7.2"/>
        <n v="4.6"/>
        <n v="5.7"/>
        <n v="8.3"/>
        <n v="5.1"/>
        <n v="7.8"/>
        <n v="7.4"/>
        <n v="8.1"/>
        <n v="1.6"/>
        <n v="2.2"/>
        <n v="8.6"/>
        <n v="5.2"/>
        <n v="4.8"/>
        <n v="4.3"/>
        <n v="4.5"/>
        <n v="8.7"/>
        <n v="2.3"/>
        <n v="3.7"/>
        <n v="3.5"/>
        <n v="3.9"/>
        <n v="5.0"/>
        <n v="3.8"/>
        <n v="8.8"/>
        <n v="4.0"/>
        <n v="3.3"/>
        <n v="2.8"/>
        <n v="8.5"/>
        <n v="8.2"/>
        <n v="3.1"/>
        <n v="3.0"/>
        <n v="2.1"/>
        <n v="2.4"/>
        <n v="3.4"/>
        <n v="1.9"/>
        <n v="9.2"/>
        <n v="9.0"/>
        <n v="9.3"/>
        <n v="2.9"/>
        <n v="2.5"/>
        <n v="3.2"/>
        <n v="2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s" cacheId="0" dataCaption="" createdVersion="6" compact="0" compactData="0">
  <location ref="A3:B13" firstHeaderRow="0" firstDataRow="1" firstDataCol="0" rowPageCount="1" colPageCount="1"/>
  <pivotFields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t="default"/>
      </items>
    </pivotField>
    <pivotField name="director_nam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t="default"/>
      </items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name="gros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t="default"/>
      </items>
    </pivotField>
    <pivotField name="Num_Of_gener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t="default"/>
      </items>
    </pivotField>
    <pivotField name="clean_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t="default"/>
      </items>
    </pivotField>
    <pivotField name="movie_titl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budge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t="default"/>
      </items>
    </pivotField>
    <pivotField name="profit" axis="axisPag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t="default"/>
      </items>
    </pivotField>
    <pivotField name="Loss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name="imdb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>
    <field x="8"/>
  </rowFields>
  <pageFields>
    <pageField fld="15"/>
  </pageFields>
  <dataFields>
    <dataField name="SUM of profit" fld="15" baseField="0"/>
  </dataFields>
  <filters>
    <filter fld="15" type="captionGreaterThanOrEqual" evalOrder="-1" id="1" stringValue1="348,316,061.00">
      <autoFilter ref="A1">
        <filterColumn colId="0">
          <customFilters>
            <customFilter operator="greaterThanOrEqual" val="348,316,061.00"/>
          </customFilters>
        </filterColumn>
      </autoFilter>
    </filter>
  </filters>
</pivotTableDefinition>
</file>

<file path=xl/pivotTables/pivotTable2.xml><?xml version="1.0" encoding="utf-8"?>
<pivotTableDefinition xmlns="http://schemas.openxmlformats.org/spreadsheetml/2006/main" name="pivots 2" cacheId="0" dataCaption="" rowGrandTotals="0" createdVersion="6" compact="0" compactData="0">
  <location ref="D3:G13" firstHeaderRow="0" firstDataRow="3" firstDataCol="0" rowPageCount="1" colPageCount="1"/>
  <pivotFields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t="default"/>
      </items>
    </pivotField>
    <pivotField name="director_name2" axis="axisRow" compact="0" outline="0" multipleItemSelectionAllowed="1" showAll="0" sortType="ascending" defaultSubtota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name="gros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t="default"/>
      </items>
    </pivotField>
    <pivotField name="Num_Of_gener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t="default"/>
      </items>
    </pivotField>
    <pivotField name="clean_actor_1_name" axis="axisRow" compact="0" outline="0" multipleItemSelectionAllowed="1" showAll="0" sortType="ascending">
      <items>
        <item x="1150"/>
        <item x="709"/>
        <item x="334"/>
        <item x="704"/>
        <item x="791"/>
        <item x="641"/>
        <item x="861"/>
        <item x="1066"/>
        <item x="108"/>
        <item x="431"/>
        <item x="1027"/>
        <item x="353"/>
        <item x="1030"/>
        <item x="723"/>
        <item x="980"/>
        <item x="938"/>
        <item x="1367"/>
        <item x="1005"/>
        <item x="55"/>
        <item x="113"/>
        <item x="749"/>
        <item x="1247"/>
        <item x="675"/>
        <item x="588"/>
        <item x="1108"/>
        <item x="354"/>
        <item x="624"/>
        <item x="193"/>
        <item x="472"/>
        <item x="62"/>
        <item x="628"/>
        <item x="143"/>
        <item x="298"/>
        <item x="388"/>
        <item x="627"/>
        <item x="1185"/>
        <item x="299"/>
        <item x="776"/>
        <item x="371"/>
        <item x="538"/>
        <item x="992"/>
        <item x="478"/>
        <item x="1043"/>
        <item x="612"/>
        <item x="515"/>
        <item x="963"/>
        <item x="301"/>
        <item x="183"/>
        <item x="869"/>
        <item x="223"/>
        <item x="1348"/>
        <item x="275"/>
        <item x="621"/>
        <item x="969"/>
        <item x="1042"/>
        <item x="606"/>
        <item x="1196"/>
        <item x="127"/>
        <item x="1369"/>
        <item x="1215"/>
        <item x="804"/>
        <item x="1113"/>
        <item x="429"/>
        <item x="1357"/>
        <item x="1207"/>
        <item x="179"/>
        <item x="766"/>
        <item x="488"/>
        <item x="881"/>
        <item x="297"/>
        <item x="148"/>
        <item x="908"/>
        <item x="1125"/>
        <item x="768"/>
        <item x="995"/>
        <item x="721"/>
        <item x="1339"/>
        <item x="272"/>
        <item x="485"/>
        <item x="467"/>
        <item x="15"/>
        <item x="73"/>
        <item x="41"/>
        <item x="734"/>
        <item x="1262"/>
        <item x="1403"/>
        <item x="271"/>
        <item x="1407"/>
        <item x="1288"/>
        <item x="439"/>
        <item x="840"/>
        <item x="1250"/>
        <item x="602"/>
        <item x="1208"/>
        <item x="960"/>
        <item x="680"/>
        <item x="996"/>
        <item x="1114"/>
        <item x="1107"/>
        <item x="696"/>
        <item x="1013"/>
        <item x="1194"/>
        <item x="160"/>
        <item x="589"/>
        <item x="418"/>
        <item x="638"/>
        <item x="1140"/>
        <item x="1054"/>
        <item x="1198"/>
        <item x="1232"/>
        <item x="1253"/>
        <item x="416"/>
        <item x="973"/>
        <item x="559"/>
        <item x="789"/>
        <item x="98"/>
        <item x="1065"/>
        <item x="252"/>
        <item x="32"/>
        <item x="105"/>
        <item x="754"/>
        <item x="1000"/>
        <item x="1133"/>
        <item x="20"/>
        <item x="165"/>
        <item x="90"/>
        <item x="955"/>
        <item x="666"/>
        <item x="83"/>
        <item x="233"/>
        <item x="803"/>
        <item x="808"/>
        <item x="36"/>
        <item x="930"/>
        <item x="769"/>
        <item x="1229"/>
        <item x="1380"/>
        <item x="266"/>
        <item x="104"/>
        <item x="1319"/>
        <item x="772"/>
        <item x="464"/>
        <item x="738"/>
        <item x="811"/>
        <item x="1055"/>
        <item x="670"/>
        <item x="543"/>
        <item x="1178"/>
        <item x="247"/>
        <item x="607"/>
        <item x="315"/>
        <item x="1235"/>
        <item x="222"/>
        <item x="1298"/>
        <item x="856"/>
        <item x="939"/>
        <item x="1001"/>
        <item x="0"/>
        <item x="1141"/>
        <item x="535"/>
        <item x="70"/>
        <item x="1333"/>
        <item x="494"/>
        <item x="755"/>
        <item x="1301"/>
        <item x="1256"/>
        <item x="837"/>
        <item x="562"/>
        <item x="983"/>
        <item x="631"/>
        <item x="6"/>
        <item x="180"/>
        <item x="735"/>
        <item x="1201"/>
        <item x="695"/>
        <item x="895"/>
        <item x="1360"/>
        <item x="702"/>
        <item x="874"/>
        <item x="1287"/>
        <item x="919"/>
        <item x="762"/>
        <item x="974"/>
        <item x="377"/>
        <item x="518"/>
        <item x="813"/>
        <item x="545"/>
        <item x="329"/>
        <item x="1377"/>
        <item x="303"/>
        <item x="779"/>
        <item x="1299"/>
        <item x="250"/>
        <item x="244"/>
        <item x="23"/>
        <item x="1237"/>
        <item x="1032"/>
        <item x="100"/>
        <item x="1186"/>
        <item x="215"/>
        <item x="929"/>
        <item x="773"/>
        <item x="433"/>
        <item x="923"/>
        <item x="1025"/>
        <item x="542"/>
        <item x="1116"/>
        <item x="28"/>
        <item x="857"/>
        <item x="1216"/>
        <item x="294"/>
        <item x="851"/>
        <item x="922"/>
        <item x="1261"/>
        <item x="508"/>
        <item x="774"/>
        <item x="764"/>
        <item x="311"/>
        <item x="13"/>
        <item x="1365"/>
        <item x="176"/>
        <item x="520"/>
        <item x="1203"/>
        <item x="370"/>
        <item x="163"/>
        <item x="357"/>
        <item x="557"/>
        <item x="172"/>
        <item x="913"/>
        <item x="249"/>
        <item x="677"/>
        <item x="1289"/>
        <item x="658"/>
        <item x="945"/>
        <item x="794"/>
        <item x="268"/>
        <item x="498"/>
        <item x="1155"/>
        <item x="226"/>
        <item x="169"/>
        <item x="390"/>
        <item x="946"/>
        <item x="595"/>
        <item x="549"/>
        <item x="181"/>
        <item x="1275"/>
        <item x="1075"/>
        <item x="1180"/>
        <item x="435"/>
        <item x="622"/>
        <item x="122"/>
        <item x="1354"/>
        <item x="801"/>
        <item x="798"/>
        <item x="140"/>
        <item x="3"/>
        <item x="644"/>
        <item x="1056"/>
        <item x="795"/>
        <item x="750"/>
        <item x="95"/>
        <item x="691"/>
        <item x="1273"/>
        <item x="374"/>
        <item x="614"/>
        <item x="324"/>
        <item x="393"/>
        <item x="1172"/>
        <item x="1067"/>
        <item x="886"/>
        <item x="842"/>
        <item x="1363"/>
        <item x="548"/>
        <item x="984"/>
        <item x="349"/>
        <item x="534"/>
        <item x="889"/>
        <item x="130"/>
        <item x="387"/>
        <item x="1118"/>
        <item x="501"/>
        <item x="312"/>
        <item x="880"/>
        <item x="1171"/>
        <item x="657"/>
        <item x="1236"/>
        <item x="1358"/>
        <item x="476"/>
        <item x="977"/>
        <item x="522"/>
        <item x="568"/>
        <item x="343"/>
        <item x="137"/>
        <item x="787"/>
        <item x="866"/>
        <item x="173"/>
        <item x="99"/>
        <item x="1051"/>
        <item x="1181"/>
        <item x="1375"/>
        <item x="1072"/>
        <item x="1304"/>
        <item x="1081"/>
        <item x="1205"/>
        <item x="1182"/>
        <item x="989"/>
        <item x="174"/>
        <item x="341"/>
        <item x="1079"/>
        <item x="664"/>
        <item x="900"/>
        <item x="1211"/>
        <item x="822"/>
        <item x="672"/>
        <item x="136"/>
        <item x="771"/>
        <item x="1222"/>
        <item x="156"/>
        <item x="519"/>
        <item x="648"/>
        <item x="1330"/>
        <item x="897"/>
        <item x="998"/>
        <item x="867"/>
        <item x="1306"/>
        <item x="1233"/>
        <item x="1082"/>
        <item x="927"/>
        <item x="1168"/>
        <item x="152"/>
        <item x="265"/>
        <item x="409"/>
        <item x="184"/>
        <item x="383"/>
        <item x="1314"/>
        <item x="4"/>
        <item x="9"/>
        <item x="1252"/>
        <item x="532"/>
        <item x="220"/>
        <item x="625"/>
        <item x="366"/>
        <item x="514"/>
        <item x="449"/>
        <item x="91"/>
        <item x="405"/>
        <item x="1243"/>
        <item x="103"/>
        <item x="385"/>
        <item x="575"/>
        <item x="323"/>
        <item x="87"/>
        <item x="1094"/>
        <item x="1071"/>
        <item x="274"/>
        <item x="1106"/>
        <item x="348"/>
        <item x="246"/>
        <item x="952"/>
        <item x="1409"/>
        <item x="318"/>
        <item x="812"/>
        <item x="1381"/>
        <item x="982"/>
        <item x="1134"/>
        <item x="5"/>
        <item x="1316"/>
        <item x="63"/>
        <item x="1286"/>
        <item x="1278"/>
        <item x="585"/>
        <item x="581"/>
        <item x="43"/>
        <item x="309"/>
        <item x="882"/>
        <item x="2"/>
        <item x="19"/>
        <item x="593"/>
        <item x="253"/>
        <item x="809"/>
        <item x="569"/>
        <item x="1382"/>
        <item x="747"/>
        <item x="336"/>
        <item x="853"/>
        <item x="65"/>
        <item x="1413"/>
        <item x="682"/>
        <item x="481"/>
        <item x="440"/>
        <item x="1085"/>
        <item x="814"/>
        <item x="21"/>
        <item x="1160"/>
        <item x="1344"/>
        <item x="60"/>
        <item x="1265"/>
        <item x="263"/>
        <item x="979"/>
        <item x="330"/>
        <item x="786"/>
        <item x="89"/>
        <item x="990"/>
        <item x="834"/>
        <item x="911"/>
        <item x="609"/>
        <item x="58"/>
        <item x="367"/>
        <item x="907"/>
        <item x="185"/>
        <item x="1161"/>
        <item x="384"/>
        <item x="1414"/>
        <item x="493"/>
        <item x="484"/>
        <item x="577"/>
        <item x="665"/>
        <item x="1104"/>
        <item x="410"/>
        <item x="448"/>
        <item x="1090"/>
        <item x="1228"/>
        <item x="262"/>
        <item x="93"/>
        <item x="216"/>
        <item x="660"/>
        <item x="1212"/>
        <item x="427"/>
        <item x="1006"/>
        <item x="1103"/>
        <item x="412"/>
        <item x="164"/>
        <item x="397"/>
        <item x="1227"/>
        <item x="1402"/>
        <item x="224"/>
        <item x="1164"/>
        <item x="379"/>
        <item x="1255"/>
        <item x="999"/>
        <item x="1149"/>
        <item x="392"/>
        <item x="150"/>
        <item x="1105"/>
        <item x="746"/>
        <item x="716"/>
        <item x="356"/>
        <item x="556"/>
        <item x="328"/>
        <item x="436"/>
        <item x="1080"/>
        <item x="967"/>
        <item x="962"/>
        <item x="1282"/>
        <item x="580"/>
        <item x="270"/>
        <item x="692"/>
        <item x="134"/>
        <item x="916"/>
        <item x="630"/>
        <item x="1158"/>
        <item x="1311"/>
        <item x="425"/>
        <item x="921"/>
        <item x="331"/>
        <item x="1302"/>
        <item x="145"/>
        <item x="1147"/>
        <item x="1401"/>
        <item x="321"/>
        <item x="18"/>
        <item x="423"/>
        <item x="647"/>
        <item x="587"/>
        <item x="1335"/>
        <item x="7"/>
        <item x="1245"/>
        <item x="232"/>
        <item x="667"/>
        <item x="1088"/>
        <item x="454"/>
        <item x="1296"/>
        <item x="605"/>
        <item x="236"/>
        <item x="839"/>
        <item x="1011"/>
        <item x="214"/>
        <item x="1138"/>
        <item x="1310"/>
        <item x="517"/>
        <item x="870"/>
        <item x="111"/>
        <item x="899"/>
        <item x="1350"/>
        <item x="1322"/>
        <item x="411"/>
        <item x="437"/>
        <item x="202"/>
        <item x="1342"/>
        <item x="673"/>
        <item x="161"/>
        <item x="573"/>
        <item x="326"/>
        <item x="968"/>
        <item x="225"/>
        <item x="109"/>
        <item x="512"/>
        <item x="731"/>
        <item x="942"/>
        <item x="477"/>
        <item x="1086"/>
        <item x="441"/>
        <item x="170"/>
        <item x="1096"/>
        <item x="308"/>
        <item x="915"/>
        <item x="815"/>
        <item x="1217"/>
        <item x="380"/>
        <item x="78"/>
        <item x="920"/>
        <item x="1111"/>
        <item x="524"/>
        <item x="650"/>
        <item x="579"/>
        <item x="10"/>
        <item x="958"/>
        <item x="1331"/>
        <item x="1283"/>
        <item x="892"/>
        <item x="885"/>
        <item x="726"/>
        <item x="483"/>
        <item x="845"/>
        <item x="1059"/>
        <item x="623"/>
        <item x="1214"/>
        <item x="1191"/>
        <item x="154"/>
        <item x="1002"/>
        <item x="190"/>
        <item x="956"/>
        <item x="203"/>
        <item x="189"/>
        <item x="884"/>
        <item x="705"/>
        <item x="355"/>
        <item x="825"/>
        <item x="46"/>
        <item x="733"/>
        <item x="1385"/>
        <item x="408"/>
        <item x="255"/>
        <item x="1408"/>
        <item x="1248"/>
        <item x="634"/>
        <item x="34"/>
        <item x="1044"/>
        <item x="376"/>
        <item x="71"/>
        <item x="1039"/>
        <item x="965"/>
        <item x="243"/>
        <item x="273"/>
        <item x="914"/>
        <item x="129"/>
        <item x="68"/>
        <item x="724"/>
        <item x="1244"/>
        <item x="419"/>
        <item x="475"/>
        <item x="459"/>
        <item x="1269"/>
        <item x="598"/>
        <item x="936"/>
        <item x="940"/>
        <item x="701"/>
        <item x="1263"/>
        <item x="197"/>
        <item x="360"/>
        <item x="1128"/>
        <item x="142"/>
        <item x="1366"/>
        <item x="783"/>
        <item x="583"/>
        <item x="1300"/>
        <item x="712"/>
        <item x="1165"/>
        <item x="240"/>
        <item x="642"/>
        <item x="1279"/>
        <item x="242"/>
        <item x="442"/>
        <item x="200"/>
        <item x="879"/>
        <item x="1200"/>
        <item x="688"/>
        <item x="976"/>
        <item x="74"/>
        <item x="659"/>
        <item x="317"/>
        <item x="199"/>
        <item x="151"/>
        <item x="729"/>
        <item x="751"/>
        <item x="257"/>
        <item x="904"/>
        <item x="1315"/>
        <item x="835"/>
        <item x="166"/>
        <item x="1170"/>
        <item x="1014"/>
        <item x="118"/>
        <item x="85"/>
        <item x="479"/>
        <item x="903"/>
        <item x="679"/>
        <item x="1109"/>
        <item x="953"/>
        <item x="603"/>
        <item x="491"/>
        <item x="1378"/>
        <item x="1404"/>
        <item x="1010"/>
        <item x="264"/>
        <item x="1349"/>
        <item x="918"/>
        <item x="306"/>
        <item x="748"/>
        <item x="175"/>
        <item x="1362"/>
        <item x="209"/>
        <item x="365"/>
        <item x="82"/>
        <item x="368"/>
        <item x="361"/>
        <item x="730"/>
        <item x="120"/>
        <item x="452"/>
        <item x="426"/>
        <item x="201"/>
        <item x="307"/>
        <item x="327"/>
        <item x="592"/>
        <item x="821"/>
        <item x="1223"/>
        <item x="780"/>
        <item x="528"/>
        <item x="126"/>
        <item x="280"/>
        <item x="1329"/>
        <item x="1145"/>
        <item x="1089"/>
        <item x="1151"/>
        <item x="826"/>
        <item x="1268"/>
        <item x="300"/>
        <item x="352"/>
        <item x="217"/>
        <item x="685"/>
        <item x="925"/>
        <item x="740"/>
        <item x="394"/>
        <item x="1224"/>
        <item x="1384"/>
        <item x="407"/>
        <item x="395"/>
        <item x="1352"/>
        <item x="561"/>
        <item x="503"/>
        <item x="456"/>
        <item x="12"/>
        <item x="1276"/>
        <item x="455"/>
        <item x="891"/>
        <item x="1405"/>
        <item x="285"/>
        <item x="492"/>
        <item x="293"/>
        <item x="799"/>
        <item x="951"/>
        <item x="1083"/>
        <item x="218"/>
        <item x="125"/>
        <item x="988"/>
        <item x="428"/>
        <item x="663"/>
        <item x="133"/>
        <item x="611"/>
        <item x="616"/>
        <item x="141"/>
        <item x="1206"/>
        <item x="978"/>
        <item x="1136"/>
        <item x="338"/>
        <item x="1153"/>
        <item x="335"/>
        <item x="502"/>
        <item x="112"/>
        <item x="1297"/>
        <item x="760"/>
        <item x="94"/>
        <item x="1399"/>
        <item x="551"/>
        <item x="283"/>
        <item x="182"/>
        <item x="694"/>
        <item x="567"/>
        <item x="1325"/>
        <item x="1033"/>
        <item x="1406"/>
        <item x="64"/>
        <item x="466"/>
        <item x="444"/>
        <item x="52"/>
        <item x="744"/>
        <item x="168"/>
        <item x="296"/>
        <item x="1210"/>
        <item x="527"/>
        <item x="1272"/>
        <item x="1209"/>
        <item x="1219"/>
        <item x="135"/>
        <item x="279"/>
        <item x="949"/>
        <item x="629"/>
        <item x="1197"/>
        <item x="107"/>
        <item x="576"/>
        <item x="1396"/>
        <item x="1159"/>
        <item x="599"/>
        <item x="1398"/>
        <item x="205"/>
        <item x="985"/>
        <item x="391"/>
        <item x="972"/>
        <item x="101"/>
        <item x="1100"/>
        <item x="1064"/>
        <item x="905"/>
        <item x="1242"/>
        <item x="684"/>
        <item x="378"/>
        <item x="47"/>
        <item x="1123"/>
        <item x="635"/>
        <item x="1271"/>
        <item x="802"/>
        <item x="563"/>
        <item x="396"/>
        <item x="1410"/>
        <item x="276"/>
        <item x="1040"/>
        <item x="227"/>
        <item x="1328"/>
        <item x="547"/>
        <item x="1008"/>
        <item x="237"/>
        <item x="613"/>
        <item x="1199"/>
        <item x="400"/>
        <item x="445"/>
        <item x="863"/>
        <item x="858"/>
        <item x="1009"/>
        <item x="1359"/>
        <item x="1346"/>
        <item x="167"/>
        <item x="1092"/>
        <item x="637"/>
        <item x="325"/>
        <item x="460"/>
        <item x="245"/>
        <item x="292"/>
        <item x="797"/>
        <item x="671"/>
        <item x="710"/>
        <item x="767"/>
        <item x="402"/>
        <item x="1073"/>
        <item x="1063"/>
        <item x="986"/>
        <item x="1336"/>
        <item x="792"/>
        <item x="44"/>
        <item x="975"/>
        <item x="48"/>
        <item x="132"/>
        <item x="210"/>
        <item x="737"/>
        <item x="138"/>
        <item x="565"/>
        <item x="591"/>
        <item x="1041"/>
        <item x="1238"/>
        <item x="739"/>
        <item x="757"/>
        <item x="39"/>
        <item x="1061"/>
        <item x="935"/>
        <item x="1038"/>
        <item x="231"/>
        <item x="643"/>
        <item x="1292"/>
        <item x="668"/>
        <item x="281"/>
        <item x="981"/>
        <item x="1264"/>
        <item x="829"/>
        <item x="461"/>
        <item x="618"/>
        <item x="69"/>
        <item x="106"/>
        <item x="1267"/>
        <item x="860"/>
        <item x="830"/>
        <item x="347"/>
        <item x="288"/>
        <item x="344"/>
        <item x="1052"/>
        <item x="1220"/>
        <item x="1241"/>
        <item x="1129"/>
        <item x="229"/>
        <item x="649"/>
        <item x="1021"/>
        <item x="332"/>
        <item x="1258"/>
        <item x="1361"/>
        <item x="14"/>
        <item x="1078"/>
        <item x="1143"/>
        <item x="1101"/>
        <item x="213"/>
        <item x="228"/>
        <item x="950"/>
        <item x="1173"/>
        <item x="871"/>
        <item x="1293"/>
        <item x="745"/>
        <item x="742"/>
        <item x="499"/>
        <item x="552"/>
        <item x="959"/>
        <item x="446"/>
        <item x="340"/>
        <item x="843"/>
        <item x="759"/>
        <item x="92"/>
        <item x="646"/>
        <item x="752"/>
        <item x="1392"/>
        <item x="1139"/>
        <item x="1389"/>
        <item x="1004"/>
        <item x="457"/>
        <item x="994"/>
        <item x="1376"/>
        <item x="570"/>
        <item x="728"/>
        <item x="1142"/>
        <item x="961"/>
        <item x="578"/>
        <item x="560"/>
        <item x="1321"/>
        <item x="708"/>
        <item x="1087"/>
        <item x="1050"/>
        <item x="1379"/>
        <item x="700"/>
        <item x="1167"/>
        <item x="187"/>
        <item x="775"/>
        <item x="1371"/>
        <item x="114"/>
        <item x="422"/>
        <item x="597"/>
        <item x="320"/>
        <item x="893"/>
        <item x="1163"/>
        <item x="1124"/>
        <item x="291"/>
        <item x="572"/>
        <item x="571"/>
        <item x="1062"/>
        <item x="713"/>
        <item x="337"/>
        <item x="404"/>
        <item x="115"/>
        <item x="1204"/>
        <item x="269"/>
        <item x="817"/>
        <item x="102"/>
        <item x="847"/>
        <item x="1048"/>
        <item x="1058"/>
        <item x="506"/>
        <item x="359"/>
        <item x="11"/>
        <item x="844"/>
        <item x="600"/>
        <item x="681"/>
        <item x="131"/>
        <item x="793"/>
        <item x="833"/>
        <item x="474"/>
        <item x="1351"/>
        <item x="310"/>
        <item x="507"/>
        <item x="208"/>
        <item x="1019"/>
        <item x="639"/>
        <item x="389"/>
        <item x="339"/>
        <item x="1266"/>
        <item x="1102"/>
        <item x="322"/>
        <item x="636"/>
        <item x="1184"/>
        <item x="178"/>
        <item x="820"/>
        <item x="1097"/>
        <item x="873"/>
        <item x="715"/>
        <item x="594"/>
        <item x="30"/>
        <item x="35"/>
        <item x="1020"/>
        <item x="75"/>
        <item x="29"/>
        <item x="1294"/>
        <item x="1115"/>
        <item x="206"/>
        <item x="1169"/>
        <item x="345"/>
        <item x="1157"/>
        <item x="1127"/>
        <item x="358"/>
        <item x="1231"/>
        <item x="50"/>
        <item x="1257"/>
        <item x="1098"/>
        <item x="1347"/>
        <item x="350"/>
        <item x="286"/>
        <item x="1323"/>
        <item x="601"/>
        <item x="1177"/>
        <item x="790"/>
        <item x="504"/>
        <item x="693"/>
        <item x="1023"/>
        <item x="706"/>
        <item x="531"/>
        <item x="1154"/>
        <item x="342"/>
        <item x="480"/>
        <item x="718"/>
        <item x="8"/>
        <item x="204"/>
        <item x="241"/>
        <item x="1091"/>
        <item x="191"/>
        <item x="1024"/>
        <item x="314"/>
        <item x="362"/>
        <item x="566"/>
        <item x="687"/>
        <item x="697"/>
        <item x="260"/>
        <item x="372"/>
        <item x="1308"/>
        <item x="1372"/>
        <item x="489"/>
        <item x="971"/>
        <item x="27"/>
        <item x="574"/>
        <item x="267"/>
        <item x="254"/>
        <item x="1295"/>
        <item x="1391"/>
        <item x="544"/>
        <item x="529"/>
        <item x="1119"/>
        <item x="153"/>
        <item x="954"/>
        <item x="725"/>
        <item x="194"/>
        <item x="346"/>
        <item x="824"/>
        <item x="1121"/>
        <item x="909"/>
        <item x="848"/>
        <item x="932"/>
        <item x="876"/>
        <item x="590"/>
        <item x="212"/>
        <item x="49"/>
        <item x="1312"/>
        <item x="1388"/>
        <item x="1144"/>
        <item x="424"/>
        <item x="497"/>
        <item x="80"/>
        <item x="1046"/>
        <item x="289"/>
        <item x="828"/>
        <item x="1318"/>
        <item x="596"/>
        <item x="1122"/>
        <item x="239"/>
        <item x="1353"/>
        <item x="1397"/>
        <item x="1221"/>
        <item x="282"/>
        <item x="333"/>
        <item x="53"/>
        <item x="525"/>
        <item x="800"/>
        <item x="1324"/>
        <item x="17"/>
        <item x="778"/>
        <item x="841"/>
        <item x="894"/>
        <item x="66"/>
        <item x="993"/>
        <item x="1373"/>
        <item x="555"/>
        <item x="1130"/>
        <item x="473"/>
        <item x="453"/>
        <item x="97"/>
        <item x="608"/>
        <item x="1193"/>
        <item x="770"/>
        <item x="198"/>
        <item x="1175"/>
        <item x="1015"/>
        <item x="513"/>
        <item x="784"/>
        <item x="836"/>
        <item x="1095"/>
        <item x="458"/>
        <item x="807"/>
        <item x="313"/>
        <item x="970"/>
        <item x="838"/>
        <item x="403"/>
        <item x="743"/>
        <item x="1037"/>
        <item x="447"/>
        <item x="139"/>
        <item x="948"/>
        <item x="546"/>
        <item x="290"/>
        <item x="1374"/>
        <item x="119"/>
        <item x="61"/>
        <item x="655"/>
        <item x="123"/>
        <item x="1364"/>
        <item x="88"/>
        <item x="1137"/>
        <item x="1190"/>
        <item x="1093"/>
        <item x="1309"/>
        <item x="937"/>
        <item x="722"/>
        <item x="541"/>
        <item x="305"/>
        <item x="230"/>
        <item x="195"/>
        <item x="1387"/>
        <item x="364"/>
        <item x="761"/>
        <item x="928"/>
        <item x="1260"/>
        <item x="443"/>
        <item x="651"/>
        <item x="369"/>
        <item x="469"/>
        <item x="819"/>
        <item x="1126"/>
        <item x="1112"/>
        <item x="640"/>
        <item x="690"/>
        <item x="1003"/>
        <item x="862"/>
        <item x="386"/>
        <item x="662"/>
        <item x="1254"/>
        <item x="1"/>
        <item x="1188"/>
        <item x="533"/>
        <item x="248"/>
        <item x="295"/>
        <item x="1230"/>
        <item x="110"/>
        <item x="510"/>
        <item x="363"/>
        <item x="850"/>
        <item x="727"/>
        <item x="875"/>
        <item x="468"/>
        <item x="1110"/>
        <item x="620"/>
        <item x="1370"/>
        <item x="1070"/>
        <item x="1146"/>
        <item x="414"/>
        <item x="865"/>
        <item x="854"/>
        <item x="878"/>
        <item x="633"/>
        <item x="1234"/>
        <item x="505"/>
        <item x="1259"/>
        <item x="258"/>
        <item x="1226"/>
        <item x="1249"/>
        <item x="147"/>
        <item x="155"/>
        <item x="57"/>
        <item x="72"/>
        <item x="382"/>
        <item x="45"/>
        <item x="1240"/>
        <item x="917"/>
        <item x="711"/>
        <item x="516"/>
        <item x="1012"/>
        <item x="1060"/>
        <item x="117"/>
        <item x="40"/>
        <item x="432"/>
        <item x="1029"/>
        <item x="656"/>
        <item x="509"/>
        <item x="617"/>
        <item x="251"/>
        <item x="586"/>
        <item x="235"/>
        <item x="536"/>
        <item x="1031"/>
        <item x="462"/>
        <item x="806"/>
        <item x="564"/>
        <item x="816"/>
        <item x="234"/>
        <item x="933"/>
        <item x="495"/>
        <item x="1290"/>
        <item x="1285"/>
        <item x="1074"/>
        <item x="788"/>
        <item x="96"/>
        <item x="669"/>
        <item x="38"/>
        <item x="890"/>
        <item x="351"/>
        <item x="1270"/>
        <item x="399"/>
        <item x="997"/>
        <item x="1280"/>
        <item x="898"/>
        <item x="732"/>
        <item x="1356"/>
        <item x="1383"/>
        <item x="221"/>
        <item x="67"/>
        <item x="1355"/>
        <item x="1332"/>
        <item x="51"/>
        <item x="1045"/>
        <item x="1166"/>
        <item x="896"/>
        <item x="619"/>
        <item x="1239"/>
        <item x="610"/>
        <item x="1334"/>
        <item x="553"/>
        <item x="1120"/>
        <item x="434"/>
        <item x="54"/>
        <item x="42"/>
        <item x="781"/>
        <item x="16"/>
        <item x="284"/>
        <item x="375"/>
        <item x="76"/>
        <item x="401"/>
        <item x="785"/>
        <item x="1274"/>
        <item x="84"/>
        <item x="1317"/>
        <item x="777"/>
        <item x="554"/>
        <item x="1053"/>
        <item x="832"/>
        <item x="420"/>
        <item x="1189"/>
        <item x="558"/>
        <item x="128"/>
        <item x="406"/>
        <item x="537"/>
        <item x="652"/>
        <item x="157"/>
        <item x="159"/>
        <item x="116"/>
        <item x="1305"/>
        <item x="1026"/>
        <item x="1195"/>
        <item x="1162"/>
        <item x="698"/>
        <item x="872"/>
        <item x="1400"/>
        <item x="1187"/>
        <item x="717"/>
        <item x="25"/>
        <item x="782"/>
        <item x="943"/>
        <item x="1412"/>
        <item x="1192"/>
        <item x="451"/>
        <item x="1156"/>
        <item x="941"/>
        <item x="674"/>
        <item x="500"/>
        <item x="1337"/>
        <item x="24"/>
        <item x="1202"/>
        <item x="1338"/>
        <item x="1343"/>
        <item x="1076"/>
        <item x="1218"/>
        <item x="1034"/>
        <item x="33"/>
        <item x="1341"/>
        <item x="615"/>
        <item x="1176"/>
        <item x="171"/>
        <item x="1345"/>
        <item x="1049"/>
        <item x="888"/>
        <item x="417"/>
        <item x="487"/>
        <item x="582"/>
        <item x="1099"/>
        <item x="645"/>
        <item x="158"/>
        <item x="991"/>
        <item x="149"/>
        <item x="79"/>
        <item x="192"/>
        <item x="56"/>
        <item x="22"/>
        <item x="304"/>
        <item x="1395"/>
        <item x="741"/>
        <item x="1022"/>
        <item x="632"/>
        <item x="714"/>
        <item x="877"/>
        <item x="1307"/>
        <item x="465"/>
        <item x="1340"/>
        <item x="1327"/>
        <item x="413"/>
        <item x="1135"/>
        <item x="676"/>
        <item x="823"/>
        <item x="1386"/>
        <item x="926"/>
        <item x="831"/>
        <item x="1077"/>
        <item x="901"/>
        <item x="1251"/>
        <item x="1084"/>
        <item x="1016"/>
        <item x="912"/>
        <item x="1183"/>
        <item x="864"/>
        <item x="188"/>
        <item x="530"/>
        <item x="259"/>
        <item x="859"/>
        <item x="1394"/>
        <item x="906"/>
        <item x="373"/>
        <item x="1131"/>
        <item x="1368"/>
        <item x="302"/>
        <item x="753"/>
        <item x="1069"/>
        <item x="421"/>
        <item x="398"/>
        <item x="381"/>
        <item x="211"/>
        <item x="482"/>
        <item x="924"/>
        <item x="849"/>
        <item x="526"/>
        <item x="261"/>
        <item x="1313"/>
        <item x="450"/>
        <item x="1213"/>
        <item x="1035"/>
        <item x="539"/>
        <item x="689"/>
        <item x="683"/>
        <item x="887"/>
        <item x="987"/>
        <item x="931"/>
        <item x="686"/>
        <item x="1390"/>
        <item x="758"/>
        <item x="196"/>
        <item x="1117"/>
        <item x="37"/>
        <item x="934"/>
        <item x="584"/>
        <item x="81"/>
        <item x="278"/>
        <item x="852"/>
        <item x="31"/>
        <item x="511"/>
        <item x="470"/>
        <item x="256"/>
        <item x="1018"/>
        <item x="521"/>
        <item x="1068"/>
        <item x="720"/>
        <item x="523"/>
        <item x="1174"/>
        <item x="550"/>
        <item x="1281"/>
        <item x="415"/>
        <item x="707"/>
        <item x="868"/>
        <item x="238"/>
        <item x="1284"/>
        <item x="1028"/>
        <item x="947"/>
        <item x="1179"/>
        <item x="287"/>
        <item x="430"/>
        <item x="1152"/>
        <item x="1320"/>
        <item x="1057"/>
        <item x="653"/>
        <item x="654"/>
        <item x="827"/>
        <item x="124"/>
        <item x="763"/>
        <item x="471"/>
        <item x="207"/>
        <item x="661"/>
        <item x="490"/>
        <item x="1393"/>
        <item x="703"/>
        <item x="540"/>
        <item x="964"/>
        <item x="86"/>
        <item x="162"/>
        <item x="846"/>
        <item x="699"/>
        <item x="966"/>
        <item x="805"/>
        <item x="59"/>
        <item x="26"/>
        <item x="902"/>
        <item x="810"/>
        <item x="855"/>
        <item x="316"/>
        <item x="319"/>
        <item x="1303"/>
        <item x="818"/>
        <item x="765"/>
        <item x="121"/>
        <item x="77"/>
        <item x="219"/>
        <item x="144"/>
        <item x="438"/>
        <item x="1047"/>
        <item x="1017"/>
        <item x="1148"/>
        <item x="756"/>
        <item x="604"/>
        <item x="1132"/>
        <item x="1036"/>
        <item x="957"/>
        <item x="177"/>
        <item x="496"/>
        <item x="796"/>
        <item x="463"/>
        <item x="736"/>
        <item x="1225"/>
        <item x="883"/>
        <item x="1007"/>
        <item x="1291"/>
        <item x="146"/>
        <item x="1326"/>
        <item x="1411"/>
        <item x="944"/>
        <item x="1246"/>
        <item x="910"/>
        <item x="277"/>
        <item x="719"/>
        <item x="626"/>
        <item x="1277"/>
        <item x="186"/>
        <item x="678"/>
        <item x="486"/>
        <item t="default"/>
      </items>
    </pivotField>
    <pivotField name="movie_title" axis="axisRow" compact="0" outline="0" multipleItemSelectionAllowed="1" showAll="0" sortType="descending" defaultSubtota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budge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t="default"/>
      </items>
    </pivotField>
    <pivotField name="profi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t="default"/>
      </items>
    </pivotField>
    <pivotField name="Loss" axis="axisPage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name="imdb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>
    <field x="8"/>
    <field x="1"/>
    <field x="7"/>
  </rowFields>
  <pageFields>
    <pageField fld="16"/>
  </pageFields>
  <dataFields>
    <dataField name="SUM of Loss" fld="16" baseField="0"/>
  </dataFields>
  <filters>
    <filter fld="16" type="captionGreaterThanOrEqual" evalOrder="-1" id="1" stringValue1="399,545,745.00">
      <autoFilter ref="A1">
        <filterColumn colId="0">
          <customFilters>
            <customFilter operator="greaterThanOrEqual" val="399,545,745.00"/>
          </customFilters>
        </filterColumn>
      </autoFilter>
    </filter>
  </filters>
</pivotTableDefinition>
</file>

<file path=xl/pivotTables/pivotTable3.xml><?xml version="1.0" encoding="utf-8"?>
<pivotTableDefinition xmlns="http://schemas.openxmlformats.org/spreadsheetml/2006/main" name="pivots 3" cacheId="0" dataCaption="" compact="0" compactData="0">
  <location ref="A15:C1671" firstHeaderRow="0" firstDataRow="2" firstDataCol="0"/>
  <pivotFields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t="default"/>
      </items>
    </pivotField>
    <pivotField name="director_name2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name="gros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t="default"/>
      </items>
    </pivotField>
    <pivotField name="Num_Of_gener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t="default"/>
      </items>
    </pivotField>
    <pivotField name="clean_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t="default"/>
      </items>
    </pivotField>
    <pivotField name="movie_titl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t="default"/>
      </items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budge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t="default"/>
      </items>
    </pivotField>
    <pivotField name="profi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t="default"/>
      </items>
    </pivotField>
    <pivotField name="Loss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name="imdb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>
    <field x="1"/>
  </rowFields>
  <colFields>
    <field x="-2"/>
  </colFields>
  <dataFields>
    <dataField name="COUNTA of movie_title" fld="8" subtotal="count" baseField="0"/>
    <dataField name="AVERAGE of profit" fld="15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71"/>
    <col customWidth="1" min="2" max="2" width="26.71"/>
    <col customWidth="1" min="3" max="3" width="15.43"/>
    <col customWidth="1" min="4" max="4" width="17.43"/>
    <col customWidth="1" min="5" max="5" width="50.14"/>
    <col customWidth="1" min="6" max="6" width="18.71"/>
    <col customWidth="1" min="7" max="7" width="25.43"/>
    <col customWidth="1" min="8" max="8" width="27.57"/>
    <col customWidth="1" min="9" max="9" width="38.57"/>
    <col customWidth="1" min="10" max="10" width="19.57"/>
    <col customWidth="1" min="11" max="11" width="88.86"/>
    <col customWidth="1" min="12" max="12" width="21.0"/>
    <col customWidth="1" min="13" max="13" width="10.57"/>
    <col customWidth="1" min="14" max="14" width="17.43"/>
    <col customWidth="1" min="15" max="15" width="18.57"/>
    <col customWidth="1" min="16" max="16" width="16.86"/>
    <col customWidth="1" min="17" max="17" width="20.29"/>
    <col customWidth="1" min="18" max="18" width="12.43"/>
    <col customWidth="1" min="19" max="19" width="12.86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3" t="s">
        <v>6</v>
      </c>
      <c r="H1" s="4" t="s">
        <v>7</v>
      </c>
      <c r="I1" s="4" t="s">
        <v>8</v>
      </c>
      <c r="J1" s="3" t="s">
        <v>9</v>
      </c>
      <c r="K1" s="4" t="s">
        <v>10</v>
      </c>
      <c r="L1" s="3" t="s">
        <v>11</v>
      </c>
      <c r="M1" s="3" t="s">
        <v>12</v>
      </c>
      <c r="N1" s="3" t="s">
        <v>13</v>
      </c>
      <c r="O1" s="5" t="s">
        <v>14</v>
      </c>
      <c r="P1" s="6" t="s">
        <v>15</v>
      </c>
      <c r="Q1" s="4" t="s">
        <v>16</v>
      </c>
      <c r="R1" s="4" t="s">
        <v>17</v>
      </c>
      <c r="S1" s="3" t="s">
        <v>18</v>
      </c>
    </row>
    <row r="2">
      <c r="A2" s="7" t="s">
        <v>19</v>
      </c>
      <c r="B2" s="8" t="str">
        <f>IFERROR(__xludf.DUMMYFUNCTION("REGEXREPLACE(A2, ""[^0-9a-zA-Z .'Ã]"","""")"),"Cal Brunker")</f>
        <v>Cal Brunker</v>
      </c>
      <c r="C2" s="9">
        <v>83.0</v>
      </c>
      <c r="D2" s="10">
        <v>5.7011847E7</v>
      </c>
      <c r="E2" s="9" t="s">
        <v>20</v>
      </c>
      <c r="F2" s="9">
        <f t="shared" ref="F2:F3493" si="1">LEN(E2)-LEN(SUBSTITUTE(E2,"|",""))+1</f>
        <v>5</v>
      </c>
      <c r="G2" s="9" t="s">
        <v>21</v>
      </c>
      <c r="H2" s="11" t="str">
        <f>IFERROR(__xludf.DUMMYFUNCTION("REGEXREPLACE(G2, ""[^0-9a-zA-Z .'Ã]"","""")"),"Brendan Fraser")</f>
        <v>Brendan Fraser</v>
      </c>
      <c r="I2" s="11" t="s">
        <v>22</v>
      </c>
      <c r="J2" s="9">
        <v>20615.0</v>
      </c>
      <c r="K2" s="9" t="s">
        <v>23</v>
      </c>
      <c r="L2" s="9">
        <v>44.0</v>
      </c>
      <c r="M2" s="9" t="s">
        <v>24</v>
      </c>
      <c r="N2" s="9" t="s">
        <v>25</v>
      </c>
      <c r="O2" s="10">
        <v>4.0E7</v>
      </c>
      <c r="P2" s="10">
        <f t="shared" ref="P2:P3493" si="2">IF(D2-O2 &gt; 0 , D2-O2, 0)</f>
        <v>17011847</v>
      </c>
      <c r="Q2" s="12">
        <f t="shared" ref="Q2:Q3493" si="3">IF(D2-O2 &gt; 0 , 0, O2-D2)</f>
        <v>0</v>
      </c>
      <c r="R2" s="9">
        <v>2013.0</v>
      </c>
      <c r="S2" s="9">
        <v>5.9</v>
      </c>
    </row>
    <row r="3">
      <c r="A3" s="7" t="s">
        <v>26</v>
      </c>
      <c r="B3" s="8" t="str">
        <f>IFERROR(__xludf.DUMMYFUNCTION("REGEXREPLACE(A3, ""[^0-9a-zA-Z .'Ã]"","""")"),"Ericson Core")</f>
        <v>Ericson Core</v>
      </c>
      <c r="C3" s="9">
        <v>163.0</v>
      </c>
      <c r="D3" s="10">
        <v>2.8772222E7</v>
      </c>
      <c r="E3" s="9" t="s">
        <v>27</v>
      </c>
      <c r="F3" s="9">
        <f t="shared" si="1"/>
        <v>4</v>
      </c>
      <c r="G3" s="9" t="s">
        <v>28</v>
      </c>
      <c r="H3" s="11" t="str">
        <f>IFERROR(__xludf.DUMMYFUNCTION("REGEXREPLACE(G3, ""[^0-9a-zA-Z .'Ã]"","""")"),"Ray Winstone")</f>
        <v>Ray Winstone</v>
      </c>
      <c r="I3" s="11" t="s">
        <v>29</v>
      </c>
      <c r="J3" s="9">
        <v>33958.0</v>
      </c>
      <c r="K3" s="9" t="s">
        <v>30</v>
      </c>
      <c r="L3" s="9">
        <v>163.0</v>
      </c>
      <c r="M3" s="9" t="s">
        <v>24</v>
      </c>
      <c r="N3" s="9" t="s">
        <v>25</v>
      </c>
      <c r="O3" s="10">
        <v>1.05E8</v>
      </c>
      <c r="P3" s="10">
        <f t="shared" si="2"/>
        <v>0</v>
      </c>
      <c r="Q3" s="12">
        <f t="shared" si="3"/>
        <v>76227778</v>
      </c>
      <c r="R3" s="9">
        <v>2015.0</v>
      </c>
      <c r="S3" s="9">
        <v>5.3</v>
      </c>
    </row>
    <row r="4">
      <c r="A4" s="7" t="s">
        <v>31</v>
      </c>
      <c r="B4" s="8" t="str">
        <f>IFERROR(__xludf.DUMMYFUNCTION("REGEXREPLACE(A4, ""[^0-9a-zA-Z .'Ã]"","""")"),"Gavin O'Connor")</f>
        <v>Gavin O'Connor</v>
      </c>
      <c r="C4" s="9">
        <v>129.0</v>
      </c>
      <c r="D4" s="10">
        <v>6.4371181E7</v>
      </c>
      <c r="E4" s="9" t="s">
        <v>32</v>
      </c>
      <c r="F4" s="9">
        <f t="shared" si="1"/>
        <v>4</v>
      </c>
      <c r="G4" s="9" t="s">
        <v>33</v>
      </c>
      <c r="H4" s="11" t="str">
        <f>IFERROR(__xludf.DUMMYFUNCTION("REGEXREPLACE(G4, ""[^0-9a-zA-Z .'Ã]"","""")"),"Eddie Cahill")</f>
        <v>Eddie Cahill</v>
      </c>
      <c r="I4" s="11" t="s">
        <v>34</v>
      </c>
      <c r="J4" s="9">
        <v>36636.0</v>
      </c>
      <c r="K4" s="9" t="s">
        <v>35</v>
      </c>
      <c r="L4" s="9">
        <v>289.0</v>
      </c>
      <c r="M4" s="9" t="s">
        <v>24</v>
      </c>
      <c r="N4" s="9" t="s">
        <v>25</v>
      </c>
      <c r="O4" s="10">
        <v>2.8E7</v>
      </c>
      <c r="P4" s="10">
        <f t="shared" si="2"/>
        <v>36371181</v>
      </c>
      <c r="Q4" s="12">
        <f t="shared" si="3"/>
        <v>0</v>
      </c>
      <c r="R4" s="9">
        <v>2004.0</v>
      </c>
      <c r="S4" s="9">
        <v>7.5</v>
      </c>
    </row>
    <row r="5">
      <c r="A5" s="13" t="s">
        <v>36</v>
      </c>
      <c r="B5" s="8" t="str">
        <f>IFERROR(__xludf.DUMMYFUNCTION("REGEXREPLACE(A5, ""[^0-9a-zA-Z .'Ã]"","""")"),"Sergio Leone")</f>
        <v>Sergio Leone</v>
      </c>
      <c r="C5" s="14">
        <v>122.0</v>
      </c>
      <c r="D5" s="15">
        <v>3500000.0</v>
      </c>
      <c r="E5" s="14" t="s">
        <v>37</v>
      </c>
      <c r="F5" s="9">
        <f t="shared" si="1"/>
        <v>3</v>
      </c>
      <c r="G5" s="14" t="s">
        <v>38</v>
      </c>
      <c r="H5" s="11" t="str">
        <f>IFERROR(__xludf.DUMMYFUNCTION("REGEXREPLACE(G5, ""[^0-9a-zA-Z .'Ã]"","""")"),"Clint Eastwood")</f>
        <v>Clint Eastwood</v>
      </c>
      <c r="I5" s="16" t="s">
        <v>39</v>
      </c>
      <c r="J5" s="14">
        <v>147566.0</v>
      </c>
      <c r="K5" s="14" t="s">
        <v>40</v>
      </c>
      <c r="L5" s="14">
        <v>235.0</v>
      </c>
      <c r="M5" s="14" t="s">
        <v>41</v>
      </c>
      <c r="N5" s="14" t="s">
        <v>42</v>
      </c>
      <c r="O5" s="15">
        <v>200000.0</v>
      </c>
      <c r="P5" s="10">
        <f t="shared" si="2"/>
        <v>3300000</v>
      </c>
      <c r="Q5" s="12">
        <f t="shared" si="3"/>
        <v>0</v>
      </c>
      <c r="R5" s="14">
        <v>1964.0</v>
      </c>
      <c r="S5" s="14">
        <v>8.0</v>
      </c>
    </row>
    <row r="6">
      <c r="A6" s="13" t="s">
        <v>43</v>
      </c>
      <c r="B6" s="8" t="str">
        <f>IFERROR(__xludf.DUMMYFUNCTION("REGEXREPLACE(A6, ""[^0-9a-zA-Z .'Ã]"","""")"),"Gregory Hoblit")</f>
        <v>Gregory Hoblit</v>
      </c>
      <c r="C6" s="14">
        <v>168.0</v>
      </c>
      <c r="D6" s="15">
        <v>4.4983704E7</v>
      </c>
      <c r="E6" s="14" t="s">
        <v>44</v>
      </c>
      <c r="F6" s="9">
        <f t="shared" si="1"/>
        <v>5</v>
      </c>
      <c r="G6" s="14" t="s">
        <v>45</v>
      </c>
      <c r="H6" s="11" t="str">
        <f>IFERROR(__xludf.DUMMYFUNCTION("REGEXREPLACE(G6, ""[^0-9a-zA-Z .'Ã]"","""")"),"Dennis Quaid")</f>
        <v>Dennis Quaid</v>
      </c>
      <c r="I6" s="16" t="s">
        <v>46</v>
      </c>
      <c r="J6" s="14">
        <v>81866.0</v>
      </c>
      <c r="K6" s="14" t="s">
        <v>47</v>
      </c>
      <c r="L6" s="14">
        <v>510.0</v>
      </c>
      <c r="M6" s="14" t="s">
        <v>24</v>
      </c>
      <c r="N6" s="14" t="s">
        <v>25</v>
      </c>
      <c r="O6" s="15">
        <v>3.1E7</v>
      </c>
      <c r="P6" s="10">
        <f t="shared" si="2"/>
        <v>13983704</v>
      </c>
      <c r="Q6" s="12">
        <f t="shared" si="3"/>
        <v>0</v>
      </c>
      <c r="R6" s="14">
        <v>2000.0</v>
      </c>
      <c r="S6" s="14">
        <v>7.3</v>
      </c>
    </row>
    <row r="7">
      <c r="A7" s="7" t="s">
        <v>48</v>
      </c>
      <c r="B7" s="8" t="str">
        <f>IFERROR(__xludf.DUMMYFUNCTION("REGEXREPLACE(A7, ""[^0-9a-zA-Z .'Ã]"","""")"),"Kevin Bray")</f>
        <v>Kevin Bray</v>
      </c>
      <c r="C7" s="9">
        <v>117.0</v>
      </c>
      <c r="D7" s="10">
        <v>4.5860039E7</v>
      </c>
      <c r="E7" s="9" t="s">
        <v>49</v>
      </c>
      <c r="F7" s="9">
        <f t="shared" si="1"/>
        <v>2</v>
      </c>
      <c r="G7" s="9" t="s">
        <v>50</v>
      </c>
      <c r="H7" s="11" t="str">
        <f>IFERROR(__xludf.DUMMYFUNCTION("REGEXREPLACE(G7, ""[^0-9a-zA-Z .'Ã]"","""")"),"Dwayne Johnson")</f>
        <v>Dwayne Johnson</v>
      </c>
      <c r="I7" s="11" t="s">
        <v>51</v>
      </c>
      <c r="J7" s="9">
        <v>53118.0</v>
      </c>
      <c r="K7" s="9" t="s">
        <v>52</v>
      </c>
      <c r="L7" s="9">
        <v>221.0</v>
      </c>
      <c r="M7" s="9" t="s">
        <v>24</v>
      </c>
      <c r="N7" s="9" t="s">
        <v>25</v>
      </c>
      <c r="O7" s="10">
        <v>5.6E7</v>
      </c>
      <c r="P7" s="10">
        <f t="shared" si="2"/>
        <v>0</v>
      </c>
      <c r="Q7" s="12">
        <f t="shared" si="3"/>
        <v>10139961</v>
      </c>
      <c r="R7" s="9">
        <v>2004.0</v>
      </c>
      <c r="S7" s="9">
        <v>6.2</v>
      </c>
    </row>
    <row r="8">
      <c r="A8" s="7" t="s">
        <v>53</v>
      </c>
      <c r="B8" s="8" t="str">
        <f>IFERROR(__xludf.DUMMYFUNCTION("REGEXREPLACE(A8, ""[^0-9a-zA-Z .'Ã]"","""")"),"Quentin Tarantino")</f>
        <v>Quentin Tarantino</v>
      </c>
      <c r="C8" s="9">
        <v>215.0</v>
      </c>
      <c r="D8" s="10">
        <v>1.0793E8</v>
      </c>
      <c r="E8" s="9" t="s">
        <v>54</v>
      </c>
      <c r="F8" s="9">
        <f t="shared" si="1"/>
        <v>2</v>
      </c>
      <c r="G8" s="9" t="s">
        <v>55</v>
      </c>
      <c r="H8" s="11" t="str">
        <f>IFERROR(__xludf.DUMMYFUNCTION("REGEXREPLACE(G8, ""[^0-9a-zA-Z .'Ã]"","""")"),"Bruce Willis")</f>
        <v>Bruce Willis</v>
      </c>
      <c r="I8" s="11" t="s">
        <v>56</v>
      </c>
      <c r="J8" s="9">
        <v>1324680.0</v>
      </c>
      <c r="K8" s="9" t="s">
        <v>57</v>
      </c>
      <c r="L8" s="9">
        <v>2195.0</v>
      </c>
      <c r="M8" s="9" t="s">
        <v>24</v>
      </c>
      <c r="N8" s="9" t="s">
        <v>25</v>
      </c>
      <c r="O8" s="10">
        <v>8000000.0</v>
      </c>
      <c r="P8" s="10">
        <f t="shared" si="2"/>
        <v>99930000</v>
      </c>
      <c r="Q8" s="12">
        <f t="shared" si="3"/>
        <v>0</v>
      </c>
      <c r="R8" s="9">
        <v>1994.0</v>
      </c>
      <c r="S8" s="9">
        <v>8.9</v>
      </c>
    </row>
    <row r="9">
      <c r="A9" s="7" t="s">
        <v>58</v>
      </c>
      <c r="B9" s="8" t="str">
        <f>IFERROR(__xludf.DUMMYFUNCTION("REGEXREPLACE(A9, ""[^0-9a-zA-Z .'Ã]"","""")"),"Griffin Dunne")</f>
        <v>Griffin Dunne</v>
      </c>
      <c r="C9" s="9">
        <v>92.0</v>
      </c>
      <c r="D9" s="10">
        <v>4.6611204E7</v>
      </c>
      <c r="E9" s="9" t="s">
        <v>59</v>
      </c>
      <c r="F9" s="9">
        <f t="shared" si="1"/>
        <v>4</v>
      </c>
      <c r="G9" s="9" t="s">
        <v>60</v>
      </c>
      <c r="H9" s="11" t="str">
        <f>IFERROR(__xludf.DUMMYFUNCTION("REGEXREPLACE(G9, ""[^0-9a-zA-Z .'Ã]"","""")"),"Goran Visnjic")</f>
        <v>Goran Visnjic</v>
      </c>
      <c r="I9" s="11" t="s">
        <v>61</v>
      </c>
      <c r="J9" s="9">
        <v>55749.0</v>
      </c>
      <c r="K9" s="9" t="s">
        <v>62</v>
      </c>
      <c r="L9" s="9">
        <v>257.0</v>
      </c>
      <c r="M9" s="9" t="s">
        <v>24</v>
      </c>
      <c r="N9" s="9" t="s">
        <v>25</v>
      </c>
      <c r="O9" s="10">
        <v>4.8E7</v>
      </c>
      <c r="P9" s="10">
        <f t="shared" si="2"/>
        <v>0</v>
      </c>
      <c r="Q9" s="12">
        <f t="shared" si="3"/>
        <v>1388796</v>
      </c>
      <c r="R9" s="9">
        <v>1998.0</v>
      </c>
      <c r="S9" s="9">
        <v>6.1</v>
      </c>
    </row>
    <row r="10">
      <c r="A10" s="17" t="s">
        <v>63</v>
      </c>
      <c r="B10" s="8" t="str">
        <f>IFERROR(__xludf.DUMMYFUNCTION("REGEXREPLACE(A10, ""[^0-9a-zA-Z .'Ã]"","""")"),"Kurt Wimmer")</f>
        <v>Kurt Wimmer</v>
      </c>
      <c r="C10" s="18">
        <v>158.0</v>
      </c>
      <c r="D10" s="19">
        <v>1.8500966E7</v>
      </c>
      <c r="E10" s="18" t="s">
        <v>64</v>
      </c>
      <c r="F10" s="9">
        <f t="shared" si="1"/>
        <v>4</v>
      </c>
      <c r="G10" s="18" t="s">
        <v>65</v>
      </c>
      <c r="H10" s="11" t="str">
        <f>IFERROR(__xludf.DUMMYFUNCTION("REGEXREPLACE(G10, ""[^0-9a-zA-Z .'Ã]"","""")"),"Milla Jovovich")</f>
        <v>Milla Jovovich</v>
      </c>
      <c r="I10" s="20" t="s">
        <v>66</v>
      </c>
      <c r="J10" s="18">
        <v>70341.0</v>
      </c>
      <c r="K10" s="18" t="s">
        <v>67</v>
      </c>
      <c r="L10" s="18">
        <v>830.0</v>
      </c>
      <c r="M10" s="18" t="s">
        <v>24</v>
      </c>
      <c r="N10" s="18" t="s">
        <v>25</v>
      </c>
      <c r="O10" s="19">
        <v>3.0E7</v>
      </c>
      <c r="P10" s="10">
        <f t="shared" si="2"/>
        <v>0</v>
      </c>
      <c r="Q10" s="12">
        <f t="shared" si="3"/>
        <v>11499034</v>
      </c>
      <c r="R10" s="18">
        <v>2006.0</v>
      </c>
      <c r="S10" s="18">
        <v>4.4</v>
      </c>
    </row>
    <row r="11">
      <c r="A11" s="17" t="s">
        <v>68</v>
      </c>
      <c r="B11" s="8" t="str">
        <f>IFERROR(__xludf.DUMMYFUNCTION("REGEXREPLACE(A11, ""[^0-9a-zA-Z .'Ã]"","""")"),"Spike Lee")</f>
        <v>Spike Lee</v>
      </c>
      <c r="C11" s="18">
        <v>61.0</v>
      </c>
      <c r="D11" s="19">
        <v>4.8169908E7</v>
      </c>
      <c r="E11" s="18" t="s">
        <v>69</v>
      </c>
      <c r="F11" s="9">
        <f t="shared" si="1"/>
        <v>4</v>
      </c>
      <c r="G11" s="18" t="s">
        <v>70</v>
      </c>
      <c r="H11" s="11" t="str">
        <f>IFERROR(__xludf.DUMMYFUNCTION("REGEXREPLACE(G11, ""[^0-9a-zA-Z .'Ã]"","""")"),"Denzel Washington")</f>
        <v>Denzel Washington</v>
      </c>
      <c r="I11" s="20" t="s">
        <v>71</v>
      </c>
      <c r="J11" s="18">
        <v>63923.0</v>
      </c>
      <c r="K11" s="18" t="s">
        <v>72</v>
      </c>
      <c r="L11" s="18">
        <v>156.0</v>
      </c>
      <c r="M11" s="18" t="s">
        <v>24</v>
      </c>
      <c r="N11" s="18" t="s">
        <v>25</v>
      </c>
      <c r="O11" s="19">
        <v>3.3E7</v>
      </c>
      <c r="P11" s="10">
        <f t="shared" si="2"/>
        <v>15169908</v>
      </c>
      <c r="Q11" s="12">
        <f t="shared" si="3"/>
        <v>0</v>
      </c>
      <c r="R11" s="18">
        <v>1992.0</v>
      </c>
      <c r="S11" s="18">
        <v>7.7</v>
      </c>
    </row>
    <row r="12">
      <c r="A12" s="7" t="s">
        <v>73</v>
      </c>
      <c r="B12" s="8" t="str">
        <f>IFERROR(__xludf.DUMMYFUNCTION("REGEXREPLACE(A12, ""[^0-9a-zA-Z .'Ã]"","""")"),"Ridley Scott")</f>
        <v>Ridley Scott</v>
      </c>
      <c r="C12" s="9">
        <v>200.0</v>
      </c>
      <c r="D12" s="10">
        <v>1.08638745E8</v>
      </c>
      <c r="E12" s="9" t="s">
        <v>74</v>
      </c>
      <c r="F12" s="9">
        <f t="shared" si="1"/>
        <v>3</v>
      </c>
      <c r="G12" s="9" t="s">
        <v>75</v>
      </c>
      <c r="H12" s="11" t="str">
        <f>IFERROR(__xludf.DUMMYFUNCTION("REGEXREPLACE(G12, ""[^0-9a-zA-Z .'Ã]"","""")"),"Ioan Gruffudd")</f>
        <v>Ioan Gruffudd</v>
      </c>
      <c r="I12" s="11" t="s">
        <v>76</v>
      </c>
      <c r="J12" s="9">
        <v>292022.0</v>
      </c>
      <c r="K12" s="9" t="s">
        <v>77</v>
      </c>
      <c r="L12" s="9">
        <v>1103.0</v>
      </c>
      <c r="M12" s="9" t="s">
        <v>24</v>
      </c>
      <c r="N12" s="9" t="s">
        <v>25</v>
      </c>
      <c r="O12" s="10">
        <v>9.2E7</v>
      </c>
      <c r="P12" s="10">
        <f t="shared" si="2"/>
        <v>16638745</v>
      </c>
      <c r="Q12" s="12">
        <f t="shared" si="3"/>
        <v>0</v>
      </c>
      <c r="R12" s="9">
        <v>2001.0</v>
      </c>
      <c r="S12" s="9">
        <v>7.7</v>
      </c>
    </row>
    <row r="13">
      <c r="A13" s="7" t="s">
        <v>78</v>
      </c>
      <c r="B13" s="8" t="str">
        <f>IFERROR(__xludf.DUMMYFUNCTION("REGEXREPLACE(A13, ""[^0-9a-zA-Z .'Ã]"","""")"),"John Sayles")</f>
        <v>John Sayles</v>
      </c>
      <c r="C13" s="9">
        <v>68.0</v>
      </c>
      <c r="D13" s="10">
        <v>1.3269963E7</v>
      </c>
      <c r="E13" s="9" t="s">
        <v>79</v>
      </c>
      <c r="F13" s="9">
        <f t="shared" si="1"/>
        <v>2</v>
      </c>
      <c r="G13" s="9" t="s">
        <v>80</v>
      </c>
      <c r="H13" s="11" t="str">
        <f>IFERROR(__xludf.DUMMYFUNCTION("REGEXREPLACE(G13, ""[^0-9a-zA-Z .'Ã]"","""")"),"Matthew McConaughey")</f>
        <v>Matthew McConaughey</v>
      </c>
      <c r="I13" s="11" t="s">
        <v>81</v>
      </c>
      <c r="J13" s="9">
        <v>23202.0</v>
      </c>
      <c r="K13" s="9" t="s">
        <v>82</v>
      </c>
      <c r="L13" s="9">
        <v>173.0</v>
      </c>
      <c r="M13" s="9" t="s">
        <v>24</v>
      </c>
      <c r="N13" s="9" t="s">
        <v>25</v>
      </c>
      <c r="O13" s="10">
        <v>5000000.0</v>
      </c>
      <c r="P13" s="10">
        <f t="shared" si="2"/>
        <v>8269963</v>
      </c>
      <c r="Q13" s="12">
        <f t="shared" si="3"/>
        <v>0</v>
      </c>
      <c r="R13" s="9">
        <v>1996.0</v>
      </c>
      <c r="S13" s="9">
        <v>7.6</v>
      </c>
    </row>
    <row r="14">
      <c r="A14" s="7" t="s">
        <v>83</v>
      </c>
      <c r="B14" s="8" t="str">
        <f>IFERROR(__xludf.DUMMYFUNCTION("REGEXREPLACE(A14, ""[^0-9a-zA-Z .'Ã]"","""")"),"Florian Henckel von Donnersmarck")</f>
        <v>Florian Henckel von Donnersmarck</v>
      </c>
      <c r="C14" s="9">
        <v>321.0</v>
      </c>
      <c r="D14" s="10">
        <v>6.7631157E7</v>
      </c>
      <c r="E14" s="9" t="s">
        <v>84</v>
      </c>
      <c r="F14" s="9">
        <f t="shared" si="1"/>
        <v>3</v>
      </c>
      <c r="G14" s="9" t="s">
        <v>85</v>
      </c>
      <c r="H14" s="11" t="str">
        <f>IFERROR(__xludf.DUMMYFUNCTION("REGEXREPLACE(G14, ""[^0-9a-zA-Z .'Ã]"","""")"),"Johnny Depp")</f>
        <v>Johnny Depp</v>
      </c>
      <c r="I14" s="11" t="s">
        <v>86</v>
      </c>
      <c r="J14" s="9">
        <v>176606.0</v>
      </c>
      <c r="K14" s="9" t="s">
        <v>87</v>
      </c>
      <c r="L14" s="9">
        <v>374.0</v>
      </c>
      <c r="M14" s="9" t="s">
        <v>24</v>
      </c>
      <c r="N14" s="9" t="s">
        <v>25</v>
      </c>
      <c r="O14" s="10">
        <v>1.0E8</v>
      </c>
      <c r="P14" s="10">
        <f t="shared" si="2"/>
        <v>0</v>
      </c>
      <c r="Q14" s="12">
        <f t="shared" si="3"/>
        <v>32368843</v>
      </c>
      <c r="R14" s="9">
        <v>2010.0</v>
      </c>
      <c r="S14" s="9">
        <v>6.0</v>
      </c>
    </row>
    <row r="15">
      <c r="A15" s="17" t="s">
        <v>88</v>
      </c>
      <c r="B15" s="8" t="str">
        <f>IFERROR(__xludf.DUMMYFUNCTION("REGEXREPLACE(A15, ""[^0-9a-zA-Z -.'Ã]"","""")"),"JosÃ Luis Valenzuela")</f>
        <v>JosÃ Luis Valenzuela</v>
      </c>
      <c r="C15" s="18">
        <v>13.0</v>
      </c>
      <c r="D15" s="19">
        <v>428535.0</v>
      </c>
      <c r="E15" s="18" t="s">
        <v>89</v>
      </c>
      <c r="F15" s="9">
        <f t="shared" si="1"/>
        <v>2</v>
      </c>
      <c r="G15" s="18" t="s">
        <v>90</v>
      </c>
      <c r="H15" s="11" t="str">
        <f>IFERROR(__xludf.DUMMYFUNCTION("REGEXREPLACE(G15, ""[^0-9a-zA-Z .'Ã]"","""")"),"Cheech Marin")</f>
        <v>Cheech Marin</v>
      </c>
      <c r="I15" s="20" t="s">
        <v>91</v>
      </c>
      <c r="J15" s="18">
        <v>505.0</v>
      </c>
      <c r="K15" s="18" t="s">
        <v>92</v>
      </c>
      <c r="L15" s="18">
        <v>32.0</v>
      </c>
      <c r="M15" s="18" t="s">
        <v>24</v>
      </c>
      <c r="N15" s="18" t="s">
        <v>25</v>
      </c>
      <c r="O15" s="19">
        <v>1000000.0</v>
      </c>
      <c r="P15" s="10">
        <f t="shared" si="2"/>
        <v>0</v>
      </c>
      <c r="Q15" s="12">
        <f t="shared" si="3"/>
        <v>571465</v>
      </c>
      <c r="R15" s="18">
        <v>2000.0</v>
      </c>
      <c r="S15" s="18">
        <v>3.6</v>
      </c>
    </row>
    <row r="16">
      <c r="A16" s="7" t="s">
        <v>93</v>
      </c>
      <c r="B16" s="8" t="str">
        <f>IFERROR(__xludf.DUMMYFUNCTION("REGEXREPLACE(A16, ""[^0-9a-zA-Z .'Ã]"","""")"),"John Ottman")</f>
        <v>John Ottman</v>
      </c>
      <c r="C16" s="9">
        <v>108.0</v>
      </c>
      <c r="D16" s="10">
        <v>2.1468807E7</v>
      </c>
      <c r="E16" s="9" t="s">
        <v>94</v>
      </c>
      <c r="F16" s="9">
        <f t="shared" si="1"/>
        <v>3</v>
      </c>
      <c r="G16" s="9" t="s">
        <v>95</v>
      </c>
      <c r="H16" s="11" t="str">
        <f>IFERROR(__xludf.DUMMYFUNCTION("REGEXREPLACE(G16, ""[^0-9a-zA-Z .'Ã]"","""")"),"Loretta Devine")</f>
        <v>Loretta Devine</v>
      </c>
      <c r="I16" s="11" t="s">
        <v>96</v>
      </c>
      <c r="J16" s="9">
        <v>13048.0</v>
      </c>
      <c r="K16" s="9" t="s">
        <v>97</v>
      </c>
      <c r="L16" s="9">
        <v>227.0</v>
      </c>
      <c r="M16" s="9" t="s">
        <v>24</v>
      </c>
      <c r="N16" s="9" t="s">
        <v>25</v>
      </c>
      <c r="O16" s="10">
        <v>1.4E7</v>
      </c>
      <c r="P16" s="10">
        <f t="shared" si="2"/>
        <v>7468807</v>
      </c>
      <c r="Q16" s="12">
        <f t="shared" si="3"/>
        <v>0</v>
      </c>
      <c r="R16" s="9">
        <v>2000.0</v>
      </c>
      <c r="S16" s="9">
        <v>4.1</v>
      </c>
    </row>
    <row r="17">
      <c r="A17" s="7" t="s">
        <v>98</v>
      </c>
      <c r="B17" s="8" t="str">
        <f>IFERROR(__xludf.DUMMYFUNCTION("REGEXREPLACE(A17, ""[^0-9a-zA-Z .'Ã]"","""")"),"Andy Cadiff")</f>
        <v>Andy Cadiff</v>
      </c>
      <c r="C17" s="9">
        <v>65.0</v>
      </c>
      <c r="D17" s="10">
        <v>1.2189514E7</v>
      </c>
      <c r="E17" s="9" t="s">
        <v>89</v>
      </c>
      <c r="F17" s="9">
        <f t="shared" si="1"/>
        <v>2</v>
      </c>
      <c r="G17" s="9" t="s">
        <v>99</v>
      </c>
      <c r="H17" s="11" t="str">
        <f>IFERROR(__xludf.DUMMYFUNCTION("REGEXREPLACE(G17, ""[^0-9a-zA-Z .'Ã]"","""")"),"Annabella Sciorra")</f>
        <v>Annabella Sciorra</v>
      </c>
      <c r="I17" s="11" t="s">
        <v>100</v>
      </c>
      <c r="J17" s="9">
        <v>30092.0</v>
      </c>
      <c r="K17" s="9" t="s">
        <v>101</v>
      </c>
      <c r="L17" s="9">
        <v>129.0</v>
      </c>
      <c r="M17" s="9" t="s">
        <v>24</v>
      </c>
      <c r="N17" s="9" t="s">
        <v>25</v>
      </c>
      <c r="O17" s="10">
        <v>2.3E7</v>
      </c>
      <c r="P17" s="10">
        <f t="shared" si="2"/>
        <v>0</v>
      </c>
      <c r="Q17" s="12">
        <f t="shared" si="3"/>
        <v>10810486</v>
      </c>
      <c r="R17" s="9">
        <v>2004.0</v>
      </c>
      <c r="S17" s="9">
        <v>6.1</v>
      </c>
    </row>
    <row r="18">
      <c r="A18" s="13" t="s">
        <v>102</v>
      </c>
      <c r="B18" s="8" t="str">
        <f>IFERROR(__xludf.DUMMYFUNCTION("REGEXREPLACE(A18, ""[^0-9a-zA-Z .'Ã]"","""")"),"Michael Polish")</f>
        <v>Michael Polish</v>
      </c>
      <c r="C18" s="14">
        <v>54.0</v>
      </c>
      <c r="D18" s="15">
        <v>985341.0</v>
      </c>
      <c r="E18" s="14" t="s">
        <v>103</v>
      </c>
      <c r="F18" s="9">
        <f t="shared" si="1"/>
        <v>1</v>
      </c>
      <c r="G18" s="14" t="s">
        <v>104</v>
      </c>
      <c r="H18" s="11" t="str">
        <f>IFERROR(__xludf.DUMMYFUNCTION("REGEXREPLACE(G18, ""[^0-9a-zA-Z .'Ã]"","""")"),"Sasha Alexander")</f>
        <v>Sasha Alexander</v>
      </c>
      <c r="I18" s="16" t="s">
        <v>105</v>
      </c>
      <c r="J18" s="14">
        <v>3479.0</v>
      </c>
      <c r="K18" s="14" t="s">
        <v>106</v>
      </c>
      <c r="L18" s="14">
        <v>87.0</v>
      </c>
      <c r="M18" s="14" t="s">
        <v>24</v>
      </c>
      <c r="N18" s="14" t="s">
        <v>25</v>
      </c>
      <c r="O18" s="15">
        <v>500000.0</v>
      </c>
      <c r="P18" s="10">
        <f t="shared" si="2"/>
        <v>485341</v>
      </c>
      <c r="Q18" s="12">
        <f t="shared" si="3"/>
        <v>0</v>
      </c>
      <c r="R18" s="14">
        <v>1999.0</v>
      </c>
      <c r="S18" s="14">
        <v>7.3</v>
      </c>
    </row>
    <row r="19">
      <c r="A19" s="7" t="s">
        <v>107</v>
      </c>
      <c r="B19" s="8" t="str">
        <f>IFERROR(__xludf.DUMMYFUNCTION("REGEXREPLACE(A19, ""[^0-9a-zA-Z .'Ã]"","""")"),"Steve Miner")</f>
        <v>Steve Miner</v>
      </c>
      <c r="C19" s="9">
        <v>152.0</v>
      </c>
      <c r="D19" s="10">
        <v>3.1768374E7</v>
      </c>
      <c r="E19" s="9" t="s">
        <v>108</v>
      </c>
      <c r="F19" s="9">
        <f t="shared" si="1"/>
        <v>3</v>
      </c>
      <c r="G19" s="9" t="s">
        <v>109</v>
      </c>
      <c r="H19" s="11" t="str">
        <f>IFERROR(__xludf.DUMMYFUNCTION("REGEXREPLACE(G19, ""[^0-9a-zA-Z .'Ã]"","""")"),"Oliver Platt")</f>
        <v>Oliver Platt</v>
      </c>
      <c r="I19" s="11" t="s">
        <v>110</v>
      </c>
      <c r="J19" s="9">
        <v>42761.0</v>
      </c>
      <c r="K19" s="9" t="s">
        <v>111</v>
      </c>
      <c r="L19" s="9">
        <v>366.0</v>
      </c>
      <c r="M19" s="9" t="s">
        <v>24</v>
      </c>
      <c r="N19" s="9" t="s">
        <v>25</v>
      </c>
      <c r="O19" s="10">
        <v>2.7E7</v>
      </c>
      <c r="P19" s="10">
        <f t="shared" si="2"/>
        <v>4768374</v>
      </c>
      <c r="Q19" s="12">
        <f t="shared" si="3"/>
        <v>0</v>
      </c>
      <c r="R19" s="9">
        <v>1999.0</v>
      </c>
      <c r="S19" s="9">
        <v>5.6</v>
      </c>
    </row>
    <row r="20" ht="15.75" customHeight="1">
      <c r="A20" s="7" t="s">
        <v>112</v>
      </c>
      <c r="B20" s="8" t="str">
        <f>IFERROR(__xludf.DUMMYFUNCTION("REGEXREPLACE(A20, ""[^0-9a-zA-Z .'Ã]"","""")"),"Nick Cassavetes")</f>
        <v>Nick Cassavetes</v>
      </c>
      <c r="C20" s="9">
        <v>129.0</v>
      </c>
      <c r="D20" s="10">
        <v>7.1026631E7</v>
      </c>
      <c r="E20" s="9" t="s">
        <v>113</v>
      </c>
      <c r="F20" s="9">
        <f t="shared" si="1"/>
        <v>3</v>
      </c>
      <c r="G20" s="9" t="s">
        <v>70</v>
      </c>
      <c r="H20" s="11" t="str">
        <f>IFERROR(__xludf.DUMMYFUNCTION("REGEXREPLACE(G20, ""[^0-9a-zA-Z .'Ã]"","""")"),"Denzel Washington")</f>
        <v>Denzel Washington</v>
      </c>
      <c r="I20" s="11" t="s">
        <v>114</v>
      </c>
      <c r="J20" s="9">
        <v>98899.0</v>
      </c>
      <c r="K20" s="9" t="s">
        <v>115</v>
      </c>
      <c r="L20" s="9">
        <v>394.0</v>
      </c>
      <c r="M20" s="9" t="s">
        <v>24</v>
      </c>
      <c r="N20" s="9" t="s">
        <v>25</v>
      </c>
      <c r="O20" s="10">
        <v>3.6E7</v>
      </c>
      <c r="P20" s="10">
        <f t="shared" si="2"/>
        <v>35026631</v>
      </c>
      <c r="Q20" s="12">
        <f t="shared" si="3"/>
        <v>0</v>
      </c>
      <c r="R20" s="9">
        <v>2002.0</v>
      </c>
      <c r="S20" s="9">
        <v>7.0</v>
      </c>
    </row>
    <row r="21" ht="15.75" customHeight="1">
      <c r="A21" s="7" t="s">
        <v>116</v>
      </c>
      <c r="B21" s="8" t="str">
        <f>IFERROR(__xludf.DUMMYFUNCTION("REGEXREPLACE(A21, ""[^0-9a-zA-Z .'Ã]"","""")"),"Vincente Minnelli")</f>
        <v>Vincente Minnelli</v>
      </c>
      <c r="C21" s="9">
        <v>41.0</v>
      </c>
      <c r="D21" s="10">
        <v>2956000.0</v>
      </c>
      <c r="E21" s="9" t="s">
        <v>117</v>
      </c>
      <c r="F21" s="9">
        <f t="shared" si="1"/>
        <v>4</v>
      </c>
      <c r="G21" s="9" t="s">
        <v>118</v>
      </c>
      <c r="H21" s="11" t="str">
        <f>IFERROR(__xludf.DUMMYFUNCTION("REGEXREPLACE(G21, ""[^0-9a-zA-Z .'Ã]"","""")"),"Gladys Cooper")</f>
        <v>Gladys Cooper</v>
      </c>
      <c r="I21" s="11" t="s">
        <v>119</v>
      </c>
      <c r="J21" s="9">
        <v>3258.0</v>
      </c>
      <c r="K21" s="9" t="s">
        <v>120</v>
      </c>
      <c r="L21" s="9">
        <v>54.0</v>
      </c>
      <c r="M21" s="9" t="s">
        <v>24</v>
      </c>
      <c r="N21" s="9" t="s">
        <v>25</v>
      </c>
      <c r="O21" s="10">
        <v>3700000.0</v>
      </c>
      <c r="P21" s="10">
        <f t="shared" si="2"/>
        <v>0</v>
      </c>
      <c r="Q21" s="12">
        <f t="shared" si="3"/>
        <v>744000</v>
      </c>
      <c r="R21" s="9">
        <v>1948.0</v>
      </c>
      <c r="S21" s="9">
        <v>7.1</v>
      </c>
    </row>
    <row r="22" ht="15.75" customHeight="1">
      <c r="A22" s="17" t="s">
        <v>121</v>
      </c>
      <c r="B22" s="8" t="str">
        <f>IFERROR(__xludf.DUMMYFUNCTION("REGEXREPLACE(A22, ""[^0-9a-zA-Z .'Ã]"","""")"),"J.B. Rogers")</f>
        <v>J.B. Rogers</v>
      </c>
      <c r="C22" s="18">
        <v>87.0</v>
      </c>
      <c r="D22" s="19">
        <v>5516708.0</v>
      </c>
      <c r="E22" s="18" t="s">
        <v>89</v>
      </c>
      <c r="F22" s="9">
        <f t="shared" si="1"/>
        <v>2</v>
      </c>
      <c r="G22" s="18" t="s">
        <v>122</v>
      </c>
      <c r="H22" s="11" t="str">
        <f>IFERROR(__xludf.DUMMYFUNCTION("REGEXREPLACE(G22, ""[^0-9a-zA-Z .'Ã]"","""")"),"Eddie Cibrian")</f>
        <v>Eddie Cibrian</v>
      </c>
      <c r="I22" s="20" t="s">
        <v>123</v>
      </c>
      <c r="J22" s="18">
        <v>11375.0</v>
      </c>
      <c r="K22" s="18" t="s">
        <v>124</v>
      </c>
      <c r="L22" s="18">
        <v>91.0</v>
      </c>
      <c r="M22" s="18" t="s">
        <v>24</v>
      </c>
      <c r="N22" s="18" t="s">
        <v>25</v>
      </c>
      <c r="O22" s="19">
        <v>2.5E7</v>
      </c>
      <c r="P22" s="10">
        <f t="shared" si="2"/>
        <v>0</v>
      </c>
      <c r="Q22" s="12">
        <f t="shared" si="3"/>
        <v>19483292</v>
      </c>
      <c r="R22" s="18">
        <v>2001.0</v>
      </c>
      <c r="S22" s="18">
        <v>4.9</v>
      </c>
    </row>
    <row r="23" ht="15.75" customHeight="1">
      <c r="A23" s="17" t="s">
        <v>125</v>
      </c>
      <c r="B23" s="8" t="str">
        <f>IFERROR(__xludf.DUMMYFUNCTION("REGEXREPLACE(A23, ""[^0-9a-zA-Z .'Ã]"","""")"),"Edgar Wright")</f>
        <v>Edgar Wright</v>
      </c>
      <c r="C23" s="18">
        <v>285.0</v>
      </c>
      <c r="D23" s="19">
        <v>2.3618786E7</v>
      </c>
      <c r="E23" s="18" t="s">
        <v>126</v>
      </c>
      <c r="F23" s="9">
        <f t="shared" si="1"/>
        <v>3</v>
      </c>
      <c r="G23" s="18" t="s">
        <v>127</v>
      </c>
      <c r="H23" s="11" t="str">
        <f>IFERROR(__xludf.DUMMYFUNCTION("REGEXREPLACE(G23, ""[^0-9a-zA-Z .'Ã]"","""")"),"Bill Bailey")</f>
        <v>Bill Bailey</v>
      </c>
      <c r="I23" s="20" t="s">
        <v>128</v>
      </c>
      <c r="J23" s="18">
        <v>352695.0</v>
      </c>
      <c r="K23" s="18" t="s">
        <v>129</v>
      </c>
      <c r="L23" s="18">
        <v>687.0</v>
      </c>
      <c r="M23" s="18" t="s">
        <v>24</v>
      </c>
      <c r="N23" s="18" t="s">
        <v>130</v>
      </c>
      <c r="O23" s="19">
        <v>8000000.0</v>
      </c>
      <c r="P23" s="10">
        <f t="shared" si="2"/>
        <v>15618786</v>
      </c>
      <c r="Q23" s="12">
        <f t="shared" si="3"/>
        <v>0</v>
      </c>
      <c r="R23" s="18">
        <v>2007.0</v>
      </c>
      <c r="S23" s="18">
        <v>7.9</v>
      </c>
    </row>
    <row r="24" ht="15.75" customHeight="1">
      <c r="A24" s="13" t="s">
        <v>131</v>
      </c>
      <c r="B24" s="8" t="str">
        <f>IFERROR(__xludf.DUMMYFUNCTION("REGEXREPLACE(A24, ""[^0-9a-zA-Z .'Ã]"","""")"),"Tim Chambers")</f>
        <v>Tim Chambers</v>
      </c>
      <c r="C24" s="14">
        <v>34.0</v>
      </c>
      <c r="D24" s="15">
        <v>1889522.0</v>
      </c>
      <c r="E24" s="14" t="s">
        <v>132</v>
      </c>
      <c r="F24" s="9">
        <f t="shared" si="1"/>
        <v>2</v>
      </c>
      <c r="G24" s="14" t="s">
        <v>133</v>
      </c>
      <c r="H24" s="11" t="str">
        <f>IFERROR(__xludf.DUMMYFUNCTION("REGEXREPLACE(G24, ""[^0-9a-zA-Z .'Ã]"","""")"),"Ellen Burstyn")</f>
        <v>Ellen Burstyn</v>
      </c>
      <c r="I24" s="16" t="s">
        <v>134</v>
      </c>
      <c r="J24" s="14">
        <v>1119.0</v>
      </c>
      <c r="K24" s="14" t="s">
        <v>135</v>
      </c>
      <c r="L24" s="14">
        <v>12.0</v>
      </c>
      <c r="M24" s="14" t="s">
        <v>24</v>
      </c>
      <c r="N24" s="14" t="s">
        <v>25</v>
      </c>
      <c r="O24" s="15">
        <v>7000000.0</v>
      </c>
      <c r="P24" s="10">
        <f t="shared" si="2"/>
        <v>0</v>
      </c>
      <c r="Q24" s="12">
        <f t="shared" si="3"/>
        <v>5110478</v>
      </c>
      <c r="R24" s="14">
        <v>2009.0</v>
      </c>
      <c r="S24" s="14">
        <v>6.5</v>
      </c>
    </row>
    <row r="25" ht="15.75" customHeight="1">
      <c r="A25" s="7" t="s">
        <v>136</v>
      </c>
      <c r="B25" s="8" t="str">
        <f>IFERROR(__xludf.DUMMYFUNCTION("REGEXREPLACE(A25, ""[^0-9a-zA-Z .'Ã]"","""")"),"Hugh Wilson")</f>
        <v>Hugh Wilson</v>
      </c>
      <c r="C25" s="9">
        <v>45.0</v>
      </c>
      <c r="D25" s="10">
        <v>8.12E7</v>
      </c>
      <c r="E25" s="9" t="s">
        <v>137</v>
      </c>
      <c r="F25" s="9">
        <f t="shared" si="1"/>
        <v>1</v>
      </c>
      <c r="G25" s="9" t="s">
        <v>138</v>
      </c>
      <c r="H25" s="11" t="str">
        <f>IFERROR(__xludf.DUMMYFUNCTION("REGEXREPLACE(G25, ""[^0-9a-zA-Z .'Ã]"","""")"),"Steve Guttenberg")</f>
        <v>Steve Guttenberg</v>
      </c>
      <c r="I25" s="11" t="s">
        <v>139</v>
      </c>
      <c r="J25" s="9">
        <v>87739.0</v>
      </c>
      <c r="K25" s="9" t="s">
        <v>140</v>
      </c>
      <c r="L25" s="9">
        <v>133.0</v>
      </c>
      <c r="M25" s="9" t="s">
        <v>24</v>
      </c>
      <c r="N25" s="9" t="s">
        <v>25</v>
      </c>
      <c r="O25" s="10">
        <v>4500000.0</v>
      </c>
      <c r="P25" s="10">
        <f t="shared" si="2"/>
        <v>76700000</v>
      </c>
      <c r="Q25" s="12">
        <f t="shared" si="3"/>
        <v>0</v>
      </c>
      <c r="R25" s="9">
        <v>1984.0</v>
      </c>
      <c r="S25" s="9">
        <v>6.7</v>
      </c>
    </row>
    <row r="26" ht="15.75" customHeight="1">
      <c r="A26" s="7" t="s">
        <v>141</v>
      </c>
      <c r="B26" s="8" t="str">
        <f>IFERROR(__xludf.DUMMYFUNCTION("REGEXREPLACE(A26, ""[^0-9a-zA-Z .'Ã]"","""")"),"Simon Wincer")</f>
        <v>Simon Wincer</v>
      </c>
      <c r="C26" s="9">
        <v>60.0</v>
      </c>
      <c r="D26" s="10">
        <v>1.7300889E7</v>
      </c>
      <c r="E26" s="9" t="s">
        <v>142</v>
      </c>
      <c r="F26" s="9">
        <f t="shared" si="1"/>
        <v>4</v>
      </c>
      <c r="G26" s="9" t="s">
        <v>143</v>
      </c>
      <c r="H26" s="11" t="str">
        <f>IFERROR(__xludf.DUMMYFUNCTION("REGEXREPLACE(G26, ""[^0-9a-zA-Z .'Ã]"","""")"),"CaryHiroyuki Tagawa")</f>
        <v>CaryHiroyuki Tagawa</v>
      </c>
      <c r="I26" s="11" t="s">
        <v>144</v>
      </c>
      <c r="J26" s="9">
        <v>27648.0</v>
      </c>
      <c r="K26" s="9" t="s">
        <v>145</v>
      </c>
      <c r="L26" s="9">
        <v>148.0</v>
      </c>
      <c r="M26" s="9" t="s">
        <v>24</v>
      </c>
      <c r="N26" s="9" t="s">
        <v>146</v>
      </c>
      <c r="O26" s="10">
        <v>4.5E7</v>
      </c>
      <c r="P26" s="10">
        <f t="shared" si="2"/>
        <v>0</v>
      </c>
      <c r="Q26" s="12">
        <f t="shared" si="3"/>
        <v>27699111</v>
      </c>
      <c r="R26" s="9">
        <v>1996.0</v>
      </c>
      <c r="S26" s="9">
        <v>4.9</v>
      </c>
    </row>
    <row r="27" ht="15.75" customHeight="1">
      <c r="A27" s="7" t="s">
        <v>147</v>
      </c>
      <c r="B27" s="8" t="str">
        <f>IFERROR(__xludf.DUMMYFUNCTION("REGEXREPLACE(A27, ""[^0-9a-zA-Z .'Ã]"","""")"),"Wes Craven")</f>
        <v>Wes Craven</v>
      </c>
      <c r="C27" s="9">
        <v>256.0</v>
      </c>
      <c r="D27" s="10">
        <v>2.6505E7</v>
      </c>
      <c r="E27" s="9" t="s">
        <v>148</v>
      </c>
      <c r="F27" s="9">
        <f t="shared" si="1"/>
        <v>1</v>
      </c>
      <c r="G27" s="9" t="s">
        <v>85</v>
      </c>
      <c r="H27" s="11" t="str">
        <f>IFERROR(__xludf.DUMMYFUNCTION("REGEXREPLACE(G27, ""[^0-9a-zA-Z .'Ã]"","""")"),"Johnny Depp")</f>
        <v>Johnny Depp</v>
      </c>
      <c r="I27" s="11" t="s">
        <v>149</v>
      </c>
      <c r="J27" s="9">
        <v>149285.0</v>
      </c>
      <c r="K27" s="9" t="s">
        <v>150</v>
      </c>
      <c r="L27" s="9">
        <v>668.0</v>
      </c>
      <c r="M27" s="9" t="s">
        <v>24</v>
      </c>
      <c r="N27" s="9" t="s">
        <v>25</v>
      </c>
      <c r="O27" s="10">
        <v>1800000.0</v>
      </c>
      <c r="P27" s="10">
        <f t="shared" si="2"/>
        <v>24705000</v>
      </c>
      <c r="Q27" s="12">
        <f t="shared" si="3"/>
        <v>0</v>
      </c>
      <c r="R27" s="9">
        <v>1984.0</v>
      </c>
      <c r="S27" s="9">
        <v>7.5</v>
      </c>
    </row>
    <row r="28" ht="15.75" customHeight="1">
      <c r="A28" s="13" t="s">
        <v>151</v>
      </c>
      <c r="B28" s="8" t="str">
        <f>IFERROR(__xludf.DUMMYFUNCTION("REGEXREPLACE(A28, ""[^0-9a-zA-Z .'Ã]"","""")"),"Johnnie To")</f>
        <v>Johnnie To</v>
      </c>
      <c r="C28" s="14">
        <v>98.0</v>
      </c>
      <c r="D28" s="15">
        <v>49413.0</v>
      </c>
      <c r="E28" s="14" t="s">
        <v>152</v>
      </c>
      <c r="F28" s="9">
        <f t="shared" si="1"/>
        <v>3</v>
      </c>
      <c r="G28" s="14" t="s">
        <v>153</v>
      </c>
      <c r="H28" s="11" t="str">
        <f>IFERROR(__xludf.DUMMYFUNCTION("REGEXREPLACE(G28, ""[^0-9a-zA-Z .'Ã]"","""")"),"Simon Yam")</f>
        <v>Simon Yam</v>
      </c>
      <c r="I28" s="16" t="s">
        <v>154</v>
      </c>
      <c r="J28" s="14">
        <v>6919.0</v>
      </c>
      <c r="K28" s="14" t="s">
        <v>155</v>
      </c>
      <c r="L28" s="14">
        <v>26.0</v>
      </c>
      <c r="M28" s="14" t="s">
        <v>156</v>
      </c>
      <c r="N28" s="14" t="s">
        <v>157</v>
      </c>
      <c r="O28" s="15">
        <v>3.5E7</v>
      </c>
      <c r="P28" s="10">
        <f t="shared" si="2"/>
        <v>0</v>
      </c>
      <c r="Q28" s="12">
        <f t="shared" si="3"/>
        <v>34950587</v>
      </c>
      <c r="R28" s="14">
        <v>2006.0</v>
      </c>
      <c r="S28" s="14">
        <v>7.3</v>
      </c>
    </row>
    <row r="29" ht="15.75" customHeight="1">
      <c r="A29" s="7" t="s">
        <v>158</v>
      </c>
      <c r="B29" s="8" t="str">
        <f>IFERROR(__xludf.DUMMYFUNCTION("REGEXREPLACE(A29, ""[^0-9a-zA-Z .'Ã]"","""")"),"James L. Brooks")</f>
        <v>James L. Brooks</v>
      </c>
      <c r="C29" s="9">
        <v>168.0</v>
      </c>
      <c r="D29" s="10">
        <v>3.021262E7</v>
      </c>
      <c r="E29" s="9" t="s">
        <v>159</v>
      </c>
      <c r="F29" s="9">
        <f t="shared" si="1"/>
        <v>3</v>
      </c>
      <c r="G29" s="9" t="s">
        <v>160</v>
      </c>
      <c r="H29" s="11" t="str">
        <f>IFERROR(__xludf.DUMMYFUNCTION("REGEXREPLACE(G29, ""[^0-9a-zA-Z .'Ã]"","""")"),"Shelley Conn")</f>
        <v>Shelley Conn</v>
      </c>
      <c r="I29" s="11" t="s">
        <v>161</v>
      </c>
      <c r="J29" s="9">
        <v>35066.0</v>
      </c>
      <c r="K29" s="9" t="s">
        <v>162</v>
      </c>
      <c r="L29" s="9">
        <v>196.0</v>
      </c>
      <c r="M29" s="9" t="s">
        <v>24</v>
      </c>
      <c r="N29" s="9" t="s">
        <v>25</v>
      </c>
      <c r="O29" s="10">
        <v>1.2E8</v>
      </c>
      <c r="P29" s="10">
        <f t="shared" si="2"/>
        <v>0</v>
      </c>
      <c r="Q29" s="12">
        <f t="shared" si="3"/>
        <v>89787380</v>
      </c>
      <c r="R29" s="9">
        <v>2010.0</v>
      </c>
      <c r="S29" s="9">
        <v>5.3</v>
      </c>
    </row>
    <row r="30" ht="15.75" customHeight="1">
      <c r="A30" s="7" t="s">
        <v>163</v>
      </c>
      <c r="B30" s="8" t="str">
        <f>IFERROR(__xludf.DUMMYFUNCTION("REGEXREPLACE(A30, ""[^0-9a-zA-Z .'Ã]"","""")"),"F. Gary Gray")</f>
        <v>F. Gary Gray</v>
      </c>
      <c r="C30" s="9">
        <v>29.0</v>
      </c>
      <c r="D30" s="10">
        <v>3.6049108E7</v>
      </c>
      <c r="E30" s="9" t="s">
        <v>164</v>
      </c>
      <c r="F30" s="9">
        <f t="shared" si="1"/>
        <v>5</v>
      </c>
      <c r="G30" s="9" t="s">
        <v>165</v>
      </c>
      <c r="H30" s="11" t="str">
        <f>IFERROR(__xludf.DUMMYFUNCTION("REGEXREPLACE(G30, ""[^0-9a-zA-Z .'Ã]"","""")"),"Vivica A. Fox")</f>
        <v>Vivica A. Fox</v>
      </c>
      <c r="I30" s="11" t="s">
        <v>166</v>
      </c>
      <c r="J30" s="9">
        <v>10139.0</v>
      </c>
      <c r="K30" s="9" t="s">
        <v>167</v>
      </c>
      <c r="L30" s="9">
        <v>70.0</v>
      </c>
      <c r="M30" s="9" t="s">
        <v>24</v>
      </c>
      <c r="N30" s="9" t="s">
        <v>25</v>
      </c>
      <c r="O30" s="10">
        <v>9000000.0</v>
      </c>
      <c r="P30" s="10">
        <f t="shared" si="2"/>
        <v>27049108</v>
      </c>
      <c r="Q30" s="12">
        <f t="shared" si="3"/>
        <v>0</v>
      </c>
      <c r="R30" s="9">
        <v>1996.0</v>
      </c>
      <c r="S30" s="9">
        <v>6.8</v>
      </c>
    </row>
    <row r="31" ht="15.75" customHeight="1">
      <c r="A31" s="7" t="s">
        <v>168</v>
      </c>
      <c r="B31" s="8" t="str">
        <f>IFERROR(__xludf.DUMMYFUNCTION("REGEXREPLACE(A31, ""[^0-9a-zA-Z .'Ã]"","""")"),"Neil LaBute")</f>
        <v>Neil LaBute</v>
      </c>
      <c r="C31" s="9">
        <v>156.0</v>
      </c>
      <c r="D31" s="10">
        <v>2.516727E7</v>
      </c>
      <c r="E31" s="9" t="s">
        <v>169</v>
      </c>
      <c r="F31" s="9">
        <f t="shared" si="1"/>
        <v>3</v>
      </c>
      <c r="G31" s="9" t="s">
        <v>170</v>
      </c>
      <c r="H31" s="11" t="str">
        <f>IFERROR(__xludf.DUMMYFUNCTION("REGEXREPLACE(G31, ""[^0-9a-zA-Z .'Ã]"","""")"),"Morgan Freeman")</f>
        <v>Morgan Freeman</v>
      </c>
      <c r="I31" s="11" t="s">
        <v>171</v>
      </c>
      <c r="J31" s="9">
        <v>30119.0</v>
      </c>
      <c r="K31" s="9" t="s">
        <v>172</v>
      </c>
      <c r="L31" s="9">
        <v>263.0</v>
      </c>
      <c r="M31" s="9" t="s">
        <v>24</v>
      </c>
      <c r="N31" s="9" t="s">
        <v>173</v>
      </c>
      <c r="O31" s="10">
        <v>2.4E7</v>
      </c>
      <c r="P31" s="10">
        <f t="shared" si="2"/>
        <v>1167270</v>
      </c>
      <c r="Q31" s="12">
        <f t="shared" si="3"/>
        <v>0</v>
      </c>
      <c r="R31" s="9">
        <v>2000.0</v>
      </c>
      <c r="S31" s="9">
        <v>6.3</v>
      </c>
    </row>
    <row r="32" ht="15.75" customHeight="1">
      <c r="A32" s="17" t="s">
        <v>174</v>
      </c>
      <c r="B32" s="8" t="str">
        <f>IFERROR(__xludf.DUMMYFUNCTION("REGEXREPLACE(A32, ""[^0-9a-zA-Z .'Ã]"","""")"),"Roland Emmerich")</f>
        <v>Roland Emmerich</v>
      </c>
      <c r="C32" s="18">
        <v>339.0</v>
      </c>
      <c r="D32" s="19">
        <v>7.3103784E7</v>
      </c>
      <c r="E32" s="18" t="s">
        <v>175</v>
      </c>
      <c r="F32" s="9">
        <f t="shared" si="1"/>
        <v>3</v>
      </c>
      <c r="G32" s="18" t="s">
        <v>176</v>
      </c>
      <c r="H32" s="11" t="str">
        <f>IFERROR(__xludf.DUMMYFUNCTION("REGEXREPLACE(G32, ""[^0-9a-zA-Z .'Ã]"","""")"),"Channing Tatum")</f>
        <v>Channing Tatum</v>
      </c>
      <c r="I32" s="20" t="s">
        <v>177</v>
      </c>
      <c r="J32" s="18">
        <v>164238.0</v>
      </c>
      <c r="K32" s="18" t="s">
        <v>178</v>
      </c>
      <c r="L32" s="18">
        <v>434.0</v>
      </c>
      <c r="M32" s="18" t="s">
        <v>24</v>
      </c>
      <c r="N32" s="18" t="s">
        <v>25</v>
      </c>
      <c r="O32" s="19">
        <v>1.5E8</v>
      </c>
      <c r="P32" s="10">
        <f t="shared" si="2"/>
        <v>0</v>
      </c>
      <c r="Q32" s="12">
        <f t="shared" si="3"/>
        <v>76896216</v>
      </c>
      <c r="R32" s="18">
        <v>2013.0</v>
      </c>
      <c r="S32" s="18">
        <v>6.4</v>
      </c>
    </row>
    <row r="33" ht="15.75" customHeight="1">
      <c r="A33" s="7" t="s">
        <v>179</v>
      </c>
      <c r="B33" s="8" t="str">
        <f>IFERROR(__xludf.DUMMYFUNCTION("REGEXREPLACE(A33, ""[^0-9a-zA-Z .'Ã]"","""")"),"Tim Burton")</f>
        <v>Tim Burton</v>
      </c>
      <c r="C33" s="9">
        <v>153.0</v>
      </c>
      <c r="D33" s="10">
        <v>1.62831698E8</v>
      </c>
      <c r="E33" s="9" t="s">
        <v>180</v>
      </c>
      <c r="F33" s="9">
        <f t="shared" si="1"/>
        <v>1</v>
      </c>
      <c r="G33" s="9" t="s">
        <v>181</v>
      </c>
      <c r="H33" s="11" t="str">
        <f>IFERROR(__xludf.DUMMYFUNCTION("REGEXREPLACE(G33, ""[^0-9a-zA-Z .'Ã]"","""")"),"Michael Gough")</f>
        <v>Michael Gough</v>
      </c>
      <c r="I33" s="11" t="s">
        <v>182</v>
      </c>
      <c r="J33" s="9">
        <v>215255.0</v>
      </c>
      <c r="K33" s="9" t="s">
        <v>183</v>
      </c>
      <c r="L33" s="9">
        <v>610.0</v>
      </c>
      <c r="M33" s="9" t="s">
        <v>24</v>
      </c>
      <c r="N33" s="9" t="s">
        <v>25</v>
      </c>
      <c r="O33" s="10">
        <v>8.0E7</v>
      </c>
      <c r="P33" s="10">
        <f t="shared" si="2"/>
        <v>82831698</v>
      </c>
      <c r="Q33" s="12">
        <f t="shared" si="3"/>
        <v>0</v>
      </c>
      <c r="R33" s="9">
        <v>1992.0</v>
      </c>
      <c r="S33" s="9">
        <v>7.0</v>
      </c>
    </row>
    <row r="34" ht="15.75" customHeight="1">
      <c r="A34" s="17" t="s">
        <v>184</v>
      </c>
      <c r="B34" s="8" t="str">
        <f>IFERROR(__xludf.DUMMYFUNCTION("REGEXREPLACE(A34, ""[^0-9a-zA-Z .'Ã]"","""")"),"James Cameron")</f>
        <v>James Cameron</v>
      </c>
      <c r="C34" s="18">
        <v>250.0</v>
      </c>
      <c r="D34" s="19">
        <v>8.52E7</v>
      </c>
      <c r="E34" s="18" t="s">
        <v>185</v>
      </c>
      <c r="F34" s="9">
        <f t="shared" si="1"/>
        <v>3</v>
      </c>
      <c r="G34" s="18" t="s">
        <v>186</v>
      </c>
      <c r="H34" s="11" t="str">
        <f>IFERROR(__xludf.DUMMYFUNCTION("REGEXREPLACE(G34, ""[^0-9a-zA-Z .'Ã]"","""")"),"Michael Biehn")</f>
        <v>Michael Biehn</v>
      </c>
      <c r="I34" s="20" t="s">
        <v>187</v>
      </c>
      <c r="J34" s="18">
        <v>488537.0</v>
      </c>
      <c r="K34" s="18" t="s">
        <v>188</v>
      </c>
      <c r="L34" s="18">
        <v>1076.0</v>
      </c>
      <c r="M34" s="18" t="s">
        <v>24</v>
      </c>
      <c r="N34" s="18" t="s">
        <v>25</v>
      </c>
      <c r="O34" s="19">
        <v>1.85E7</v>
      </c>
      <c r="P34" s="10">
        <f t="shared" si="2"/>
        <v>66700000</v>
      </c>
      <c r="Q34" s="12">
        <f t="shared" si="3"/>
        <v>0</v>
      </c>
      <c r="R34" s="18">
        <v>1986.0</v>
      </c>
      <c r="S34" s="18">
        <v>8.4</v>
      </c>
    </row>
    <row r="35" ht="15.75" customHeight="1">
      <c r="A35" s="17" t="s">
        <v>189</v>
      </c>
      <c r="B35" s="8" t="str">
        <f>IFERROR(__xludf.DUMMYFUNCTION("REGEXREPLACE(A35, ""[^0-9a-zA-Z .'Ã]"","""")"),"Robert Luketic")</f>
        <v>Robert Luketic</v>
      </c>
      <c r="C35" s="18">
        <v>140.0</v>
      </c>
      <c r="D35" s="19">
        <v>4.7000485E7</v>
      </c>
      <c r="E35" s="18" t="s">
        <v>190</v>
      </c>
      <c r="F35" s="9">
        <f t="shared" si="1"/>
        <v>4</v>
      </c>
      <c r="G35" s="18" t="s">
        <v>191</v>
      </c>
      <c r="H35" s="11" t="str">
        <f>IFERROR(__xludf.DUMMYFUNCTION("REGEXREPLACE(G35, ""[^0-9a-zA-Z .'Ã]"","""")"),"Tom Selleck")</f>
        <v>Tom Selleck</v>
      </c>
      <c r="I35" s="20" t="s">
        <v>192</v>
      </c>
      <c r="J35" s="18">
        <v>72867.0</v>
      </c>
      <c r="K35" s="18" t="s">
        <v>193</v>
      </c>
      <c r="L35" s="18">
        <v>120.0</v>
      </c>
      <c r="M35" s="18" t="s">
        <v>24</v>
      </c>
      <c r="N35" s="18" t="s">
        <v>25</v>
      </c>
      <c r="O35" s="19">
        <v>7.5E7</v>
      </c>
      <c r="P35" s="10">
        <f t="shared" si="2"/>
        <v>0</v>
      </c>
      <c r="Q35" s="12">
        <f t="shared" si="3"/>
        <v>27999515</v>
      </c>
      <c r="R35" s="18">
        <v>2010.0</v>
      </c>
      <c r="S35" s="18">
        <v>5.4</v>
      </c>
    </row>
    <row r="36" ht="15.75" customHeight="1">
      <c r="A36" s="17" t="s">
        <v>194</v>
      </c>
      <c r="B36" s="8" t="str">
        <f>IFERROR(__xludf.DUMMYFUNCTION("REGEXREPLACE(A36, ""[^0-9a-zA-Z .'Ã]"","""")"),"Terry Zwigoff")</f>
        <v>Terry Zwigoff</v>
      </c>
      <c r="C36" s="18">
        <v>195.0</v>
      </c>
      <c r="D36" s="19">
        <v>6.0057639E7</v>
      </c>
      <c r="E36" s="18" t="s">
        <v>169</v>
      </c>
      <c r="F36" s="9">
        <f t="shared" si="1"/>
        <v>3</v>
      </c>
      <c r="G36" s="18" t="s">
        <v>195</v>
      </c>
      <c r="H36" s="11" t="str">
        <f>IFERROR(__xludf.DUMMYFUNCTION("REGEXREPLACE(G36, ""[^0-9a-zA-Z .'Ã]"","""")"),"Bernie Mac")</f>
        <v>Bernie Mac</v>
      </c>
      <c r="I36" s="20" t="s">
        <v>196</v>
      </c>
      <c r="J36" s="18">
        <v>107815.0</v>
      </c>
      <c r="K36" s="18" t="s">
        <v>197</v>
      </c>
      <c r="L36" s="18">
        <v>485.0</v>
      </c>
      <c r="M36" s="18" t="s">
        <v>24</v>
      </c>
      <c r="N36" s="18" t="s">
        <v>25</v>
      </c>
      <c r="O36" s="19">
        <v>1.8E7</v>
      </c>
      <c r="P36" s="10">
        <f t="shared" si="2"/>
        <v>42057639</v>
      </c>
      <c r="Q36" s="12">
        <f t="shared" si="3"/>
        <v>0</v>
      </c>
      <c r="R36" s="18">
        <v>2003.0</v>
      </c>
      <c r="S36" s="18">
        <v>7.1</v>
      </c>
    </row>
    <row r="37" ht="15.75" customHeight="1">
      <c r="A37" s="17" t="s">
        <v>198</v>
      </c>
      <c r="B37" s="8" t="str">
        <f>IFERROR(__xludf.DUMMYFUNCTION("REGEXREPLACE(A37, ""[^0-9a-zA-Z .'Ã]"","""")"),"Len Wiseman")</f>
        <v>Len Wiseman</v>
      </c>
      <c r="C37" s="18">
        <v>226.0</v>
      </c>
      <c r="D37" s="19">
        <v>5.1483949E7</v>
      </c>
      <c r="E37" s="18" t="s">
        <v>199</v>
      </c>
      <c r="F37" s="9">
        <f t="shared" si="1"/>
        <v>3</v>
      </c>
      <c r="G37" s="18" t="s">
        <v>200</v>
      </c>
      <c r="H37" s="11" t="str">
        <f>IFERROR(__xludf.DUMMYFUNCTION("REGEXREPLACE(G37, ""[^0-9a-zA-Z .'Ã]"","""")"),"Sophia Myles")</f>
        <v>Sophia Myles</v>
      </c>
      <c r="I37" s="20" t="s">
        <v>201</v>
      </c>
      <c r="J37" s="18">
        <v>208092.0</v>
      </c>
      <c r="K37" s="18" t="s">
        <v>202</v>
      </c>
      <c r="L37" s="18">
        <v>806.0</v>
      </c>
      <c r="M37" s="18" t="s">
        <v>24</v>
      </c>
      <c r="N37" s="18" t="s">
        <v>130</v>
      </c>
      <c r="O37" s="19">
        <v>2.2E7</v>
      </c>
      <c r="P37" s="10">
        <f t="shared" si="2"/>
        <v>29483949</v>
      </c>
      <c r="Q37" s="12">
        <f t="shared" si="3"/>
        <v>0</v>
      </c>
      <c r="R37" s="18">
        <v>2003.0</v>
      </c>
      <c r="S37" s="18">
        <v>7.0</v>
      </c>
    </row>
    <row r="38" ht="15.75" customHeight="1">
      <c r="A38" s="17" t="s">
        <v>203</v>
      </c>
      <c r="B38" s="8" t="str">
        <f>IFERROR(__xludf.DUMMYFUNCTION("REGEXREPLACE(A38, ""[^0-9a-zA-Z .'Ã]"","""")"),"Robert B. Weide")</f>
        <v>Robert B. Weide</v>
      </c>
      <c r="C38" s="18">
        <v>135.0</v>
      </c>
      <c r="D38" s="19">
        <v>2775593.0</v>
      </c>
      <c r="E38" s="18" t="s">
        <v>159</v>
      </c>
      <c r="F38" s="9">
        <f t="shared" si="1"/>
        <v>3</v>
      </c>
      <c r="G38" s="18" t="s">
        <v>204</v>
      </c>
      <c r="H38" s="11" t="str">
        <f>IFERROR(__xludf.DUMMYFUNCTION("REGEXREPLACE(G38, ""[^0-9a-zA-Z .'Ã]"","""")"),"James Corden")</f>
        <v>James Corden</v>
      </c>
      <c r="I38" s="20" t="s">
        <v>205</v>
      </c>
      <c r="J38" s="18">
        <v>61269.0</v>
      </c>
      <c r="K38" s="18" t="s">
        <v>206</v>
      </c>
      <c r="L38" s="18">
        <v>98.0</v>
      </c>
      <c r="M38" s="18" t="s">
        <v>24</v>
      </c>
      <c r="N38" s="18" t="s">
        <v>130</v>
      </c>
      <c r="O38" s="19">
        <v>2.7E7</v>
      </c>
      <c r="P38" s="10">
        <f t="shared" si="2"/>
        <v>0</v>
      </c>
      <c r="Q38" s="12">
        <f t="shared" si="3"/>
        <v>24224407</v>
      </c>
      <c r="R38" s="18">
        <v>2008.0</v>
      </c>
      <c r="S38" s="18">
        <v>6.5</v>
      </c>
    </row>
    <row r="39" ht="15.75" customHeight="1">
      <c r="A39" s="13" t="s">
        <v>207</v>
      </c>
      <c r="B39" s="8" t="str">
        <f>IFERROR(__xludf.DUMMYFUNCTION("REGEXREPLACE(A39, ""[^0-9a-zA-Z .'Ã]"","""")"),"Sam Firstenberg")</f>
        <v>Sam Firstenberg</v>
      </c>
      <c r="C39" s="14">
        <v>40.0</v>
      </c>
      <c r="D39" s="15">
        <v>4000000.0</v>
      </c>
      <c r="E39" s="14" t="s">
        <v>208</v>
      </c>
      <c r="F39" s="9">
        <f t="shared" si="1"/>
        <v>2</v>
      </c>
      <c r="G39" s="14" t="s">
        <v>209</v>
      </c>
      <c r="H39" s="11" t="str">
        <f>IFERROR(__xludf.DUMMYFUNCTION("REGEXREPLACE(G39, ""[^0-9a-zA-Z .'Ã]"","""")"),"Michael Dudikoff")</f>
        <v>Michael Dudikoff</v>
      </c>
      <c r="I39" s="16" t="s">
        <v>210</v>
      </c>
      <c r="J39" s="14">
        <v>6046.0</v>
      </c>
      <c r="K39" s="14" t="s">
        <v>211</v>
      </c>
      <c r="L39" s="14">
        <v>46.0</v>
      </c>
      <c r="M39" s="14" t="s">
        <v>24</v>
      </c>
      <c r="N39" s="14" t="s">
        <v>25</v>
      </c>
      <c r="O39" s="15">
        <v>350000.0</v>
      </c>
      <c r="P39" s="10">
        <f t="shared" si="2"/>
        <v>3650000</v>
      </c>
      <c r="Q39" s="12">
        <f t="shared" si="3"/>
        <v>0</v>
      </c>
      <c r="R39" s="14">
        <v>1987.0</v>
      </c>
      <c r="S39" s="14">
        <v>4.7</v>
      </c>
    </row>
    <row r="40" ht="15.75" customHeight="1">
      <c r="A40" s="17" t="s">
        <v>212</v>
      </c>
      <c r="B40" s="8" t="str">
        <f>IFERROR(__xludf.DUMMYFUNCTION("REGEXREPLACE(A40, ""[^0-9a-zA-Z .'Ã]"","""")"),"Wayne Wang")</f>
        <v>Wayne Wang</v>
      </c>
      <c r="C40" s="18">
        <v>56.0</v>
      </c>
      <c r="D40" s="19">
        <v>1346503.0</v>
      </c>
      <c r="E40" s="18" t="s">
        <v>213</v>
      </c>
      <c r="F40" s="9">
        <f t="shared" si="1"/>
        <v>2</v>
      </c>
      <c r="G40" s="18" t="s">
        <v>214</v>
      </c>
      <c r="H40" s="11" t="str">
        <f>IFERROR(__xludf.DUMMYFUNCTION("REGEXREPLACE(G40, ""[^0-9a-zA-Z .'Ã]"","""")"),"Bingbing Li")</f>
        <v>Bingbing Li</v>
      </c>
      <c r="I40" s="20" t="s">
        <v>215</v>
      </c>
      <c r="J40" s="18">
        <v>3024.0</v>
      </c>
      <c r="K40" s="18" t="s">
        <v>216</v>
      </c>
      <c r="L40" s="18">
        <v>22.0</v>
      </c>
      <c r="M40" s="18" t="s">
        <v>24</v>
      </c>
      <c r="N40" s="18" t="s">
        <v>217</v>
      </c>
      <c r="O40" s="19">
        <v>6000000.0</v>
      </c>
      <c r="P40" s="10">
        <f t="shared" si="2"/>
        <v>0</v>
      </c>
      <c r="Q40" s="12">
        <f t="shared" si="3"/>
        <v>4653497</v>
      </c>
      <c r="R40" s="18">
        <v>2011.0</v>
      </c>
      <c r="S40" s="18">
        <v>6.1</v>
      </c>
    </row>
    <row r="41" ht="15.75" customHeight="1">
      <c r="A41" s="7" t="s">
        <v>218</v>
      </c>
      <c r="B41" s="8" t="str">
        <f>IFERROR(__xludf.DUMMYFUNCTION("REGEXREPLACE(A41, ""[^0-9a-zA-Z .'Ã]"","""")"),"James Mangold")</f>
        <v>James Mangold</v>
      </c>
      <c r="C41" s="9">
        <v>283.0</v>
      </c>
      <c r="D41" s="10">
        <v>7.6418654E7</v>
      </c>
      <c r="E41" s="9" t="s">
        <v>219</v>
      </c>
      <c r="F41" s="9">
        <f t="shared" si="1"/>
        <v>3</v>
      </c>
      <c r="G41" s="9" t="s">
        <v>220</v>
      </c>
      <c r="H41" s="11" t="str">
        <f>IFERROR(__xludf.DUMMYFUNCTION("REGEXREPLACE(G41, ""[^0-9a-zA-Z .'Ã]"","""")"),"Tom Cruise")</f>
        <v>Tom Cruise</v>
      </c>
      <c r="I41" s="11" t="s">
        <v>221</v>
      </c>
      <c r="J41" s="9">
        <v>148280.0</v>
      </c>
      <c r="K41" s="9" t="s">
        <v>222</v>
      </c>
      <c r="L41" s="9">
        <v>348.0</v>
      </c>
      <c r="M41" s="9" t="s">
        <v>24</v>
      </c>
      <c r="N41" s="9" t="s">
        <v>25</v>
      </c>
      <c r="O41" s="10">
        <v>1.17E8</v>
      </c>
      <c r="P41" s="10">
        <f t="shared" si="2"/>
        <v>0</v>
      </c>
      <c r="Q41" s="12">
        <f t="shared" si="3"/>
        <v>40581346</v>
      </c>
      <c r="R41" s="9">
        <v>2010.0</v>
      </c>
      <c r="S41" s="9">
        <v>6.3</v>
      </c>
    </row>
    <row r="42" ht="15.75" customHeight="1">
      <c r="A42" s="7" t="s">
        <v>223</v>
      </c>
      <c r="B42" s="8" t="str">
        <f>IFERROR(__xludf.DUMMYFUNCTION("REGEXREPLACE(A42, ""[^0-9a-zA-Z .'Ã]"","""")"),"Alex Smith")</f>
        <v>Alex Smith</v>
      </c>
      <c r="C42" s="9">
        <v>17.0</v>
      </c>
      <c r="D42" s="10">
        <v>13134.0</v>
      </c>
      <c r="E42" s="9" t="s">
        <v>132</v>
      </c>
      <c r="F42" s="9">
        <f t="shared" si="1"/>
        <v>2</v>
      </c>
      <c r="G42" s="9" t="s">
        <v>224</v>
      </c>
      <c r="H42" s="11" t="str">
        <f>IFERROR(__xludf.DUMMYFUNCTION("REGEXREPLACE(G42, ""[^0-9a-zA-Z .'Ã]"","""")"),"Ryan Gosling")</f>
        <v>Ryan Gosling</v>
      </c>
      <c r="I42" s="11" t="s">
        <v>225</v>
      </c>
      <c r="J42" s="9">
        <v>2004.0</v>
      </c>
      <c r="K42" s="9" t="s">
        <v>226</v>
      </c>
      <c r="L42" s="9">
        <v>32.0</v>
      </c>
      <c r="M42" s="9" t="s">
        <v>24</v>
      </c>
      <c r="N42" s="9" t="s">
        <v>25</v>
      </c>
      <c r="O42" s="10">
        <v>500000.0</v>
      </c>
      <c r="P42" s="10">
        <f t="shared" si="2"/>
        <v>0</v>
      </c>
      <c r="Q42" s="12">
        <f t="shared" si="3"/>
        <v>486866</v>
      </c>
      <c r="R42" s="9">
        <v>2002.0</v>
      </c>
      <c r="S42" s="9">
        <v>6.1</v>
      </c>
    </row>
    <row r="43" ht="15.75" customHeight="1">
      <c r="A43" s="7" t="s">
        <v>227</v>
      </c>
      <c r="B43" s="8" t="str">
        <f>IFERROR(__xludf.DUMMYFUNCTION("REGEXREPLACE(A43, ""[^0-9a-zA-Z -.'Ã]"","""")"),"Jaume BalaguerÃ")</f>
        <v>Jaume BalaguerÃ</v>
      </c>
      <c r="C43" s="9">
        <v>108.0</v>
      </c>
      <c r="D43" s="10">
        <v>2.2160085E7</v>
      </c>
      <c r="E43" s="9" t="s">
        <v>148</v>
      </c>
      <c r="F43" s="9">
        <f t="shared" si="1"/>
        <v>1</v>
      </c>
      <c r="G43" s="9" t="s">
        <v>228</v>
      </c>
      <c r="H43" s="11" t="str">
        <f>IFERROR(__xludf.DUMMYFUNCTION("REGEXREPLACE(G43, ""[^0-9a-zA-Z .'Ã]"","""")"),"Lena Olin")</f>
        <v>Lena Olin</v>
      </c>
      <c r="I43" s="11" t="s">
        <v>229</v>
      </c>
      <c r="J43" s="9">
        <v>16747.0</v>
      </c>
      <c r="K43" s="9" t="s">
        <v>230</v>
      </c>
      <c r="L43" s="9">
        <v>349.0</v>
      </c>
      <c r="M43" s="9" t="s">
        <v>24</v>
      </c>
      <c r="N43" s="9" t="s">
        <v>25</v>
      </c>
      <c r="O43" s="10">
        <v>1.06E7</v>
      </c>
      <c r="P43" s="10">
        <f t="shared" si="2"/>
        <v>11560085</v>
      </c>
      <c r="Q43" s="12">
        <f t="shared" si="3"/>
        <v>0</v>
      </c>
      <c r="R43" s="9">
        <v>2002.0</v>
      </c>
      <c r="S43" s="9">
        <v>5.4</v>
      </c>
    </row>
    <row r="44" ht="15.75" customHeight="1">
      <c r="A44" s="7" t="s">
        <v>231</v>
      </c>
      <c r="B44" s="8" t="str">
        <f>IFERROR(__xludf.DUMMYFUNCTION("REGEXREPLACE(A44, ""[^0-9a-zA-Z .'Ã]"","""")"),"Anne Fontaine")</f>
        <v>Anne Fontaine</v>
      </c>
      <c r="C44" s="9">
        <v>141.0</v>
      </c>
      <c r="D44" s="10">
        <v>317125.0</v>
      </c>
      <c r="E44" s="9" t="s">
        <v>232</v>
      </c>
      <c r="F44" s="9">
        <f t="shared" si="1"/>
        <v>2</v>
      </c>
      <c r="G44" s="9" t="s">
        <v>233</v>
      </c>
      <c r="H44" s="11" t="str">
        <f>IFERROR(__xludf.DUMMYFUNCTION("REGEXREPLACE(G44, ""[^0-9a-zA-Z .'Ã]"","""")"),"Robin Wright")</f>
        <v>Robin Wright</v>
      </c>
      <c r="I44" s="11" t="s">
        <v>234</v>
      </c>
      <c r="J44" s="9">
        <v>23334.0</v>
      </c>
      <c r="K44" s="9" t="s">
        <v>235</v>
      </c>
      <c r="L44" s="9">
        <v>87.0</v>
      </c>
      <c r="M44" s="9" t="s">
        <v>24</v>
      </c>
      <c r="N44" s="9" t="s">
        <v>146</v>
      </c>
      <c r="O44" s="10">
        <v>1.6E7</v>
      </c>
      <c r="P44" s="10">
        <f t="shared" si="2"/>
        <v>0</v>
      </c>
      <c r="Q44" s="12">
        <f t="shared" si="3"/>
        <v>15682875</v>
      </c>
      <c r="R44" s="9">
        <v>2013.0</v>
      </c>
      <c r="S44" s="9">
        <v>6.2</v>
      </c>
    </row>
    <row r="45" ht="15.75" customHeight="1">
      <c r="A45" s="13" t="s">
        <v>236</v>
      </c>
      <c r="B45" s="8" t="str">
        <f>IFERROR(__xludf.DUMMYFUNCTION("REGEXREPLACE(A45, ""[^0-9a-zA-Z .'Ã]"","""")"),"James Ivory")</f>
        <v>James Ivory</v>
      </c>
      <c r="C45" s="14">
        <v>58.0</v>
      </c>
      <c r="D45" s="15">
        <v>2.2954968E7</v>
      </c>
      <c r="E45" s="14" t="s">
        <v>232</v>
      </c>
      <c r="F45" s="9">
        <f t="shared" si="1"/>
        <v>2</v>
      </c>
      <c r="G45" s="14" t="s">
        <v>237</v>
      </c>
      <c r="H45" s="11" t="str">
        <f>IFERROR(__xludf.DUMMYFUNCTION("REGEXREPLACE(G45, ""[^0-9a-zA-Z .'Ã]"","""")"),"Anthony Hopkins")</f>
        <v>Anthony Hopkins</v>
      </c>
      <c r="I45" s="16" t="s">
        <v>238</v>
      </c>
      <c r="J45" s="14">
        <v>45703.0</v>
      </c>
      <c r="K45" s="14" t="s">
        <v>239</v>
      </c>
      <c r="L45" s="14">
        <v>156.0</v>
      </c>
      <c r="M45" s="14" t="s">
        <v>24</v>
      </c>
      <c r="N45" s="14" t="s">
        <v>130</v>
      </c>
      <c r="O45" s="15">
        <v>1.15E7</v>
      </c>
      <c r="P45" s="10">
        <f t="shared" si="2"/>
        <v>11454968</v>
      </c>
      <c r="Q45" s="12">
        <f t="shared" si="3"/>
        <v>0</v>
      </c>
      <c r="R45" s="14">
        <v>1993.0</v>
      </c>
      <c r="S45" s="14">
        <v>7.9</v>
      </c>
    </row>
    <row r="46" ht="15.75" customHeight="1">
      <c r="A46" s="17" t="s">
        <v>240</v>
      </c>
      <c r="B46" s="8" t="str">
        <f>IFERROR(__xludf.DUMMYFUNCTION("REGEXREPLACE(A46, ""[^0-9a-zA-Z .'Ã]"","""")"),"David Mirkin")</f>
        <v>David Mirkin</v>
      </c>
      <c r="C46" s="18">
        <v>116.0</v>
      </c>
      <c r="D46" s="19">
        <v>4.0334024E7</v>
      </c>
      <c r="E46" s="18" t="s">
        <v>241</v>
      </c>
      <c r="F46" s="9">
        <f t="shared" si="1"/>
        <v>3</v>
      </c>
      <c r="G46" s="18" t="s">
        <v>242</v>
      </c>
      <c r="H46" s="11" t="str">
        <f>IFERROR(__xludf.DUMMYFUNCTION("REGEXREPLACE(G46, ""[^0-9a-zA-Z .'Ã]"","""")"),"Sarah Silverman")</f>
        <v>Sarah Silverman</v>
      </c>
      <c r="I46" s="20" t="s">
        <v>243</v>
      </c>
      <c r="J46" s="18">
        <v>44168.0</v>
      </c>
      <c r="K46" s="18" t="s">
        <v>244</v>
      </c>
      <c r="L46" s="18">
        <v>216.0</v>
      </c>
      <c r="M46" s="18" t="s">
        <v>24</v>
      </c>
      <c r="N46" s="18" t="s">
        <v>25</v>
      </c>
      <c r="O46" s="19">
        <v>3.5E7</v>
      </c>
      <c r="P46" s="10">
        <f t="shared" si="2"/>
        <v>5334024</v>
      </c>
      <c r="Q46" s="12">
        <f t="shared" si="3"/>
        <v>0</v>
      </c>
      <c r="R46" s="18">
        <v>2001.0</v>
      </c>
      <c r="S46" s="18">
        <v>6.2</v>
      </c>
    </row>
    <row r="47" ht="15.75" customHeight="1">
      <c r="A47" s="13" t="s">
        <v>245</v>
      </c>
      <c r="B47" s="8" t="str">
        <f>IFERROR(__xludf.DUMMYFUNCTION("REGEXREPLACE(A47, ""[^0-9a-zA-Z .'Ã]"","""")"),"Paul Feig")</f>
        <v>Paul Feig</v>
      </c>
      <c r="C47" s="14">
        <v>464.0</v>
      </c>
      <c r="D47" s="15">
        <v>1.18099659E8</v>
      </c>
      <c r="E47" s="14" t="s">
        <v>246</v>
      </c>
      <c r="F47" s="9">
        <f t="shared" si="1"/>
        <v>4</v>
      </c>
      <c r="G47" s="14" t="s">
        <v>247</v>
      </c>
      <c r="H47" s="11" t="str">
        <f>IFERROR(__xludf.DUMMYFUNCTION("REGEXREPLACE(G47, ""[^0-9a-zA-Z .'Ã]"","""")"),"Ed Begley Jr.")</f>
        <v>Ed Begley Jr.</v>
      </c>
      <c r="I47" s="16" t="s">
        <v>248</v>
      </c>
      <c r="J47" s="14">
        <v>69790.0</v>
      </c>
      <c r="K47" s="14" t="s">
        <v>249</v>
      </c>
      <c r="L47" s="14">
        <v>1211.0</v>
      </c>
      <c r="M47" s="14" t="s">
        <v>24</v>
      </c>
      <c r="N47" s="14" t="s">
        <v>25</v>
      </c>
      <c r="O47" s="15">
        <v>1.44E8</v>
      </c>
      <c r="P47" s="10">
        <f t="shared" si="2"/>
        <v>0</v>
      </c>
      <c r="Q47" s="12">
        <f t="shared" si="3"/>
        <v>25900341</v>
      </c>
      <c r="R47" s="14">
        <v>2016.0</v>
      </c>
      <c r="S47" s="14">
        <v>5.5</v>
      </c>
    </row>
    <row r="48" ht="15.75" customHeight="1">
      <c r="A48" s="13" t="s">
        <v>250</v>
      </c>
      <c r="B48" s="8" t="str">
        <f>IFERROR(__xludf.DUMMYFUNCTION("REGEXREPLACE(A48, ""[^0-9a-zA-Z .'Ã]"","""")"),"Rick de Oliveira")</f>
        <v>Rick de Oliveira</v>
      </c>
      <c r="C48" s="14">
        <v>52.0</v>
      </c>
      <c r="D48" s="15">
        <v>3713002.0</v>
      </c>
      <c r="E48" s="14" t="s">
        <v>251</v>
      </c>
      <c r="F48" s="9">
        <f t="shared" si="1"/>
        <v>1</v>
      </c>
      <c r="G48" s="14" t="s">
        <v>252</v>
      </c>
      <c r="H48" s="11" t="str">
        <f>IFERROR(__xludf.DUMMYFUNCTION("REGEXREPLACE(G48, ""[^0-9a-zA-Z .'Ã]"","""")"),"Laura Ramsey")</f>
        <v>Laura Ramsey</v>
      </c>
      <c r="I48" s="16" t="s">
        <v>253</v>
      </c>
      <c r="J48" s="14">
        <v>3611.0</v>
      </c>
      <c r="K48" s="14" t="s">
        <v>254</v>
      </c>
      <c r="L48" s="14">
        <v>62.0</v>
      </c>
      <c r="M48" s="14" t="s">
        <v>24</v>
      </c>
      <c r="N48" s="14" t="s">
        <v>25</v>
      </c>
      <c r="O48" s="15">
        <v>8000000.0</v>
      </c>
      <c r="P48" s="10">
        <f t="shared" si="2"/>
        <v>0</v>
      </c>
      <c r="Q48" s="12">
        <f t="shared" si="3"/>
        <v>4286998</v>
      </c>
      <c r="R48" s="14">
        <v>2003.0</v>
      </c>
      <c r="S48" s="14">
        <v>2.7</v>
      </c>
    </row>
    <row r="49" ht="15.75" customHeight="1">
      <c r="A49" s="7" t="s">
        <v>255</v>
      </c>
      <c r="B49" s="8" t="str">
        <f>IFERROR(__xludf.DUMMYFUNCTION("REGEXREPLACE(A49, ""[^0-9a-zA-Z .'Ã]"","""")"),"Eric Darnell")</f>
        <v>Eric Darnell</v>
      </c>
      <c r="C49" s="9">
        <v>167.0</v>
      </c>
      <c r="D49" s="10">
        <v>1.79982968E8</v>
      </c>
      <c r="E49" s="9" t="s">
        <v>256</v>
      </c>
      <c r="F49" s="9">
        <f t="shared" si="1"/>
        <v>5</v>
      </c>
      <c r="G49" s="9" t="s">
        <v>195</v>
      </c>
      <c r="H49" s="11" t="str">
        <f>IFERROR(__xludf.DUMMYFUNCTION("REGEXREPLACE(G49, ""[^0-9a-zA-Z .'Ã]"","""")"),"Bernie Mac")</f>
        <v>Bernie Mac</v>
      </c>
      <c r="I49" s="11" t="s">
        <v>257</v>
      </c>
      <c r="J49" s="9">
        <v>146019.0</v>
      </c>
      <c r="K49" s="9" t="s">
        <v>258</v>
      </c>
      <c r="L49" s="9">
        <v>119.0</v>
      </c>
      <c r="M49" s="9" t="s">
        <v>24</v>
      </c>
      <c r="N49" s="9" t="s">
        <v>25</v>
      </c>
      <c r="O49" s="10">
        <v>1.5E8</v>
      </c>
      <c r="P49" s="10">
        <f t="shared" si="2"/>
        <v>29982968</v>
      </c>
      <c r="Q49" s="12">
        <f t="shared" si="3"/>
        <v>0</v>
      </c>
      <c r="R49" s="9">
        <v>2008.0</v>
      </c>
      <c r="S49" s="9">
        <v>6.7</v>
      </c>
    </row>
    <row r="50" ht="15.75" customHeight="1">
      <c r="A50" s="17" t="s">
        <v>259</v>
      </c>
      <c r="B50" s="8" t="str">
        <f>IFERROR(__xludf.DUMMYFUNCTION("REGEXREPLACE(A50, ""[^0-9a-zA-Z .'Ã]"","""")"),"David Slade")</f>
        <v>David Slade</v>
      </c>
      <c r="C50" s="18">
        <v>293.0</v>
      </c>
      <c r="D50" s="19">
        <v>3.00523113E8</v>
      </c>
      <c r="E50" s="18" t="s">
        <v>260</v>
      </c>
      <c r="F50" s="9">
        <f t="shared" si="1"/>
        <v>4</v>
      </c>
      <c r="G50" s="18" t="s">
        <v>261</v>
      </c>
      <c r="H50" s="11" t="str">
        <f>IFERROR(__xludf.DUMMYFUNCTION("REGEXREPLACE(G50, ""[^0-9a-zA-Z .'Ã]"","""")"),"Robert Pattinson")</f>
        <v>Robert Pattinson</v>
      </c>
      <c r="I50" s="20" t="s">
        <v>262</v>
      </c>
      <c r="J50" s="18">
        <v>184637.0</v>
      </c>
      <c r="K50" s="18" t="s">
        <v>263</v>
      </c>
      <c r="L50" s="18">
        <v>498.0</v>
      </c>
      <c r="M50" s="18" t="s">
        <v>24</v>
      </c>
      <c r="N50" s="18" t="s">
        <v>25</v>
      </c>
      <c r="O50" s="19">
        <v>6.8E7</v>
      </c>
      <c r="P50" s="10">
        <f t="shared" si="2"/>
        <v>232523113</v>
      </c>
      <c r="Q50" s="12">
        <f t="shared" si="3"/>
        <v>0</v>
      </c>
      <c r="R50" s="18">
        <v>2010.0</v>
      </c>
      <c r="S50" s="18">
        <v>4.9</v>
      </c>
    </row>
    <row r="51" ht="15.75" customHeight="1">
      <c r="A51" s="7" t="s">
        <v>264</v>
      </c>
      <c r="B51" s="8" t="str">
        <f>IFERROR(__xludf.DUMMYFUNCTION("REGEXREPLACE(A51, ""[^0-9a-zA-Z .'Ã]"","""")"),"Keenen Ivory Wayans")</f>
        <v>Keenen Ivory Wayans</v>
      </c>
      <c r="C51" s="9">
        <v>8.0</v>
      </c>
      <c r="D51" s="10">
        <v>2.9392418E7</v>
      </c>
      <c r="E51" s="9" t="s">
        <v>265</v>
      </c>
      <c r="F51" s="9">
        <f t="shared" si="1"/>
        <v>3</v>
      </c>
      <c r="G51" s="9" t="s">
        <v>266</v>
      </c>
      <c r="H51" s="11" t="str">
        <f>IFERROR(__xludf.DUMMYFUNCTION("REGEXREPLACE(G51, ""[^0-9a-zA-Z .'Ã]"","""")"),"Jada Pinkett Smith")</f>
        <v>Jada Pinkett Smith</v>
      </c>
      <c r="I51" s="11" t="s">
        <v>267</v>
      </c>
      <c r="J51" s="9">
        <v>3924.0</v>
      </c>
      <c r="K51" s="9" t="s">
        <v>268</v>
      </c>
      <c r="L51" s="9">
        <v>26.0</v>
      </c>
      <c r="M51" s="9" t="s">
        <v>24</v>
      </c>
      <c r="N51" s="9" t="s">
        <v>25</v>
      </c>
      <c r="O51" s="10">
        <v>1.0E7</v>
      </c>
      <c r="P51" s="10">
        <f t="shared" si="2"/>
        <v>19392418</v>
      </c>
      <c r="Q51" s="12">
        <f t="shared" si="3"/>
        <v>0</v>
      </c>
      <c r="R51" s="9">
        <v>1994.0</v>
      </c>
      <c r="S51" s="9">
        <v>5.8</v>
      </c>
    </row>
    <row r="52" ht="15.75" customHeight="1">
      <c r="A52" s="7" t="s">
        <v>269</v>
      </c>
      <c r="B52" s="8" t="str">
        <f>IFERROR(__xludf.DUMMYFUNCTION("REGEXREPLACE(A52, ""[^0-9a-zA-Z .'Ã]"","""")"),"Lee Tamahori")</f>
        <v>Lee Tamahori</v>
      </c>
      <c r="C52" s="9">
        <v>133.0</v>
      </c>
      <c r="D52" s="10">
        <v>7.4058698E7</v>
      </c>
      <c r="E52" s="9" t="s">
        <v>113</v>
      </c>
      <c r="F52" s="9">
        <f t="shared" si="1"/>
        <v>3</v>
      </c>
      <c r="G52" s="9" t="s">
        <v>170</v>
      </c>
      <c r="H52" s="11" t="str">
        <f>IFERROR(__xludf.DUMMYFUNCTION("REGEXREPLACE(G52, ""[^0-9a-zA-Z .'Ã]"","""")"),"Morgan Freeman")</f>
        <v>Morgan Freeman</v>
      </c>
      <c r="I52" s="11" t="s">
        <v>270</v>
      </c>
      <c r="J52" s="9">
        <v>59232.0</v>
      </c>
      <c r="K52" s="9" t="s">
        <v>271</v>
      </c>
      <c r="L52" s="9">
        <v>317.0</v>
      </c>
      <c r="M52" s="9" t="s">
        <v>24</v>
      </c>
      <c r="N52" s="9" t="s">
        <v>25</v>
      </c>
      <c r="O52" s="10">
        <v>6.0E7</v>
      </c>
      <c r="P52" s="10">
        <f t="shared" si="2"/>
        <v>14058698</v>
      </c>
      <c r="Q52" s="12">
        <f t="shared" si="3"/>
        <v>0</v>
      </c>
      <c r="R52" s="9">
        <v>2001.0</v>
      </c>
      <c r="S52" s="9">
        <v>6.3</v>
      </c>
    </row>
    <row r="53" ht="15.75" customHeight="1">
      <c r="A53" s="13" t="s">
        <v>272</v>
      </c>
      <c r="B53" s="8" t="str">
        <f>IFERROR(__xludf.DUMMYFUNCTION("REGEXREPLACE(A53, ""[^0-9a-zA-Z .'Ã]"","""")"),"John Gatins")</f>
        <v>John Gatins</v>
      </c>
      <c r="C53" s="14">
        <v>75.0</v>
      </c>
      <c r="D53" s="15">
        <v>3.2701088E7</v>
      </c>
      <c r="E53" s="14" t="s">
        <v>273</v>
      </c>
      <c r="F53" s="9">
        <f t="shared" si="1"/>
        <v>3</v>
      </c>
      <c r="G53" s="14" t="s">
        <v>274</v>
      </c>
      <c r="H53" s="11" t="str">
        <f>IFERROR(__xludf.DUMMYFUNCTION("REGEXREPLACE(G53, ""[^0-9a-zA-Z .'Ã]"","""")"),"Ken Howard")</f>
        <v>Ken Howard</v>
      </c>
      <c r="I53" s="16" t="s">
        <v>275</v>
      </c>
      <c r="J53" s="14">
        <v>10018.0</v>
      </c>
      <c r="K53" s="14" t="s">
        <v>276</v>
      </c>
      <c r="L53" s="14">
        <v>108.0</v>
      </c>
      <c r="M53" s="14" t="s">
        <v>24</v>
      </c>
      <c r="N53" s="14" t="s">
        <v>25</v>
      </c>
      <c r="O53" s="15">
        <v>3.2E7</v>
      </c>
      <c r="P53" s="10">
        <f t="shared" si="2"/>
        <v>701088</v>
      </c>
      <c r="Q53" s="12">
        <f t="shared" si="3"/>
        <v>0</v>
      </c>
      <c r="R53" s="14">
        <v>2005.0</v>
      </c>
      <c r="S53" s="14">
        <v>6.9</v>
      </c>
    </row>
    <row r="54" ht="15.75" customHeight="1">
      <c r="A54" s="13" t="s">
        <v>277</v>
      </c>
      <c r="B54" s="8" t="str">
        <f>IFERROR(__xludf.DUMMYFUNCTION("REGEXREPLACE(A54, ""[^0-9a-zA-Z .'Ã]"","""")"),"Rob Cohen")</f>
        <v>Rob Cohen</v>
      </c>
      <c r="C54" s="14">
        <v>60.0</v>
      </c>
      <c r="D54" s="15">
        <v>5.131735E7</v>
      </c>
      <c r="E54" s="14" t="s">
        <v>278</v>
      </c>
      <c r="F54" s="9">
        <f t="shared" si="1"/>
        <v>3</v>
      </c>
      <c r="G54" s="14" t="s">
        <v>45</v>
      </c>
      <c r="H54" s="11" t="str">
        <f>IFERROR(__xludf.DUMMYFUNCTION("REGEXREPLACE(G54, ""[^0-9a-zA-Z .'Ã]"","""")"),"Dennis Quaid")</f>
        <v>Dennis Quaid</v>
      </c>
      <c r="I54" s="16" t="s">
        <v>279</v>
      </c>
      <c r="J54" s="14">
        <v>78343.0</v>
      </c>
      <c r="K54" s="14" t="s">
        <v>280</v>
      </c>
      <c r="L54" s="14">
        <v>139.0</v>
      </c>
      <c r="M54" s="14" t="s">
        <v>24</v>
      </c>
      <c r="N54" s="14" t="s">
        <v>25</v>
      </c>
      <c r="O54" s="15">
        <v>5.7E7</v>
      </c>
      <c r="P54" s="10">
        <f t="shared" si="2"/>
        <v>0</v>
      </c>
      <c r="Q54" s="12">
        <f t="shared" si="3"/>
        <v>5682650</v>
      </c>
      <c r="R54" s="14">
        <v>1996.0</v>
      </c>
      <c r="S54" s="14">
        <v>6.4</v>
      </c>
    </row>
    <row r="55" ht="15.75" customHeight="1">
      <c r="A55" s="17" t="s">
        <v>281</v>
      </c>
      <c r="B55" s="8" t="str">
        <f>IFERROR(__xludf.DUMMYFUNCTION("REGEXREPLACE(A55, ""[^0-9a-zA-Z .'Ã]"","""")"),"Adam McKay")</f>
        <v>Adam McKay</v>
      </c>
      <c r="C55" s="18">
        <v>265.0</v>
      </c>
      <c r="D55" s="19">
        <v>1.19219978E8</v>
      </c>
      <c r="E55" s="18" t="s">
        <v>265</v>
      </c>
      <c r="F55" s="9">
        <f t="shared" si="1"/>
        <v>3</v>
      </c>
      <c r="G55" s="18" t="s">
        <v>50</v>
      </c>
      <c r="H55" s="11" t="str">
        <f>IFERROR(__xludf.DUMMYFUNCTION("REGEXREPLACE(G55, ""[^0-9a-zA-Z .'Ã]"","""")"),"Dwayne Johnson")</f>
        <v>Dwayne Johnson</v>
      </c>
      <c r="I55" s="20" t="s">
        <v>282</v>
      </c>
      <c r="J55" s="18">
        <v>189806.0</v>
      </c>
      <c r="K55" s="18" t="s">
        <v>283</v>
      </c>
      <c r="L55" s="18">
        <v>316.0</v>
      </c>
      <c r="M55" s="18" t="s">
        <v>24</v>
      </c>
      <c r="N55" s="18" t="s">
        <v>25</v>
      </c>
      <c r="O55" s="19">
        <v>1.0E8</v>
      </c>
      <c r="P55" s="10">
        <f t="shared" si="2"/>
        <v>19219978</v>
      </c>
      <c r="Q55" s="12">
        <f t="shared" si="3"/>
        <v>0</v>
      </c>
      <c r="R55" s="18">
        <v>2010.0</v>
      </c>
      <c r="S55" s="18">
        <v>6.7</v>
      </c>
    </row>
    <row r="56" ht="15.75" customHeight="1">
      <c r="A56" s="7" t="s">
        <v>284</v>
      </c>
      <c r="B56" s="8" t="str">
        <f>IFERROR(__xludf.DUMMYFUNCTION("REGEXREPLACE(A56, ""[^0-9a-zA-Z .'Ã]"","""")"),"William Brent Bell")</f>
        <v>William Brent Bell</v>
      </c>
      <c r="C56" s="9">
        <v>159.0</v>
      </c>
      <c r="D56" s="10">
        <v>3.5794166E7</v>
      </c>
      <c r="E56" s="9" t="s">
        <v>94</v>
      </c>
      <c r="F56" s="9">
        <f t="shared" si="1"/>
        <v>3</v>
      </c>
      <c r="G56" s="9" t="s">
        <v>285</v>
      </c>
      <c r="H56" s="11" t="str">
        <f>IFERROR(__xludf.DUMMYFUNCTION("REGEXREPLACE(G56, ""[^0-9a-zA-Z .'Ã]"","""")"),"Lauren Cohan")</f>
        <v>Lauren Cohan</v>
      </c>
      <c r="I56" s="11" t="s">
        <v>286</v>
      </c>
      <c r="J56" s="9">
        <v>35654.0</v>
      </c>
      <c r="K56" s="9" t="s">
        <v>287</v>
      </c>
      <c r="L56" s="9">
        <v>155.0</v>
      </c>
      <c r="M56" s="9" t="s">
        <v>24</v>
      </c>
      <c r="N56" s="9" t="s">
        <v>25</v>
      </c>
      <c r="O56" s="10">
        <v>1.0E7</v>
      </c>
      <c r="P56" s="10">
        <f t="shared" si="2"/>
        <v>25794166</v>
      </c>
      <c r="Q56" s="12">
        <f t="shared" si="3"/>
        <v>0</v>
      </c>
      <c r="R56" s="9">
        <v>2016.0</v>
      </c>
      <c r="S56" s="9">
        <v>6.0</v>
      </c>
    </row>
    <row r="57" ht="15.75" customHeight="1">
      <c r="A57" s="13" t="s">
        <v>288</v>
      </c>
      <c r="B57" s="8" t="str">
        <f>IFERROR(__xludf.DUMMYFUNCTION("REGEXREPLACE(A57, ""[^0-9a-zA-Z .'Ã]"","""")"),"Joel Zwick")</f>
        <v>Joel Zwick</v>
      </c>
      <c r="C57" s="14">
        <v>168.0</v>
      </c>
      <c r="D57" s="15">
        <v>2.41437427E8</v>
      </c>
      <c r="E57" s="14" t="s">
        <v>289</v>
      </c>
      <c r="F57" s="9">
        <f t="shared" si="1"/>
        <v>3</v>
      </c>
      <c r="G57" s="14" t="s">
        <v>290</v>
      </c>
      <c r="H57" s="11" t="str">
        <f>IFERROR(__xludf.DUMMYFUNCTION("REGEXREPLACE(G57, ""[^0-9a-zA-Z .'Ã]"","""")"),"Nia Vardalos")</f>
        <v>Nia Vardalos</v>
      </c>
      <c r="I57" s="16" t="s">
        <v>291</v>
      </c>
      <c r="J57" s="14">
        <v>102071.0</v>
      </c>
      <c r="K57" s="14" t="s">
        <v>292</v>
      </c>
      <c r="L57" s="14">
        <v>756.0</v>
      </c>
      <c r="M57" s="14" t="s">
        <v>24</v>
      </c>
      <c r="N57" s="14" t="s">
        <v>25</v>
      </c>
      <c r="O57" s="15">
        <v>5000000.0</v>
      </c>
      <c r="P57" s="10">
        <f t="shared" si="2"/>
        <v>236437427</v>
      </c>
      <c r="Q57" s="12">
        <f t="shared" si="3"/>
        <v>0</v>
      </c>
      <c r="R57" s="14">
        <v>2002.0</v>
      </c>
      <c r="S57" s="14">
        <v>6.6</v>
      </c>
    </row>
    <row r="58" ht="15.75" customHeight="1">
      <c r="A58" s="17" t="s">
        <v>293</v>
      </c>
      <c r="B58" s="8" t="str">
        <f>IFERROR(__xludf.DUMMYFUNCTION("REGEXREPLACE(A58, ""[^0-9a-zA-Z .'Ã]"","""")"),"Michael Moore")</f>
        <v>Michael Moore</v>
      </c>
      <c r="C58" s="18">
        <v>40.0</v>
      </c>
      <c r="D58" s="19">
        <v>6706368.0</v>
      </c>
      <c r="E58" s="18" t="s">
        <v>251</v>
      </c>
      <c r="F58" s="9">
        <f t="shared" si="1"/>
        <v>1</v>
      </c>
      <c r="G58" s="18" t="s">
        <v>293</v>
      </c>
      <c r="H58" s="11" t="str">
        <f>IFERROR(__xludf.DUMMYFUNCTION("REGEXREPLACE(G58, ""[^0-9a-zA-Z .'Ã]"","""")"),"Michael Moore")</f>
        <v>Michael Moore</v>
      </c>
      <c r="I58" s="20" t="s">
        <v>294</v>
      </c>
      <c r="J58" s="18">
        <v>22800.0</v>
      </c>
      <c r="K58" s="18" t="s">
        <v>295</v>
      </c>
      <c r="L58" s="18">
        <v>133.0</v>
      </c>
      <c r="M58" s="18" t="s">
        <v>24</v>
      </c>
      <c r="N58" s="18" t="s">
        <v>25</v>
      </c>
      <c r="O58" s="19">
        <v>160000.0</v>
      </c>
      <c r="P58" s="10">
        <f t="shared" si="2"/>
        <v>6546368</v>
      </c>
      <c r="Q58" s="12">
        <f t="shared" si="3"/>
        <v>0</v>
      </c>
      <c r="R58" s="18">
        <v>1989.0</v>
      </c>
      <c r="S58" s="18">
        <v>7.5</v>
      </c>
    </row>
    <row r="59" ht="15.75" customHeight="1">
      <c r="A59" s="7" t="s">
        <v>296</v>
      </c>
      <c r="B59" s="8" t="str">
        <f>IFERROR(__xludf.DUMMYFUNCTION("REGEXREPLACE(A59, ""[^0-9a-zA-Z .'Ã]"","""")"),"Eric Styles")</f>
        <v>Eric Styles</v>
      </c>
      <c r="C59" s="9">
        <v>16.0</v>
      </c>
      <c r="D59" s="10">
        <v>7680.0</v>
      </c>
      <c r="E59" s="9" t="s">
        <v>232</v>
      </c>
      <c r="F59" s="9">
        <f t="shared" si="1"/>
        <v>2</v>
      </c>
      <c r="G59" s="9" t="s">
        <v>297</v>
      </c>
      <c r="H59" s="11" t="str">
        <f>IFERROR(__xludf.DUMMYFUNCTION("REGEXREPLACE(G59, ""[^0-9a-zA-Z .'Ã]"","""")"),"Samantha Morton")</f>
        <v>Samantha Morton</v>
      </c>
      <c r="I59" s="11" t="s">
        <v>298</v>
      </c>
      <c r="J59" s="9">
        <v>704.0</v>
      </c>
      <c r="K59" s="9" t="s">
        <v>299</v>
      </c>
      <c r="L59" s="9">
        <v>18.0</v>
      </c>
      <c r="M59" s="9" t="s">
        <v>24</v>
      </c>
      <c r="N59" s="9" t="s">
        <v>25</v>
      </c>
      <c r="O59" s="10">
        <v>2000000.0</v>
      </c>
      <c r="P59" s="10">
        <f t="shared" si="2"/>
        <v>0</v>
      </c>
      <c r="Q59" s="12">
        <f t="shared" si="3"/>
        <v>1992320</v>
      </c>
      <c r="R59" s="9">
        <v>1999.0</v>
      </c>
      <c r="S59" s="9">
        <v>6.4</v>
      </c>
    </row>
    <row r="60" ht="15.75" customHeight="1">
      <c r="A60" s="7" t="s">
        <v>300</v>
      </c>
      <c r="B60" s="8" t="str">
        <f>IFERROR(__xludf.DUMMYFUNCTION("REGEXREPLACE(A60, ""[^0-9a-zA-Z .'Ã]"","""")"),"Chris Miller")</f>
        <v>Chris Miller</v>
      </c>
      <c r="C60" s="9">
        <v>227.0</v>
      </c>
      <c r="D60" s="10">
        <v>3.20706665E8</v>
      </c>
      <c r="E60" s="9" t="s">
        <v>301</v>
      </c>
      <c r="F60" s="9">
        <f t="shared" si="1"/>
        <v>5</v>
      </c>
      <c r="G60" s="9" t="s">
        <v>302</v>
      </c>
      <c r="H60" s="11" t="str">
        <f>IFERROR(__xludf.DUMMYFUNCTION("REGEXREPLACE(G60, ""[^0-9a-zA-Z .'Ã]"","""")"),"Justin Timberlake")</f>
        <v>Justin Timberlake</v>
      </c>
      <c r="I60" s="11" t="s">
        <v>303</v>
      </c>
      <c r="J60" s="9">
        <v>211971.0</v>
      </c>
      <c r="K60" s="9" t="s">
        <v>304</v>
      </c>
      <c r="L60" s="9">
        <v>326.0</v>
      </c>
      <c r="M60" s="9" t="s">
        <v>24</v>
      </c>
      <c r="N60" s="9" t="s">
        <v>25</v>
      </c>
      <c r="O60" s="10">
        <v>1.6E8</v>
      </c>
      <c r="P60" s="10">
        <f t="shared" si="2"/>
        <v>160706665</v>
      </c>
      <c r="Q60" s="12">
        <f t="shared" si="3"/>
        <v>0</v>
      </c>
      <c r="R60" s="9">
        <v>2007.0</v>
      </c>
      <c r="S60" s="9">
        <v>6.1</v>
      </c>
    </row>
    <row r="61" ht="15.75" customHeight="1">
      <c r="A61" s="7" t="s">
        <v>305</v>
      </c>
      <c r="B61" s="8" t="str">
        <f>IFERROR(__xludf.DUMMYFUNCTION("REGEXREPLACE(A61, ""[^0-9a-zA-Z .'Ã]"","""")"),"M. Night Shyamalan")</f>
        <v>M. Night Shyamalan</v>
      </c>
      <c r="C61" s="9">
        <v>371.0</v>
      </c>
      <c r="D61" s="10">
        <v>6.506914E7</v>
      </c>
      <c r="E61" s="9" t="s">
        <v>306</v>
      </c>
      <c r="F61" s="9">
        <f t="shared" si="1"/>
        <v>2</v>
      </c>
      <c r="G61" s="9" t="s">
        <v>307</v>
      </c>
      <c r="H61" s="11" t="str">
        <f>IFERROR(__xludf.DUMMYFUNCTION("REGEXREPLACE(G61, ""[^0-9a-zA-Z .'Ã]"","""")"),"Ocean James")</f>
        <v>Ocean James</v>
      </c>
      <c r="I61" s="11" t="s">
        <v>308</v>
      </c>
      <c r="J61" s="9">
        <v>65299.0</v>
      </c>
      <c r="K61" s="9" t="s">
        <v>309</v>
      </c>
      <c r="L61" s="9">
        <v>455.0</v>
      </c>
      <c r="M61" s="9" t="s">
        <v>24</v>
      </c>
      <c r="N61" s="9" t="s">
        <v>25</v>
      </c>
      <c r="O61" s="10">
        <v>5000000.0</v>
      </c>
      <c r="P61" s="10">
        <f t="shared" si="2"/>
        <v>60069140</v>
      </c>
      <c r="Q61" s="12">
        <f t="shared" si="3"/>
        <v>0</v>
      </c>
      <c r="R61" s="9">
        <v>2015.0</v>
      </c>
      <c r="S61" s="9">
        <v>6.2</v>
      </c>
    </row>
    <row r="62" ht="15.75" customHeight="1">
      <c r="A62" s="7" t="s">
        <v>310</v>
      </c>
      <c r="B62" s="8" t="str">
        <f>IFERROR(__xludf.DUMMYFUNCTION("REGEXREPLACE(A62, ""[^0-9a-zA-Z .'Ã]"","""")"),"D.J. Caruso")</f>
        <v>D.J. Caruso</v>
      </c>
      <c r="C62" s="9">
        <v>253.0</v>
      </c>
      <c r="D62" s="10">
        <v>8.0050171E7</v>
      </c>
      <c r="E62" s="9" t="s">
        <v>311</v>
      </c>
      <c r="F62" s="9">
        <f t="shared" si="1"/>
        <v>3</v>
      </c>
      <c r="G62" s="9" t="s">
        <v>312</v>
      </c>
      <c r="H62" s="11" t="str">
        <f>IFERROR(__xludf.DUMMYFUNCTION("REGEXREPLACE(G62, ""[^0-9a-zA-Z .'Ã]"","""")"),"Sarah Roemer")</f>
        <v>Sarah Roemer</v>
      </c>
      <c r="I62" s="11" t="s">
        <v>313</v>
      </c>
      <c r="J62" s="9">
        <v>186984.0</v>
      </c>
      <c r="K62" s="9" t="s">
        <v>314</v>
      </c>
      <c r="L62" s="9">
        <v>491.0</v>
      </c>
      <c r="M62" s="9" t="s">
        <v>24</v>
      </c>
      <c r="N62" s="9" t="s">
        <v>25</v>
      </c>
      <c r="O62" s="10">
        <v>2.0E7</v>
      </c>
      <c r="P62" s="10">
        <f t="shared" si="2"/>
        <v>60050171</v>
      </c>
      <c r="Q62" s="12">
        <f t="shared" si="3"/>
        <v>0</v>
      </c>
      <c r="R62" s="9">
        <v>2007.0</v>
      </c>
      <c r="S62" s="9">
        <v>6.9</v>
      </c>
    </row>
    <row r="63" ht="15.75" customHeight="1">
      <c r="A63" s="13" t="s">
        <v>315</v>
      </c>
      <c r="B63" s="8" t="str">
        <f>IFERROR(__xludf.DUMMYFUNCTION("REGEXREPLACE(A63, ""[^0-9a-zA-Z .'Ã]"","""")"),"Steven Soderbergh")</f>
        <v>Steven Soderbergh</v>
      </c>
      <c r="C63" s="14">
        <v>238.0</v>
      </c>
      <c r="D63" s="15">
        <v>1.17144465E8</v>
      </c>
      <c r="E63" s="14" t="s">
        <v>316</v>
      </c>
      <c r="F63" s="9">
        <f t="shared" si="1"/>
        <v>2</v>
      </c>
      <c r="G63" s="14" t="s">
        <v>317</v>
      </c>
      <c r="H63" s="11" t="str">
        <f>IFERROR(__xludf.DUMMYFUNCTION("REGEXREPLACE(G63, ""[^0-9a-zA-Z .'Ã]"","""")"),"Al Pacino")</f>
        <v>Al Pacino</v>
      </c>
      <c r="I63" s="16" t="s">
        <v>318</v>
      </c>
      <c r="J63" s="14">
        <v>256928.0</v>
      </c>
      <c r="K63" s="14" t="s">
        <v>319</v>
      </c>
      <c r="L63" s="14">
        <v>288.0</v>
      </c>
      <c r="M63" s="14" t="s">
        <v>24</v>
      </c>
      <c r="N63" s="14" t="s">
        <v>25</v>
      </c>
      <c r="O63" s="15">
        <v>8.5E7</v>
      </c>
      <c r="P63" s="10">
        <f t="shared" si="2"/>
        <v>32144465</v>
      </c>
      <c r="Q63" s="12">
        <f t="shared" si="3"/>
        <v>0</v>
      </c>
      <c r="R63" s="14">
        <v>2007.0</v>
      </c>
      <c r="S63" s="14">
        <v>6.9</v>
      </c>
    </row>
    <row r="64" ht="15.75" customHeight="1">
      <c r="A64" s="7" t="s">
        <v>320</v>
      </c>
      <c r="B64" s="8" t="str">
        <f>IFERROR(__xludf.DUMMYFUNCTION("REGEXREPLACE(A64, ""[^0-9a-zA-Z .'Ã]"","""")"),"Andrew Fleming")</f>
        <v>Andrew Fleming</v>
      </c>
      <c r="C64" s="9">
        <v>129.0</v>
      </c>
      <c r="D64" s="10">
        <v>4881867.0</v>
      </c>
      <c r="E64" s="9" t="s">
        <v>321</v>
      </c>
      <c r="F64" s="9">
        <f t="shared" si="1"/>
        <v>2</v>
      </c>
      <c r="G64" s="9" t="s">
        <v>322</v>
      </c>
      <c r="H64" s="11" t="str">
        <f>IFERROR(__xludf.DUMMYFUNCTION("REGEXREPLACE(G64, ""[^0-9a-zA-Z .'Ã]"","""")"),"Steve Coogan")</f>
        <v>Steve Coogan</v>
      </c>
      <c r="I64" s="11" t="s">
        <v>323</v>
      </c>
      <c r="J64" s="9">
        <v>15200.0</v>
      </c>
      <c r="K64" s="9" t="s">
        <v>324</v>
      </c>
      <c r="L64" s="9">
        <v>76.0</v>
      </c>
      <c r="M64" s="9" t="s">
        <v>24</v>
      </c>
      <c r="N64" s="9" t="s">
        <v>25</v>
      </c>
      <c r="O64" s="10">
        <v>9000000.0</v>
      </c>
      <c r="P64" s="10">
        <f t="shared" si="2"/>
        <v>0</v>
      </c>
      <c r="Q64" s="12">
        <f t="shared" si="3"/>
        <v>4118133</v>
      </c>
      <c r="R64" s="9">
        <v>2008.0</v>
      </c>
      <c r="S64" s="9">
        <v>6.4</v>
      </c>
    </row>
    <row r="65" ht="15.75" customHeight="1">
      <c r="A65" s="17" t="s">
        <v>325</v>
      </c>
      <c r="B65" s="8" t="str">
        <f>IFERROR(__xludf.DUMMYFUNCTION("REGEXREPLACE(A65, ""[^0-9a-zA-Z .'Ã]"","""")"),"Keith Gordon")</f>
        <v>Keith Gordon</v>
      </c>
      <c r="C65" s="18">
        <v>66.0</v>
      </c>
      <c r="D65" s="19">
        <v>336456.0</v>
      </c>
      <c r="E65" s="18" t="s">
        <v>326</v>
      </c>
      <c r="F65" s="9">
        <f t="shared" si="1"/>
        <v>4</v>
      </c>
      <c r="G65" s="18" t="s">
        <v>327</v>
      </c>
      <c r="H65" s="11" t="str">
        <f>IFERROR(__xludf.DUMMYFUNCTION("REGEXREPLACE(G65, ""[^0-9a-zA-Z .'Ã]"","""")"),"Robert Downey Jr.")</f>
        <v>Robert Downey Jr.</v>
      </c>
      <c r="I65" s="20" t="s">
        <v>328</v>
      </c>
      <c r="J65" s="18">
        <v>7116.0</v>
      </c>
      <c r="K65" s="18" t="s">
        <v>329</v>
      </c>
      <c r="L65" s="18">
        <v>79.0</v>
      </c>
      <c r="M65" s="18" t="s">
        <v>24</v>
      </c>
      <c r="N65" s="18" t="s">
        <v>25</v>
      </c>
      <c r="O65" s="19">
        <v>8000000.0</v>
      </c>
      <c r="P65" s="10">
        <f t="shared" si="2"/>
        <v>0</v>
      </c>
      <c r="Q65" s="12">
        <f t="shared" si="3"/>
        <v>7663544</v>
      </c>
      <c r="R65" s="18">
        <v>2003.0</v>
      </c>
      <c r="S65" s="18">
        <v>5.6</v>
      </c>
    </row>
    <row r="66" ht="15.75" customHeight="1">
      <c r="A66" s="7" t="s">
        <v>330</v>
      </c>
      <c r="B66" s="8" t="str">
        <f>IFERROR(__xludf.DUMMYFUNCTION("REGEXREPLACE(A66, ""[^0-9a-zA-Z .'Ã]"","""")"),"Steve Antin")</f>
        <v>Steve Antin</v>
      </c>
      <c r="C66" s="9">
        <v>197.0</v>
      </c>
      <c r="D66" s="10">
        <v>3.9440655E7</v>
      </c>
      <c r="E66" s="9" t="s">
        <v>331</v>
      </c>
      <c r="F66" s="9">
        <f t="shared" si="1"/>
        <v>4</v>
      </c>
      <c r="G66" s="9" t="s">
        <v>332</v>
      </c>
      <c r="H66" s="11" t="str">
        <f>IFERROR(__xludf.DUMMYFUNCTION("REGEXREPLACE(G66, ""[^0-9a-zA-Z .'Ã]"","""")"),"Eric Dane")</f>
        <v>Eric Dane</v>
      </c>
      <c r="I66" s="11" t="s">
        <v>333</v>
      </c>
      <c r="J66" s="9">
        <v>61680.0</v>
      </c>
      <c r="K66" s="9" t="s">
        <v>334</v>
      </c>
      <c r="L66" s="9">
        <v>222.0</v>
      </c>
      <c r="M66" s="9" t="s">
        <v>24</v>
      </c>
      <c r="N66" s="9" t="s">
        <v>25</v>
      </c>
      <c r="O66" s="10">
        <v>5.5E7</v>
      </c>
      <c r="P66" s="10">
        <f t="shared" si="2"/>
        <v>0</v>
      </c>
      <c r="Q66" s="12">
        <f t="shared" si="3"/>
        <v>15559345</v>
      </c>
      <c r="R66" s="9">
        <v>2010.0</v>
      </c>
      <c r="S66" s="9">
        <v>6.4</v>
      </c>
    </row>
    <row r="67" ht="15.75" customHeight="1">
      <c r="A67" s="7" t="s">
        <v>335</v>
      </c>
      <c r="B67" s="8" t="str">
        <f>IFERROR(__xludf.DUMMYFUNCTION("REGEXREPLACE(A67, ""[^0-9a-zA-Z .'Ã]"","""")"),"George Clooney")</f>
        <v>George Clooney</v>
      </c>
      <c r="C67" s="9">
        <v>421.0</v>
      </c>
      <c r="D67" s="10">
        <v>4.0962534E7</v>
      </c>
      <c r="E67" s="9" t="s">
        <v>103</v>
      </c>
      <c r="F67" s="9">
        <f t="shared" si="1"/>
        <v>1</v>
      </c>
      <c r="G67" s="9" t="s">
        <v>224</v>
      </c>
      <c r="H67" s="11" t="str">
        <f>IFERROR(__xludf.DUMMYFUNCTION("REGEXREPLACE(G67, ""[^0-9a-zA-Z .'Ã]"","""")"),"Ryan Gosling")</f>
        <v>Ryan Gosling</v>
      </c>
      <c r="I67" s="11" t="s">
        <v>336</v>
      </c>
      <c r="J67" s="9">
        <v>188652.0</v>
      </c>
      <c r="K67" s="9" t="s">
        <v>337</v>
      </c>
      <c r="L67" s="9">
        <v>288.0</v>
      </c>
      <c r="M67" s="9" t="s">
        <v>24</v>
      </c>
      <c r="N67" s="9" t="s">
        <v>25</v>
      </c>
      <c r="O67" s="10">
        <v>1.25E7</v>
      </c>
      <c r="P67" s="10">
        <f t="shared" si="2"/>
        <v>28462534</v>
      </c>
      <c r="Q67" s="12">
        <f t="shared" si="3"/>
        <v>0</v>
      </c>
      <c r="R67" s="9">
        <v>2011.0</v>
      </c>
      <c r="S67" s="9">
        <v>7.1</v>
      </c>
    </row>
    <row r="68" ht="15.75" customHeight="1">
      <c r="A68" s="7" t="s">
        <v>338</v>
      </c>
      <c r="B68" s="8" t="str">
        <f>IFERROR(__xludf.DUMMYFUNCTION("REGEXREPLACE(A68, ""[^0-9a-zA-Z .'Ã]"","""")"),"David Lynch")</f>
        <v>David Lynch</v>
      </c>
      <c r="C68" s="9">
        <v>144.0</v>
      </c>
      <c r="D68" s="10">
        <v>2.74E7</v>
      </c>
      <c r="E68" s="9" t="s">
        <v>185</v>
      </c>
      <c r="F68" s="9">
        <f t="shared" si="1"/>
        <v>3</v>
      </c>
      <c r="G68" s="9" t="s">
        <v>339</v>
      </c>
      <c r="H68" s="11" t="str">
        <f>IFERROR(__xludf.DUMMYFUNCTION("REGEXREPLACE(G68, ""[^0-9a-zA-Z .'Ã]"","""")"),"Virginia Madsen")</f>
        <v>Virginia Madsen</v>
      </c>
      <c r="I68" s="11" t="s">
        <v>340</v>
      </c>
      <c r="J68" s="9">
        <v>97087.0</v>
      </c>
      <c r="K68" s="9" t="s">
        <v>341</v>
      </c>
      <c r="L68" s="9">
        <v>569.0</v>
      </c>
      <c r="M68" s="9" t="s">
        <v>24</v>
      </c>
      <c r="N68" s="9" t="s">
        <v>25</v>
      </c>
      <c r="O68" s="10">
        <v>4.0E7</v>
      </c>
      <c r="P68" s="10">
        <f t="shared" si="2"/>
        <v>0</v>
      </c>
      <c r="Q68" s="12">
        <f t="shared" si="3"/>
        <v>12600000</v>
      </c>
      <c r="R68" s="9">
        <v>1984.0</v>
      </c>
      <c r="S68" s="9">
        <v>6.6</v>
      </c>
    </row>
    <row r="69" ht="15.75" customHeight="1">
      <c r="A69" s="17" t="s">
        <v>342</v>
      </c>
      <c r="B69" s="8" t="str">
        <f>IFERROR(__xludf.DUMMYFUNCTION("REGEXREPLACE(A69, ""[^0-9a-zA-Z .'Ã]"","""")"),"Peter Chelsom")</f>
        <v>Peter Chelsom</v>
      </c>
      <c r="C69" s="18">
        <v>131.0</v>
      </c>
      <c r="D69" s="19">
        <v>7.9566871E7</v>
      </c>
      <c r="E69" s="18" t="s">
        <v>343</v>
      </c>
      <c r="F69" s="9">
        <f t="shared" si="1"/>
        <v>5</v>
      </c>
      <c r="G69" s="18" t="s">
        <v>344</v>
      </c>
      <c r="H69" s="11" t="str">
        <f>IFERROR(__xludf.DUMMYFUNCTION("REGEXREPLACE(G69, ""[^0-9a-zA-Z .'Ã]"","""")"),"Emily Osment")</f>
        <v>Emily Osment</v>
      </c>
      <c r="I69" s="20" t="s">
        <v>345</v>
      </c>
      <c r="J69" s="18">
        <v>31760.0</v>
      </c>
      <c r="K69" s="18" t="s">
        <v>346</v>
      </c>
      <c r="L69" s="18">
        <v>140.0</v>
      </c>
      <c r="M69" s="18" t="s">
        <v>24</v>
      </c>
      <c r="N69" s="18" t="s">
        <v>25</v>
      </c>
      <c r="O69" s="19">
        <v>3.0E7</v>
      </c>
      <c r="P69" s="10">
        <f t="shared" si="2"/>
        <v>49566871</v>
      </c>
      <c r="Q69" s="12">
        <f t="shared" si="3"/>
        <v>0</v>
      </c>
      <c r="R69" s="18">
        <v>2009.0</v>
      </c>
      <c r="S69" s="18">
        <v>4.2</v>
      </c>
    </row>
    <row r="70" ht="15.75" customHeight="1">
      <c r="A70" s="17" t="s">
        <v>347</v>
      </c>
      <c r="B70" s="8" t="str">
        <f>IFERROR(__xludf.DUMMYFUNCTION("REGEXREPLACE(A70, ""[^0-9a-zA-Z .'Ã]"","""")"),"Andrew Adamson")</f>
        <v>Andrew Adamson</v>
      </c>
      <c r="C70" s="18">
        <v>258.0</v>
      </c>
      <c r="D70" s="19">
        <v>1.41614023E8</v>
      </c>
      <c r="E70" s="18" t="s">
        <v>348</v>
      </c>
      <c r="F70" s="9">
        <f t="shared" si="1"/>
        <v>4</v>
      </c>
      <c r="G70" s="18" t="s">
        <v>349</v>
      </c>
      <c r="H70" s="11" t="str">
        <f>IFERROR(__xludf.DUMMYFUNCTION("REGEXREPLACE(G70, ""[^0-9a-zA-Z .'Ã]"","""")"),"Peter Dinklage")</f>
        <v>Peter Dinklage</v>
      </c>
      <c r="I70" s="20" t="s">
        <v>350</v>
      </c>
      <c r="J70" s="18">
        <v>149922.0</v>
      </c>
      <c r="K70" s="18" t="s">
        <v>351</v>
      </c>
      <c r="L70" s="18">
        <v>438.0</v>
      </c>
      <c r="M70" s="18" t="s">
        <v>24</v>
      </c>
      <c r="N70" s="18" t="s">
        <v>25</v>
      </c>
      <c r="O70" s="19">
        <v>2.25E8</v>
      </c>
      <c r="P70" s="10">
        <f t="shared" si="2"/>
        <v>0</v>
      </c>
      <c r="Q70" s="12">
        <f t="shared" si="3"/>
        <v>83385977</v>
      </c>
      <c r="R70" s="18">
        <v>2008.0</v>
      </c>
      <c r="S70" s="18">
        <v>6.6</v>
      </c>
    </row>
    <row r="71" ht="15.75" customHeight="1">
      <c r="A71" s="7" t="s">
        <v>352</v>
      </c>
      <c r="B71" s="8" t="str">
        <f>IFERROR(__xludf.DUMMYFUNCTION("REGEXREPLACE(A71, ""[^0-9a-zA-Z .'Ã]"","""")"),"Alex Kendrick")</f>
        <v>Alex Kendrick</v>
      </c>
      <c r="C71" s="9">
        <v>31.0</v>
      </c>
      <c r="D71" s="10">
        <v>1.0174663E7</v>
      </c>
      <c r="E71" s="9" t="s">
        <v>132</v>
      </c>
      <c r="F71" s="9">
        <f t="shared" si="1"/>
        <v>2</v>
      </c>
      <c r="G71" s="9" t="s">
        <v>352</v>
      </c>
      <c r="H71" s="11" t="str">
        <f>IFERROR(__xludf.DUMMYFUNCTION("REGEXREPLACE(G71, ""[^0-9a-zA-Z .'Ã]"","""")"),"Alex Kendrick")</f>
        <v>Alex Kendrick</v>
      </c>
      <c r="I71" s="11" t="s">
        <v>353</v>
      </c>
      <c r="J71" s="9">
        <v>12399.0</v>
      </c>
      <c r="K71" s="9" t="s">
        <v>354</v>
      </c>
      <c r="L71" s="9">
        <v>382.0</v>
      </c>
      <c r="M71" s="9" t="s">
        <v>24</v>
      </c>
      <c r="N71" s="9" t="s">
        <v>25</v>
      </c>
      <c r="O71" s="10">
        <v>100000.0</v>
      </c>
      <c r="P71" s="10">
        <f t="shared" si="2"/>
        <v>10074663</v>
      </c>
      <c r="Q71" s="12">
        <f t="shared" si="3"/>
        <v>0</v>
      </c>
      <c r="R71" s="9">
        <v>2006.0</v>
      </c>
      <c r="S71" s="9">
        <v>6.7</v>
      </c>
    </row>
    <row r="72" ht="15.75" customHeight="1">
      <c r="A72" s="7" t="s">
        <v>355</v>
      </c>
      <c r="B72" s="8" t="str">
        <f>IFERROR(__xludf.DUMMYFUNCTION("REGEXREPLACE(A72, ""[^0-9a-zA-Z .'Ã]"","""")"),"Antoine Fuqua")</f>
        <v>Antoine Fuqua</v>
      </c>
      <c r="C72" s="9">
        <v>292.0</v>
      </c>
      <c r="D72" s="10">
        <v>1.01530738E8</v>
      </c>
      <c r="E72" s="9" t="s">
        <v>152</v>
      </c>
      <c r="F72" s="9">
        <f t="shared" si="1"/>
        <v>3</v>
      </c>
      <c r="G72" s="9" t="s">
        <v>70</v>
      </c>
      <c r="H72" s="11" t="str">
        <f>IFERROR(__xludf.DUMMYFUNCTION("REGEXREPLACE(G72, ""[^0-9a-zA-Z .'Ã]"","""")"),"Denzel Washington")</f>
        <v>Denzel Washington</v>
      </c>
      <c r="I72" s="11" t="s">
        <v>356</v>
      </c>
      <c r="J72" s="9">
        <v>229574.0</v>
      </c>
      <c r="K72" s="9" t="s">
        <v>357</v>
      </c>
      <c r="L72" s="9">
        <v>436.0</v>
      </c>
      <c r="M72" s="9" t="s">
        <v>24</v>
      </c>
      <c r="N72" s="9" t="s">
        <v>25</v>
      </c>
      <c r="O72" s="10">
        <v>5.5E7</v>
      </c>
      <c r="P72" s="10">
        <f t="shared" si="2"/>
        <v>46530738</v>
      </c>
      <c r="Q72" s="12">
        <f t="shared" si="3"/>
        <v>0</v>
      </c>
      <c r="R72" s="9">
        <v>2014.0</v>
      </c>
      <c r="S72" s="9">
        <v>7.2</v>
      </c>
    </row>
    <row r="73" ht="15.75" customHeight="1">
      <c r="A73" s="7" t="s">
        <v>358</v>
      </c>
      <c r="B73" s="8" t="str">
        <f>IFERROR(__xludf.DUMMYFUNCTION("REGEXREPLACE(A73, ""[^0-9a-zA-Z .'Ã]"","""")"),"Marc Abraham")</f>
        <v>Marc Abraham</v>
      </c>
      <c r="C73" s="9">
        <v>99.0</v>
      </c>
      <c r="D73" s="10">
        <v>4234040.0</v>
      </c>
      <c r="E73" s="9" t="s">
        <v>359</v>
      </c>
      <c r="F73" s="9">
        <f t="shared" si="1"/>
        <v>2</v>
      </c>
      <c r="G73" s="9" t="s">
        <v>360</v>
      </c>
      <c r="H73" s="11" t="str">
        <f>IFERROR(__xludf.DUMMYFUNCTION("REGEXREPLACE(G73, ""[^0-9a-zA-Z .'Ã]"","""")"),"Dylan Authors")</f>
        <v>Dylan Authors</v>
      </c>
      <c r="I73" s="11" t="s">
        <v>361</v>
      </c>
      <c r="J73" s="9">
        <v>14301.0</v>
      </c>
      <c r="K73" s="9" t="s">
        <v>362</v>
      </c>
      <c r="L73" s="9">
        <v>45.0</v>
      </c>
      <c r="M73" s="9" t="s">
        <v>24</v>
      </c>
      <c r="N73" s="9" t="s">
        <v>25</v>
      </c>
      <c r="O73" s="10">
        <v>2.0E7</v>
      </c>
      <c r="P73" s="10">
        <f t="shared" si="2"/>
        <v>0</v>
      </c>
      <c r="Q73" s="12">
        <f t="shared" si="3"/>
        <v>15765960</v>
      </c>
      <c r="R73" s="9">
        <v>2008.0</v>
      </c>
      <c r="S73" s="9">
        <v>7.0</v>
      </c>
    </row>
    <row r="74" ht="15.75" customHeight="1">
      <c r="A74" s="7" t="s">
        <v>363</v>
      </c>
      <c r="B74" s="8" t="str">
        <f>IFERROR(__xludf.DUMMYFUNCTION("REGEXREPLACE(A74, ""[^0-9a-zA-Z .'Ã]"","""")"),"Alex Craig Mann")</f>
        <v>Alex Craig Mann</v>
      </c>
      <c r="C74" s="9">
        <v>29.0</v>
      </c>
      <c r="D74" s="10">
        <v>1332.0</v>
      </c>
      <c r="E74" s="9" t="s">
        <v>364</v>
      </c>
      <c r="F74" s="9">
        <f t="shared" si="1"/>
        <v>2</v>
      </c>
      <c r="G74" s="9" t="s">
        <v>365</v>
      </c>
      <c r="H74" s="11" t="str">
        <f>IFERROR(__xludf.DUMMYFUNCTION("REGEXREPLACE(G74, ""[^0-9a-zA-Z .'Ã]"","""")"),"Justin Chon")</f>
        <v>Justin Chon</v>
      </c>
      <c r="I74" s="11" t="s">
        <v>366</v>
      </c>
      <c r="J74" s="9">
        <v>2038.0</v>
      </c>
      <c r="K74" s="9" t="s">
        <v>367</v>
      </c>
      <c r="L74" s="9">
        <v>20.0</v>
      </c>
      <c r="M74" s="9" t="s">
        <v>24</v>
      </c>
      <c r="N74" s="9" t="s">
        <v>25</v>
      </c>
      <c r="O74" s="10">
        <v>500000.0</v>
      </c>
      <c r="P74" s="10">
        <f t="shared" si="2"/>
        <v>0</v>
      </c>
      <c r="Q74" s="12">
        <f t="shared" si="3"/>
        <v>498668</v>
      </c>
      <c r="R74" s="9">
        <v>2012.0</v>
      </c>
      <c r="S74" s="9">
        <v>4.6</v>
      </c>
    </row>
    <row r="75" ht="15.75" customHeight="1">
      <c r="A75" s="13" t="s">
        <v>368</v>
      </c>
      <c r="B75" s="8" t="str">
        <f>IFERROR(__xludf.DUMMYFUNCTION("REGEXREPLACE(A75, ""[^0-9a-zA-Z .'Ã]"","""")"),"Jon Turteltaub")</f>
        <v>Jon Turteltaub</v>
      </c>
      <c r="C75" s="14">
        <v>100.0</v>
      </c>
      <c r="D75" s="15">
        <v>3.4098563E7</v>
      </c>
      <c r="E75" s="14" t="s">
        <v>369</v>
      </c>
      <c r="F75" s="9">
        <f t="shared" si="1"/>
        <v>2</v>
      </c>
      <c r="G75" s="14" t="s">
        <v>237</v>
      </c>
      <c r="H75" s="11" t="str">
        <f>IFERROR(__xludf.DUMMYFUNCTION("REGEXREPLACE(G75, ""[^0-9a-zA-Z .'Ã]"","""")"),"Anthony Hopkins")</f>
        <v>Anthony Hopkins</v>
      </c>
      <c r="I75" s="16" t="s">
        <v>370</v>
      </c>
      <c r="J75" s="14">
        <v>27191.0</v>
      </c>
      <c r="K75" s="14" t="s">
        <v>371</v>
      </c>
      <c r="L75" s="14">
        <v>232.0</v>
      </c>
      <c r="M75" s="14" t="s">
        <v>24</v>
      </c>
      <c r="N75" s="14" t="s">
        <v>25</v>
      </c>
      <c r="O75" s="15">
        <v>5.5E7</v>
      </c>
      <c r="P75" s="10">
        <f t="shared" si="2"/>
        <v>0</v>
      </c>
      <c r="Q75" s="12">
        <f t="shared" si="3"/>
        <v>20901437</v>
      </c>
      <c r="R75" s="14">
        <v>1999.0</v>
      </c>
      <c r="S75" s="14">
        <v>6.5</v>
      </c>
    </row>
    <row r="76" ht="15.75" customHeight="1">
      <c r="A76" s="13" t="s">
        <v>372</v>
      </c>
      <c r="B76" s="8" t="str">
        <f>IFERROR(__xludf.DUMMYFUNCTION("REGEXREPLACE(A76, ""[^0-9a-zA-Z .'Ã]"","""")"),"Robert Wise")</f>
        <v>Robert Wise</v>
      </c>
      <c r="C76" s="14">
        <v>119.0</v>
      </c>
      <c r="D76" s="15">
        <v>1.63214286E8</v>
      </c>
      <c r="E76" s="14" t="s">
        <v>373</v>
      </c>
      <c r="F76" s="9">
        <f t="shared" si="1"/>
        <v>5</v>
      </c>
      <c r="G76" s="14" t="s">
        <v>374</v>
      </c>
      <c r="H76" s="11" t="str">
        <f>IFERROR(__xludf.DUMMYFUNCTION("REGEXREPLACE(G76, ""[^0-9a-zA-Z .'Ã]"","""")"),"Eleanor Parker")</f>
        <v>Eleanor Parker</v>
      </c>
      <c r="I76" s="16" t="s">
        <v>375</v>
      </c>
      <c r="J76" s="14">
        <v>148172.0</v>
      </c>
      <c r="K76" s="14" t="s">
        <v>376</v>
      </c>
      <c r="L76" s="14">
        <v>406.0</v>
      </c>
      <c r="M76" s="14" t="s">
        <v>24</v>
      </c>
      <c r="N76" s="14" t="s">
        <v>25</v>
      </c>
      <c r="O76" s="15">
        <v>8200000.0</v>
      </c>
      <c r="P76" s="10">
        <f t="shared" si="2"/>
        <v>155014286</v>
      </c>
      <c r="Q76" s="12">
        <f t="shared" si="3"/>
        <v>0</v>
      </c>
      <c r="R76" s="14">
        <v>1965.0</v>
      </c>
      <c r="S76" s="14">
        <v>8.0</v>
      </c>
    </row>
    <row r="77" ht="15.75" customHeight="1">
      <c r="A77" s="7" t="s">
        <v>377</v>
      </c>
      <c r="B77" s="8" t="str">
        <f>IFERROR(__xludf.DUMMYFUNCTION("REGEXREPLACE(A77, ""[^0-9a-zA-Z .'Ã]"","""")"),"Jessie Nelson")</f>
        <v>Jessie Nelson</v>
      </c>
      <c r="C77" s="9">
        <v>97.0</v>
      </c>
      <c r="D77" s="10">
        <v>2.6284475E7</v>
      </c>
      <c r="E77" s="9" t="s">
        <v>137</v>
      </c>
      <c r="F77" s="9">
        <f t="shared" si="1"/>
        <v>1</v>
      </c>
      <c r="G77" s="9" t="s">
        <v>378</v>
      </c>
      <c r="H77" s="11" t="str">
        <f>IFERROR(__xludf.DUMMYFUNCTION("REGEXREPLACE(G77, ""[^0-9a-zA-Z .'Ã]"","""")"),"Olivia Wilde")</f>
        <v>Olivia Wilde</v>
      </c>
      <c r="I77" s="11" t="s">
        <v>379</v>
      </c>
      <c r="J77" s="9">
        <v>9051.0</v>
      </c>
      <c r="K77" s="9" t="s">
        <v>380</v>
      </c>
      <c r="L77" s="9">
        <v>68.0</v>
      </c>
      <c r="M77" s="9" t="s">
        <v>24</v>
      </c>
      <c r="N77" s="9" t="s">
        <v>25</v>
      </c>
      <c r="O77" s="10">
        <v>1.7E7</v>
      </c>
      <c r="P77" s="10">
        <f t="shared" si="2"/>
        <v>9284475</v>
      </c>
      <c r="Q77" s="12">
        <f t="shared" si="3"/>
        <v>0</v>
      </c>
      <c r="R77" s="9">
        <v>2015.0</v>
      </c>
      <c r="S77" s="9">
        <v>5.7</v>
      </c>
    </row>
    <row r="78" ht="15.75" customHeight="1">
      <c r="A78" s="17" t="s">
        <v>381</v>
      </c>
      <c r="B78" s="8" t="str">
        <f>IFERROR(__xludf.DUMMYFUNCTION("REGEXREPLACE(A78, ""[^0-9a-zA-Z .'Ã]"","""")"),"Brian De Palma")</f>
        <v>Brian De Palma</v>
      </c>
      <c r="C78" s="18">
        <v>147.0</v>
      </c>
      <c r="D78" s="19">
        <v>4.47E7</v>
      </c>
      <c r="E78" s="18" t="s">
        <v>54</v>
      </c>
      <c r="F78" s="9">
        <f t="shared" si="1"/>
        <v>2</v>
      </c>
      <c r="G78" s="18" t="s">
        <v>317</v>
      </c>
      <c r="H78" s="11" t="str">
        <f>IFERROR(__xludf.DUMMYFUNCTION("REGEXREPLACE(G78, ""[^0-9a-zA-Z .'Ã]"","""")"),"Al Pacino")</f>
        <v>Al Pacino</v>
      </c>
      <c r="I78" s="20" t="s">
        <v>382</v>
      </c>
      <c r="J78" s="18">
        <v>537442.0</v>
      </c>
      <c r="K78" s="18" t="s">
        <v>383</v>
      </c>
      <c r="L78" s="18">
        <v>851.0</v>
      </c>
      <c r="M78" s="18" t="s">
        <v>24</v>
      </c>
      <c r="N78" s="18" t="s">
        <v>25</v>
      </c>
      <c r="O78" s="19">
        <v>2.5E7</v>
      </c>
      <c r="P78" s="10">
        <f t="shared" si="2"/>
        <v>19700000</v>
      </c>
      <c r="Q78" s="12">
        <f t="shared" si="3"/>
        <v>0</v>
      </c>
      <c r="R78" s="18">
        <v>1983.0</v>
      </c>
      <c r="S78" s="18">
        <v>8.3</v>
      </c>
    </row>
    <row r="79" ht="15.75" customHeight="1">
      <c r="A79" s="7" t="s">
        <v>384</v>
      </c>
      <c r="B79" s="8" t="str">
        <f>IFERROR(__xludf.DUMMYFUNCTION("REGEXREPLACE(A79, ""[^0-9a-zA-Z .'Ã]"","""")"),"Colin Strause")</f>
        <v>Colin Strause</v>
      </c>
      <c r="C79" s="9">
        <v>211.0</v>
      </c>
      <c r="D79" s="10">
        <v>4.1797066E7</v>
      </c>
      <c r="E79" s="9" t="s">
        <v>64</v>
      </c>
      <c r="F79" s="9">
        <f t="shared" si="1"/>
        <v>4</v>
      </c>
      <c r="G79" s="9" t="s">
        <v>385</v>
      </c>
      <c r="H79" s="11" t="str">
        <f>IFERROR(__xludf.DUMMYFUNCTION("REGEXREPLACE(G79, ""[^0-9a-zA-Z .'Ã]"","""")"),"Sam Trammell")</f>
        <v>Sam Trammell</v>
      </c>
      <c r="I79" s="11" t="s">
        <v>386</v>
      </c>
      <c r="J79" s="9">
        <v>92789.0</v>
      </c>
      <c r="K79" s="9" t="s">
        <v>387</v>
      </c>
      <c r="L79" s="9">
        <v>998.0</v>
      </c>
      <c r="M79" s="9" t="s">
        <v>24</v>
      </c>
      <c r="N79" s="9" t="s">
        <v>25</v>
      </c>
      <c r="O79" s="10">
        <v>4.0E7</v>
      </c>
      <c r="P79" s="10">
        <f t="shared" si="2"/>
        <v>1797066</v>
      </c>
      <c r="Q79" s="12">
        <f t="shared" si="3"/>
        <v>0</v>
      </c>
      <c r="R79" s="9">
        <v>2007.0</v>
      </c>
      <c r="S79" s="9">
        <v>4.7</v>
      </c>
    </row>
    <row r="80" ht="15.75" customHeight="1">
      <c r="A80" s="7" t="s">
        <v>388</v>
      </c>
      <c r="B80" s="8" t="str">
        <f>IFERROR(__xludf.DUMMYFUNCTION("REGEXREPLACE(A80, ""[^0-9a-zA-Z .'Ã]"","""")"),"Rick Rosenthal")</f>
        <v>Rick Rosenthal</v>
      </c>
      <c r="C80" s="9">
        <v>151.0</v>
      </c>
      <c r="D80" s="10">
        <v>3.0259652E7</v>
      </c>
      <c r="E80" s="9" t="s">
        <v>389</v>
      </c>
      <c r="F80" s="9">
        <f t="shared" si="1"/>
        <v>3</v>
      </c>
      <c r="G80" s="9" t="s">
        <v>390</v>
      </c>
      <c r="H80" s="11" t="str">
        <f>IFERROR(__xludf.DUMMYFUNCTION("REGEXREPLACE(G80, ""[^0-9a-zA-Z .'Ã]"","""")"),"Jamie Lee Curtis")</f>
        <v>Jamie Lee Curtis</v>
      </c>
      <c r="I80" s="11" t="s">
        <v>391</v>
      </c>
      <c r="J80" s="9">
        <v>26905.0</v>
      </c>
      <c r="K80" s="9" t="s">
        <v>392</v>
      </c>
      <c r="L80" s="9">
        <v>614.0</v>
      </c>
      <c r="M80" s="9" t="s">
        <v>24</v>
      </c>
      <c r="N80" s="9" t="s">
        <v>25</v>
      </c>
      <c r="O80" s="10">
        <v>1.5E7</v>
      </c>
      <c r="P80" s="10">
        <f t="shared" si="2"/>
        <v>15259652</v>
      </c>
      <c r="Q80" s="12">
        <f t="shared" si="3"/>
        <v>0</v>
      </c>
      <c r="R80" s="9">
        <v>2002.0</v>
      </c>
      <c r="S80" s="9">
        <v>4.1</v>
      </c>
    </row>
    <row r="81" ht="15.75" customHeight="1">
      <c r="A81" s="7" t="s">
        <v>393</v>
      </c>
      <c r="B81" s="8" t="str">
        <f>IFERROR(__xludf.DUMMYFUNCTION("REGEXREPLACE(A81, ""[^0-9a-zA-Z .'Ã]"","""")"),"John Hoffman")</f>
        <v>John Hoffman</v>
      </c>
      <c r="C81" s="9">
        <v>52.0</v>
      </c>
      <c r="D81" s="10">
        <v>3.756623E7</v>
      </c>
      <c r="E81" s="9" t="s">
        <v>394</v>
      </c>
      <c r="F81" s="9">
        <f t="shared" si="1"/>
        <v>5</v>
      </c>
      <c r="G81" s="9" t="s">
        <v>395</v>
      </c>
      <c r="H81" s="11" t="str">
        <f>IFERROR(__xludf.DUMMYFUNCTION("REGEXREPLACE(G81, ""[^0-9a-zA-Z .'Ã]"","""")"),"Liam Aiken")</f>
        <v>Liam Aiken</v>
      </c>
      <c r="I81" s="11" t="s">
        <v>396</v>
      </c>
      <c r="J81" s="9">
        <v>3407.0</v>
      </c>
      <c r="K81" s="9" t="s">
        <v>397</v>
      </c>
      <c r="L81" s="9">
        <v>48.0</v>
      </c>
      <c r="M81" s="9" t="s">
        <v>24</v>
      </c>
      <c r="N81" s="9" t="s">
        <v>25</v>
      </c>
      <c r="O81" s="10">
        <v>1.7E7</v>
      </c>
      <c r="P81" s="10">
        <f t="shared" si="2"/>
        <v>20566230</v>
      </c>
      <c r="Q81" s="12">
        <f t="shared" si="3"/>
        <v>0</v>
      </c>
      <c r="R81" s="9">
        <v>2003.0</v>
      </c>
      <c r="S81" s="9">
        <v>5.1</v>
      </c>
    </row>
    <row r="82" ht="15.75" customHeight="1">
      <c r="A82" s="17" t="s">
        <v>398</v>
      </c>
      <c r="B82" s="8" t="str">
        <f>IFERROR(__xludf.DUMMYFUNCTION("REGEXREPLACE(A82, ""[^0-9a-zA-Z .'Ã]"","""")"),"Robert Moresco")</f>
        <v>Robert Moresco</v>
      </c>
      <c r="C82" s="18">
        <v>26.0</v>
      </c>
      <c r="D82" s="19">
        <v>53481.0</v>
      </c>
      <c r="E82" s="18" t="s">
        <v>113</v>
      </c>
      <c r="F82" s="9">
        <f t="shared" si="1"/>
        <v>3</v>
      </c>
      <c r="G82" s="18" t="s">
        <v>399</v>
      </c>
      <c r="H82" s="11" t="str">
        <f>IFERROR(__xludf.DUMMYFUNCTION("REGEXREPLACE(G82, ""[^0-9a-zA-Z .'Ã]"","""")"),"Brian Dennehy")</f>
        <v>Brian Dennehy</v>
      </c>
      <c r="I82" s="20" t="s">
        <v>400</v>
      </c>
      <c r="J82" s="18">
        <v>5557.0</v>
      </c>
      <c r="K82" s="18" t="s">
        <v>401</v>
      </c>
      <c r="L82" s="18">
        <v>34.0</v>
      </c>
      <c r="M82" s="18" t="s">
        <v>24</v>
      </c>
      <c r="N82" s="18" t="s">
        <v>25</v>
      </c>
      <c r="O82" s="19">
        <v>8000000.0</v>
      </c>
      <c r="P82" s="10">
        <f t="shared" si="2"/>
        <v>0</v>
      </c>
      <c r="Q82" s="12">
        <f t="shared" si="3"/>
        <v>7946519</v>
      </c>
      <c r="R82" s="18">
        <v>2006.0</v>
      </c>
      <c r="S82" s="18">
        <v>6.4</v>
      </c>
    </row>
    <row r="83" ht="15.75" customHeight="1">
      <c r="A83" s="13" t="s">
        <v>402</v>
      </c>
      <c r="B83" s="8" t="str">
        <f>IFERROR(__xludf.DUMMYFUNCTION("REGEXREPLACE(A83, ""[^0-9a-zA-Z .'Ã]"","""")"),"John Dahl")</f>
        <v>John Dahl</v>
      </c>
      <c r="C83" s="14">
        <v>81.0</v>
      </c>
      <c r="D83" s="15">
        <v>1.0166502E7</v>
      </c>
      <c r="E83" s="14" t="s">
        <v>403</v>
      </c>
      <c r="F83" s="9">
        <f t="shared" si="1"/>
        <v>3</v>
      </c>
      <c r="G83" s="14" t="s">
        <v>404</v>
      </c>
      <c r="H83" s="11" t="str">
        <f>IFERROR(__xludf.DUMMYFUNCTION("REGEXREPLACE(G83, ""[^0-9a-zA-Z .'Ã]"","""")"),"James Franco")</f>
        <v>James Franco</v>
      </c>
      <c r="I83" s="16" t="s">
        <v>405</v>
      </c>
      <c r="J83" s="14">
        <v>18209.0</v>
      </c>
      <c r="K83" s="14" t="s">
        <v>406</v>
      </c>
      <c r="L83" s="14">
        <v>183.0</v>
      </c>
      <c r="M83" s="14" t="s">
        <v>407</v>
      </c>
      <c r="N83" s="14" t="s">
        <v>25</v>
      </c>
      <c r="O83" s="15">
        <v>8.0E7</v>
      </c>
      <c r="P83" s="10">
        <f t="shared" si="2"/>
        <v>0</v>
      </c>
      <c r="Q83" s="12">
        <f t="shared" si="3"/>
        <v>69833498</v>
      </c>
      <c r="R83" s="14">
        <v>2005.0</v>
      </c>
      <c r="S83" s="14">
        <v>6.7</v>
      </c>
    </row>
    <row r="84" ht="15.75" customHeight="1">
      <c r="A84" s="13" t="s">
        <v>408</v>
      </c>
      <c r="B84" s="8" t="str">
        <f>IFERROR(__xludf.DUMMYFUNCTION("REGEXREPLACE(A84, ""[^0-9a-zA-Z .'Ã]"","""")"),"Roger Spottiswoode")</f>
        <v>Roger Spottiswoode</v>
      </c>
      <c r="C84" s="14">
        <v>170.0</v>
      </c>
      <c r="D84" s="15">
        <v>3.4543701E7</v>
      </c>
      <c r="E84" s="14" t="s">
        <v>409</v>
      </c>
      <c r="F84" s="9">
        <f t="shared" si="1"/>
        <v>4</v>
      </c>
      <c r="G84" s="14" t="s">
        <v>410</v>
      </c>
      <c r="H84" s="11" t="str">
        <f>IFERROR(__xludf.DUMMYFUNCTION("REGEXREPLACE(G84, ""[^0-9a-zA-Z .'Ã]"","""")"),"Robert Duvall")</f>
        <v>Robert Duvall</v>
      </c>
      <c r="I84" s="16" t="s">
        <v>411</v>
      </c>
      <c r="J84" s="14">
        <v>100001.0</v>
      </c>
      <c r="K84" s="14" t="s">
        <v>412</v>
      </c>
      <c r="L84" s="14">
        <v>289.0</v>
      </c>
      <c r="M84" s="14" t="s">
        <v>24</v>
      </c>
      <c r="N84" s="14" t="s">
        <v>25</v>
      </c>
      <c r="O84" s="15">
        <v>8.2E7</v>
      </c>
      <c r="P84" s="10">
        <f t="shared" si="2"/>
        <v>0</v>
      </c>
      <c r="Q84" s="12">
        <f t="shared" si="3"/>
        <v>47456299</v>
      </c>
      <c r="R84" s="14">
        <v>2000.0</v>
      </c>
      <c r="S84" s="14">
        <v>5.9</v>
      </c>
    </row>
    <row r="85" ht="15.75" customHeight="1">
      <c r="A85" s="7" t="s">
        <v>413</v>
      </c>
      <c r="B85" s="8" t="str">
        <f>IFERROR(__xludf.DUMMYFUNCTION("REGEXREPLACE(A85, ""[^0-9a-zA-Z .'Ã]"","""")"),"Joe Dante")</f>
        <v>Joe Dante</v>
      </c>
      <c r="C85" s="9">
        <v>101.0</v>
      </c>
      <c r="D85" s="10">
        <v>2.095082E7</v>
      </c>
      <c r="E85" s="9" t="s">
        <v>414</v>
      </c>
      <c r="F85" s="9">
        <f t="shared" si="1"/>
        <v>6</v>
      </c>
      <c r="G85" s="9" t="s">
        <v>21</v>
      </c>
      <c r="H85" s="11" t="str">
        <f>IFERROR(__xludf.DUMMYFUNCTION("REGEXREPLACE(G85, ""[^0-9a-zA-Z .'Ã]"","""")"),"Brendan Fraser")</f>
        <v>Brendan Fraser</v>
      </c>
      <c r="I85" s="11" t="s">
        <v>415</v>
      </c>
      <c r="J85" s="9">
        <v>24183.0</v>
      </c>
      <c r="K85" s="9" t="s">
        <v>416</v>
      </c>
      <c r="L85" s="9">
        <v>160.0</v>
      </c>
      <c r="M85" s="9" t="s">
        <v>24</v>
      </c>
      <c r="N85" s="9" t="s">
        <v>173</v>
      </c>
      <c r="O85" s="10">
        <v>8.0E7</v>
      </c>
      <c r="P85" s="10">
        <f t="shared" si="2"/>
        <v>0</v>
      </c>
      <c r="Q85" s="12">
        <f t="shared" si="3"/>
        <v>59049180</v>
      </c>
      <c r="R85" s="9">
        <v>2003.0</v>
      </c>
      <c r="S85" s="9">
        <v>5.7</v>
      </c>
    </row>
    <row r="86" ht="15.75" customHeight="1">
      <c r="A86" s="17" t="s">
        <v>417</v>
      </c>
      <c r="B86" s="8" t="str">
        <f>IFERROR(__xludf.DUMMYFUNCTION("REGEXREPLACE(A86, ""[^0-9a-zA-Z -.'Ã]"","""")"),"Kate Barker-Froyland")</f>
        <v>Kate Barker-Froyland</v>
      </c>
      <c r="C86" s="18">
        <v>43.0</v>
      </c>
      <c r="D86" s="19">
        <v>20200.0</v>
      </c>
      <c r="E86" s="18" t="s">
        <v>418</v>
      </c>
      <c r="F86" s="9">
        <f t="shared" si="1"/>
        <v>2</v>
      </c>
      <c r="G86" s="18" t="s">
        <v>419</v>
      </c>
      <c r="H86" s="11" t="str">
        <f>IFERROR(__xludf.DUMMYFUNCTION("REGEXREPLACE(G86, ""[^0-9a-zA-Z .'Ã]"","""")"),"Anne Hathaway")</f>
        <v>Anne Hathaway</v>
      </c>
      <c r="I86" s="20" t="s">
        <v>420</v>
      </c>
      <c r="J86" s="18">
        <v>6797.0</v>
      </c>
      <c r="K86" s="18" t="s">
        <v>421</v>
      </c>
      <c r="L86" s="18">
        <v>21.0</v>
      </c>
      <c r="M86" s="18" t="s">
        <v>24</v>
      </c>
      <c r="N86" s="18" t="s">
        <v>25</v>
      </c>
      <c r="O86" s="19">
        <v>6000000.0</v>
      </c>
      <c r="P86" s="10">
        <f t="shared" si="2"/>
        <v>0</v>
      </c>
      <c r="Q86" s="12">
        <f t="shared" si="3"/>
        <v>5979800</v>
      </c>
      <c r="R86" s="18">
        <v>2014.0</v>
      </c>
      <c r="S86" s="18">
        <v>5.8</v>
      </c>
    </row>
    <row r="87" ht="15.75" customHeight="1">
      <c r="A87" s="17" t="s">
        <v>422</v>
      </c>
      <c r="B87" s="8" t="str">
        <f>IFERROR(__xludf.DUMMYFUNCTION("REGEXREPLACE(A87, ""[^0-9a-zA-Z .'Ã]"","""")"),"Brian Koppelman")</f>
        <v>Brian Koppelman</v>
      </c>
      <c r="C87" s="18">
        <v>116.0</v>
      </c>
      <c r="D87" s="19">
        <v>4360548.0</v>
      </c>
      <c r="E87" s="18" t="s">
        <v>159</v>
      </c>
      <c r="F87" s="9">
        <f t="shared" si="1"/>
        <v>3</v>
      </c>
      <c r="G87" s="18" t="s">
        <v>423</v>
      </c>
      <c r="H87" s="11" t="str">
        <f>IFERROR(__xludf.DUMMYFUNCTION("REGEXREPLACE(G87, ""[^0-9a-zA-Z .'Ã]"","""")"),"Jenna Fischer")</f>
        <v>Jenna Fischer</v>
      </c>
      <c r="I87" s="20" t="s">
        <v>424</v>
      </c>
      <c r="J87" s="18">
        <v>13371.0</v>
      </c>
      <c r="K87" s="18" t="s">
        <v>425</v>
      </c>
      <c r="L87" s="18">
        <v>60.0</v>
      </c>
      <c r="M87" s="18" t="s">
        <v>24</v>
      </c>
      <c r="N87" s="18" t="s">
        <v>25</v>
      </c>
      <c r="O87" s="19">
        <v>1.5E7</v>
      </c>
      <c r="P87" s="10">
        <f t="shared" si="2"/>
        <v>0</v>
      </c>
      <c r="Q87" s="12">
        <f t="shared" si="3"/>
        <v>10639452</v>
      </c>
      <c r="R87" s="18">
        <v>2009.0</v>
      </c>
      <c r="S87" s="18">
        <v>6.4</v>
      </c>
    </row>
    <row r="88" ht="15.75" customHeight="1">
      <c r="A88" s="7" t="s">
        <v>426</v>
      </c>
      <c r="B88" s="8" t="str">
        <f>IFERROR(__xludf.DUMMYFUNCTION("REGEXREPLACE(A88, ""[^0-9a-zA-Z .'Ã]"","""")"),"Martin Campbell")</f>
        <v>Martin Campbell</v>
      </c>
      <c r="C88" s="9">
        <v>156.0</v>
      </c>
      <c r="D88" s="10">
        <v>9.3771072E7</v>
      </c>
      <c r="E88" s="9" t="s">
        <v>427</v>
      </c>
      <c r="F88" s="9">
        <f t="shared" si="1"/>
        <v>6</v>
      </c>
      <c r="G88" s="9" t="s">
        <v>237</v>
      </c>
      <c r="H88" s="11" t="str">
        <f>IFERROR(__xludf.DUMMYFUNCTION("REGEXREPLACE(G88, ""[^0-9a-zA-Z .'Ã]"","""")"),"Anthony Hopkins")</f>
        <v>Anthony Hopkins</v>
      </c>
      <c r="I88" s="11" t="s">
        <v>428</v>
      </c>
      <c r="J88" s="9">
        <v>135404.0</v>
      </c>
      <c r="K88" s="9" t="s">
        <v>429</v>
      </c>
      <c r="L88" s="9">
        <v>318.0</v>
      </c>
      <c r="M88" s="9" t="s">
        <v>24</v>
      </c>
      <c r="N88" s="9" t="s">
        <v>25</v>
      </c>
      <c r="O88" s="10">
        <v>6.5E7</v>
      </c>
      <c r="P88" s="10">
        <f t="shared" si="2"/>
        <v>28771072</v>
      </c>
      <c r="Q88" s="12">
        <f t="shared" si="3"/>
        <v>0</v>
      </c>
      <c r="R88" s="9">
        <v>1998.0</v>
      </c>
      <c r="S88" s="9">
        <v>6.7</v>
      </c>
    </row>
    <row r="89" ht="15.75" customHeight="1">
      <c r="A89" s="7" t="s">
        <v>430</v>
      </c>
      <c r="B89" s="8" t="str">
        <f>IFERROR(__xludf.DUMMYFUNCTION("REGEXREPLACE(A89, ""[^0-9a-zA-Z .'Ã]"","""")"),"David Cronenberg")</f>
        <v>David Cronenberg</v>
      </c>
      <c r="C89" s="9">
        <v>345.0</v>
      </c>
      <c r="D89" s="10">
        <v>5702083.0</v>
      </c>
      <c r="E89" s="9" t="s">
        <v>431</v>
      </c>
      <c r="F89" s="9">
        <f t="shared" si="1"/>
        <v>3</v>
      </c>
      <c r="G89" s="9" t="s">
        <v>432</v>
      </c>
      <c r="H89" s="11" t="str">
        <f>IFERROR(__xludf.DUMMYFUNCTION("REGEXREPLACE(G89, ""[^0-9a-zA-Z .'Ã]"","""")"),"Michael Fassbender")</f>
        <v>Michael Fassbender</v>
      </c>
      <c r="I89" s="11" t="s">
        <v>433</v>
      </c>
      <c r="J89" s="9">
        <v>80617.0</v>
      </c>
      <c r="K89" s="9" t="s">
        <v>434</v>
      </c>
      <c r="L89" s="9">
        <v>190.0</v>
      </c>
      <c r="M89" s="9" t="s">
        <v>24</v>
      </c>
      <c r="N89" s="9" t="s">
        <v>130</v>
      </c>
      <c r="O89" s="10">
        <v>1.5E7</v>
      </c>
      <c r="P89" s="10">
        <f t="shared" si="2"/>
        <v>0</v>
      </c>
      <c r="Q89" s="12">
        <f t="shared" si="3"/>
        <v>9297917</v>
      </c>
      <c r="R89" s="9">
        <v>2011.0</v>
      </c>
      <c r="S89" s="9">
        <v>6.5</v>
      </c>
    </row>
    <row r="90" ht="15.75" customHeight="1">
      <c r="A90" s="13" t="s">
        <v>381</v>
      </c>
      <c r="B90" s="8" t="str">
        <f>IFERROR(__xludf.DUMMYFUNCTION("REGEXREPLACE(A90, ""[^0-9a-zA-Z .'Ã]"","""")"),"Brian De Palma")</f>
        <v>Brian De Palma</v>
      </c>
      <c r="C90" s="14">
        <v>240.0</v>
      </c>
      <c r="D90" s="15">
        <v>2.2518325E7</v>
      </c>
      <c r="E90" s="14" t="s">
        <v>435</v>
      </c>
      <c r="F90" s="9">
        <f t="shared" si="1"/>
        <v>4</v>
      </c>
      <c r="G90" s="14" t="s">
        <v>436</v>
      </c>
      <c r="H90" s="11" t="str">
        <f>IFERROR(__xludf.DUMMYFUNCTION("REGEXREPLACE(G90, ""[^0-9a-zA-Z .'Ã]"","""")"),"Scarlett Johansson")</f>
        <v>Scarlett Johansson</v>
      </c>
      <c r="I90" s="16" t="s">
        <v>437</v>
      </c>
      <c r="J90" s="14">
        <v>63363.0</v>
      </c>
      <c r="K90" s="14" t="s">
        <v>438</v>
      </c>
      <c r="L90" s="14">
        <v>644.0</v>
      </c>
      <c r="M90" s="14" t="s">
        <v>24</v>
      </c>
      <c r="N90" s="14" t="s">
        <v>173</v>
      </c>
      <c r="O90" s="15">
        <v>5.0E7</v>
      </c>
      <c r="P90" s="10">
        <f t="shared" si="2"/>
        <v>0</v>
      </c>
      <c r="Q90" s="12">
        <f t="shared" si="3"/>
        <v>27481675</v>
      </c>
      <c r="R90" s="14">
        <v>2006.0</v>
      </c>
      <c r="S90" s="14">
        <v>5.6</v>
      </c>
    </row>
    <row r="91" ht="15.75" customHeight="1">
      <c r="A91" s="7" t="s">
        <v>439</v>
      </c>
      <c r="B91" s="8" t="str">
        <f>IFERROR(__xludf.DUMMYFUNCTION("REGEXREPLACE(A91, ""[^0-9a-zA-Z .'Ã]"","""")"),"Jay Roach")</f>
        <v>Jay Roach</v>
      </c>
      <c r="C91" s="9">
        <v>129.0</v>
      </c>
      <c r="D91" s="10">
        <v>5.386803E7</v>
      </c>
      <c r="E91" s="9" t="s">
        <v>440</v>
      </c>
      <c r="F91" s="9">
        <f t="shared" si="1"/>
        <v>2</v>
      </c>
      <c r="G91" s="9" t="s">
        <v>441</v>
      </c>
      <c r="H91" s="11" t="str">
        <f>IFERROR(__xludf.DUMMYFUNCTION("REGEXREPLACE(G91, ""[^0-9a-zA-Z .'Ã]"","""")"),"Will Ferrell")</f>
        <v>Will Ferrell</v>
      </c>
      <c r="I91" s="11" t="s">
        <v>442</v>
      </c>
      <c r="J91" s="9">
        <v>183425.0</v>
      </c>
      <c r="K91" s="9" t="s">
        <v>443</v>
      </c>
      <c r="L91" s="9">
        <v>425.0</v>
      </c>
      <c r="M91" s="9" t="s">
        <v>24</v>
      </c>
      <c r="N91" s="9" t="s">
        <v>25</v>
      </c>
      <c r="O91" s="10">
        <v>1.7E7</v>
      </c>
      <c r="P91" s="10">
        <f t="shared" si="2"/>
        <v>36868030</v>
      </c>
      <c r="Q91" s="12">
        <f t="shared" si="3"/>
        <v>0</v>
      </c>
      <c r="R91" s="9">
        <v>1997.0</v>
      </c>
      <c r="S91" s="9">
        <v>7.0</v>
      </c>
    </row>
    <row r="92" ht="15.75" customHeight="1">
      <c r="A92" s="17" t="s">
        <v>444</v>
      </c>
      <c r="B92" s="8" t="str">
        <f>IFERROR(__xludf.DUMMYFUNCTION("REGEXREPLACE(A92, ""[^0-9a-zA-Z .'Ã]"","""")"),"Michael Winterbottom")</f>
        <v>Michael Winterbottom</v>
      </c>
      <c r="C92" s="18">
        <v>71.0</v>
      </c>
      <c r="D92" s="19">
        <v>403932.0</v>
      </c>
      <c r="E92" s="18" t="s">
        <v>445</v>
      </c>
      <c r="F92" s="9">
        <f t="shared" si="1"/>
        <v>3</v>
      </c>
      <c r="G92" s="18" t="s">
        <v>65</v>
      </c>
      <c r="H92" s="11" t="str">
        <f>IFERROR(__xludf.DUMMYFUNCTION("REGEXREPLACE(G92, ""[^0-9a-zA-Z .'Ã]"","""")"),"Milla Jovovich")</f>
        <v>Milla Jovovich</v>
      </c>
      <c r="I92" s="20" t="s">
        <v>446</v>
      </c>
      <c r="J92" s="18">
        <v>5254.0</v>
      </c>
      <c r="K92" s="18" t="s">
        <v>447</v>
      </c>
      <c r="L92" s="18">
        <v>92.0</v>
      </c>
      <c r="M92" s="18" t="s">
        <v>24</v>
      </c>
      <c r="N92" s="18" t="s">
        <v>130</v>
      </c>
      <c r="O92" s="19">
        <v>2.0E7</v>
      </c>
      <c r="P92" s="10">
        <f t="shared" si="2"/>
        <v>0</v>
      </c>
      <c r="Q92" s="12">
        <f t="shared" si="3"/>
        <v>19596068</v>
      </c>
      <c r="R92" s="18">
        <v>2000.0</v>
      </c>
      <c r="S92" s="18">
        <v>6.5</v>
      </c>
    </row>
    <row r="93" ht="15.75" customHeight="1">
      <c r="A93" s="7" t="s">
        <v>448</v>
      </c>
      <c r="B93" s="8" t="str">
        <f>IFERROR(__xludf.DUMMYFUNCTION("REGEXREPLACE(A93, ""[^0-9a-zA-Z .'Ã]"","""")"),"James Wong")</f>
        <v>James Wong</v>
      </c>
      <c r="C93" s="9">
        <v>130.0</v>
      </c>
      <c r="D93" s="10">
        <v>9353573.0</v>
      </c>
      <c r="E93" s="9" t="s">
        <v>449</v>
      </c>
      <c r="F93" s="9">
        <f t="shared" si="1"/>
        <v>5</v>
      </c>
      <c r="G93" s="9" t="s">
        <v>450</v>
      </c>
      <c r="H93" s="11" t="str">
        <f>IFERROR(__xludf.DUMMYFUNCTION("REGEXREPLACE(G93, ""[^0-9a-zA-Z .'Ã]"","""")"),"Ian Whyte")</f>
        <v>Ian Whyte</v>
      </c>
      <c r="I93" s="11" t="s">
        <v>451</v>
      </c>
      <c r="J93" s="9">
        <v>56451.0</v>
      </c>
      <c r="K93" s="9" t="s">
        <v>452</v>
      </c>
      <c r="L93" s="9">
        <v>524.0</v>
      </c>
      <c r="M93" s="9" t="s">
        <v>24</v>
      </c>
      <c r="N93" s="9" t="s">
        <v>25</v>
      </c>
      <c r="O93" s="10">
        <v>4.5E7</v>
      </c>
      <c r="P93" s="10">
        <f t="shared" si="2"/>
        <v>0</v>
      </c>
      <c r="Q93" s="12">
        <f t="shared" si="3"/>
        <v>35646427</v>
      </c>
      <c r="R93" s="9">
        <v>2009.0</v>
      </c>
      <c r="S93" s="9">
        <v>2.7</v>
      </c>
    </row>
    <row r="94" ht="15.75" customHeight="1">
      <c r="A94" s="13" t="s">
        <v>453</v>
      </c>
      <c r="B94" s="8" t="str">
        <f>IFERROR(__xludf.DUMMYFUNCTION("REGEXREPLACE(A94, ""[^0-9a-zA-Z .'Ã]"","""")"),"Steve Buscemi")</f>
        <v>Steve Buscemi</v>
      </c>
      <c r="C94" s="14">
        <v>43.0</v>
      </c>
      <c r="D94" s="15">
        <v>695229.0</v>
      </c>
      <c r="E94" s="14" t="s">
        <v>454</v>
      </c>
      <c r="F94" s="9">
        <f t="shared" si="1"/>
        <v>2</v>
      </c>
      <c r="G94" s="14" t="s">
        <v>453</v>
      </c>
      <c r="H94" s="11" t="str">
        <f>IFERROR(__xludf.DUMMYFUNCTION("REGEXREPLACE(G94, ""[^0-9a-zA-Z .'Ã]"","""")"),"Steve Buscemi")</f>
        <v>Steve Buscemi</v>
      </c>
      <c r="I94" s="16" t="s">
        <v>455</v>
      </c>
      <c r="J94" s="14">
        <v>11369.0</v>
      </c>
      <c r="K94" s="14" t="s">
        <v>456</v>
      </c>
      <c r="L94" s="14">
        <v>65.0</v>
      </c>
      <c r="M94" s="14" t="s">
        <v>24</v>
      </c>
      <c r="N94" s="14" t="s">
        <v>25</v>
      </c>
      <c r="O94" s="15">
        <v>1300000.0</v>
      </c>
      <c r="P94" s="10">
        <f t="shared" si="2"/>
        <v>0</v>
      </c>
      <c r="Q94" s="12">
        <f t="shared" si="3"/>
        <v>604771</v>
      </c>
      <c r="R94" s="14">
        <v>1996.0</v>
      </c>
      <c r="S94" s="14">
        <v>7.2</v>
      </c>
    </row>
    <row r="95" ht="15.75" customHeight="1">
      <c r="A95" s="17" t="s">
        <v>457</v>
      </c>
      <c r="B95" s="8" t="str">
        <f>IFERROR(__xludf.DUMMYFUNCTION("REGEXREPLACE(A95, ""[^0-9a-zA-Z .'Ã]"","""")"),"Werner Herzog")</f>
        <v>Werner Herzog</v>
      </c>
      <c r="C95" s="18">
        <v>280.0</v>
      </c>
      <c r="D95" s="19">
        <v>1697956.0</v>
      </c>
      <c r="E95" s="18" t="s">
        <v>54</v>
      </c>
      <c r="F95" s="9">
        <f t="shared" si="1"/>
        <v>2</v>
      </c>
      <c r="G95" s="18" t="s">
        <v>458</v>
      </c>
      <c r="H95" s="11" t="str">
        <f>IFERROR(__xludf.DUMMYFUNCTION("REGEXREPLACE(G95, ""[^0-9a-zA-Z .'Ã]"","""")"),"Nicolas Cage")</f>
        <v>Nicolas Cage</v>
      </c>
      <c r="I95" s="20" t="s">
        <v>459</v>
      </c>
      <c r="J95" s="18">
        <v>64944.0</v>
      </c>
      <c r="K95" s="18" t="s">
        <v>460</v>
      </c>
      <c r="L95" s="18">
        <v>212.0</v>
      </c>
      <c r="M95" s="18" t="s">
        <v>24</v>
      </c>
      <c r="N95" s="18" t="s">
        <v>25</v>
      </c>
      <c r="O95" s="19">
        <v>2.0E7</v>
      </c>
      <c r="P95" s="10">
        <f t="shared" si="2"/>
        <v>0</v>
      </c>
      <c r="Q95" s="12">
        <f t="shared" si="3"/>
        <v>18302044</v>
      </c>
      <c r="R95" s="18">
        <v>2009.0</v>
      </c>
      <c r="S95" s="18">
        <v>6.7</v>
      </c>
    </row>
    <row r="96" ht="15.75" customHeight="1">
      <c r="A96" s="7" t="s">
        <v>461</v>
      </c>
      <c r="B96" s="8" t="str">
        <f>IFERROR(__xludf.DUMMYFUNCTION("REGEXREPLACE(A96, ""[^0-9a-zA-Z .'Ã]"","""")"),"Tom Hanks")</f>
        <v>Tom Hanks</v>
      </c>
      <c r="C96" s="9">
        <v>75.0</v>
      </c>
      <c r="D96" s="10">
        <v>2.5809813E7</v>
      </c>
      <c r="E96" s="9" t="s">
        <v>462</v>
      </c>
      <c r="F96" s="9">
        <f t="shared" si="1"/>
        <v>3</v>
      </c>
      <c r="G96" s="9" t="s">
        <v>461</v>
      </c>
      <c r="H96" s="11" t="str">
        <f>IFERROR(__xludf.DUMMYFUNCTION("REGEXREPLACE(G96, ""[^0-9a-zA-Z .'Ã]"","""")"),"Tom Hanks")</f>
        <v>Tom Hanks</v>
      </c>
      <c r="I96" s="11" t="s">
        <v>463</v>
      </c>
      <c r="J96" s="9">
        <v>50311.0</v>
      </c>
      <c r="K96" s="9" t="s">
        <v>464</v>
      </c>
      <c r="L96" s="9">
        <v>212.0</v>
      </c>
      <c r="M96" s="9" t="s">
        <v>24</v>
      </c>
      <c r="N96" s="9" t="s">
        <v>25</v>
      </c>
      <c r="O96" s="10">
        <v>2.6E7</v>
      </c>
      <c r="P96" s="10">
        <f t="shared" si="2"/>
        <v>0</v>
      </c>
      <c r="Q96" s="12">
        <f t="shared" si="3"/>
        <v>190187</v>
      </c>
      <c r="R96" s="9">
        <v>1996.0</v>
      </c>
      <c r="S96" s="9">
        <v>6.9</v>
      </c>
    </row>
    <row r="97" ht="15.75" customHeight="1">
      <c r="A97" s="7" t="s">
        <v>465</v>
      </c>
      <c r="B97" s="8" t="str">
        <f>IFERROR(__xludf.DUMMYFUNCTION("REGEXREPLACE(A97, ""[^0-9a-zA-Z .'Ã]"","""")"),"Richard Loncraine")</f>
        <v>Richard Loncraine</v>
      </c>
      <c r="C97" s="9">
        <v>171.0</v>
      </c>
      <c r="D97" s="10">
        <v>4.874515E7</v>
      </c>
      <c r="E97" s="9" t="s">
        <v>316</v>
      </c>
      <c r="F97" s="9">
        <f t="shared" si="1"/>
        <v>2</v>
      </c>
      <c r="G97" s="9" t="s">
        <v>466</v>
      </c>
      <c r="H97" s="11" t="str">
        <f>IFERROR(__xludf.DUMMYFUNCTION("REGEXREPLACE(G97, ""[^0-9a-zA-Z .'Ã]"","""")"),"Jimmy Bennett")</f>
        <v>Jimmy Bennett</v>
      </c>
      <c r="I97" s="11" t="s">
        <v>467</v>
      </c>
      <c r="J97" s="9">
        <v>50170.0</v>
      </c>
      <c r="K97" s="9" t="s">
        <v>468</v>
      </c>
      <c r="L97" s="9">
        <v>306.0</v>
      </c>
      <c r="M97" s="9" t="s">
        <v>24</v>
      </c>
      <c r="N97" s="9" t="s">
        <v>25</v>
      </c>
      <c r="O97" s="10">
        <v>5.0E7</v>
      </c>
      <c r="P97" s="10">
        <f t="shared" si="2"/>
        <v>0</v>
      </c>
      <c r="Q97" s="12">
        <f t="shared" si="3"/>
        <v>1254850</v>
      </c>
      <c r="R97" s="9">
        <v>2006.0</v>
      </c>
      <c r="S97" s="9">
        <v>5.8</v>
      </c>
    </row>
    <row r="98" ht="15.75" customHeight="1">
      <c r="A98" s="13" t="s">
        <v>469</v>
      </c>
      <c r="B98" s="8" t="str">
        <f>IFERROR(__xludf.DUMMYFUNCTION("REGEXREPLACE(A98, ""[^0-9a-zA-Z .'Ã]"","""")"),"Wes Anderson")</f>
        <v>Wes Anderson</v>
      </c>
      <c r="C98" s="14">
        <v>179.0</v>
      </c>
      <c r="D98" s="15">
        <v>1.7096053E7</v>
      </c>
      <c r="E98" s="14" t="s">
        <v>454</v>
      </c>
      <c r="F98" s="9">
        <f t="shared" si="1"/>
        <v>2</v>
      </c>
      <c r="G98" s="14" t="s">
        <v>470</v>
      </c>
      <c r="H98" s="11" t="str">
        <f>IFERROR(__xludf.DUMMYFUNCTION("REGEXREPLACE(G98, ""[^0-9a-zA-Z .'Ã]"","""")"),"Bill Murray")</f>
        <v>Bill Murray</v>
      </c>
      <c r="I98" s="16" t="s">
        <v>471</v>
      </c>
      <c r="J98" s="14">
        <v>134458.0</v>
      </c>
      <c r="K98" s="14" t="s">
        <v>472</v>
      </c>
      <c r="L98" s="14">
        <v>640.0</v>
      </c>
      <c r="M98" s="14" t="s">
        <v>24</v>
      </c>
      <c r="N98" s="14" t="s">
        <v>25</v>
      </c>
      <c r="O98" s="15">
        <v>9000000.0</v>
      </c>
      <c r="P98" s="10">
        <f t="shared" si="2"/>
        <v>8096053</v>
      </c>
      <c r="Q98" s="12">
        <f t="shared" si="3"/>
        <v>0</v>
      </c>
      <c r="R98" s="14">
        <v>1998.0</v>
      </c>
      <c r="S98" s="14">
        <v>7.7</v>
      </c>
    </row>
    <row r="99" ht="15.75" customHeight="1">
      <c r="A99" s="17" t="s">
        <v>473</v>
      </c>
      <c r="B99" s="8" t="str">
        <f>IFERROR(__xludf.DUMMYFUNCTION("REGEXREPLACE(A99, ""[^0-9a-zA-Z .'Ã]"","""")"),"John McTiernan")</f>
        <v>John McTiernan</v>
      </c>
      <c r="C99" s="18">
        <v>104.0</v>
      </c>
      <c r="D99" s="19">
        <v>1.22012643E8</v>
      </c>
      <c r="E99" s="18" t="s">
        <v>474</v>
      </c>
      <c r="F99" s="9">
        <f t="shared" si="1"/>
        <v>3</v>
      </c>
      <c r="G99" s="18" t="s">
        <v>475</v>
      </c>
      <c r="H99" s="11" t="str">
        <f>IFERROR(__xludf.DUMMYFUNCTION("REGEXREPLACE(G99, ""[^0-9a-zA-Z .'Ã]"","""")"),"Scott Glenn")</f>
        <v>Scott Glenn</v>
      </c>
      <c r="I99" s="20" t="s">
        <v>476</v>
      </c>
      <c r="J99" s="18">
        <v>143696.0</v>
      </c>
      <c r="K99" s="18" t="s">
        <v>477</v>
      </c>
      <c r="L99" s="18">
        <v>241.0</v>
      </c>
      <c r="M99" s="18" t="s">
        <v>24</v>
      </c>
      <c r="N99" s="18" t="s">
        <v>25</v>
      </c>
      <c r="O99" s="19">
        <v>3.0E7</v>
      </c>
      <c r="P99" s="10">
        <f t="shared" si="2"/>
        <v>92012643</v>
      </c>
      <c r="Q99" s="12">
        <f t="shared" si="3"/>
        <v>0</v>
      </c>
      <c r="R99" s="18">
        <v>1990.0</v>
      </c>
      <c r="S99" s="18">
        <v>7.6</v>
      </c>
    </row>
    <row r="100" ht="15.75" customHeight="1">
      <c r="A100" s="13" t="s">
        <v>478</v>
      </c>
      <c r="B100" s="8" t="str">
        <f>IFERROR(__xludf.DUMMYFUNCTION("REGEXREPLACE(A100, ""[^0-9a-zA-Z .'Ã]"","""")"),"Tommy Wirkola")</f>
        <v>Tommy Wirkola</v>
      </c>
      <c r="C100" s="14">
        <v>349.0</v>
      </c>
      <c r="D100" s="15">
        <v>5.568207E7</v>
      </c>
      <c r="E100" s="14" t="s">
        <v>479</v>
      </c>
      <c r="F100" s="9">
        <f t="shared" si="1"/>
        <v>3</v>
      </c>
      <c r="G100" s="14" t="s">
        <v>480</v>
      </c>
      <c r="H100" s="11" t="str">
        <f>IFERROR(__xludf.DUMMYFUNCTION("REGEXREPLACE(G100, ""[^0-9a-zA-Z .'Ã]"","""")"),"Jeremy Renner")</f>
        <v>Jeremy Renner</v>
      </c>
      <c r="I100" s="16" t="s">
        <v>481</v>
      </c>
      <c r="J100" s="14">
        <v>159868.0</v>
      </c>
      <c r="K100" s="14" t="s">
        <v>482</v>
      </c>
      <c r="L100" s="14">
        <v>304.0</v>
      </c>
      <c r="M100" s="14" t="s">
        <v>24</v>
      </c>
      <c r="N100" s="14" t="s">
        <v>173</v>
      </c>
      <c r="O100" s="15">
        <v>5.0E7</v>
      </c>
      <c r="P100" s="10">
        <f t="shared" si="2"/>
        <v>5682070</v>
      </c>
      <c r="Q100" s="12">
        <f t="shared" si="3"/>
        <v>0</v>
      </c>
      <c r="R100" s="14">
        <v>2013.0</v>
      </c>
      <c r="S100" s="14">
        <v>6.1</v>
      </c>
    </row>
    <row r="101" ht="15.75" customHeight="1">
      <c r="A101" s="7" t="s">
        <v>483</v>
      </c>
      <c r="B101" s="8" t="str">
        <f>IFERROR(__xludf.DUMMYFUNCTION("REGEXREPLACE(A101, ""[^0-9a-zA-Z .'Ã]"","""")"),"Kevin Spacey")</f>
        <v>Kevin Spacey</v>
      </c>
      <c r="C101" s="9">
        <v>37.0</v>
      </c>
      <c r="D101" s="10">
        <v>326308.0</v>
      </c>
      <c r="E101" s="9" t="s">
        <v>113</v>
      </c>
      <c r="F101" s="9">
        <f t="shared" si="1"/>
        <v>3</v>
      </c>
      <c r="G101" s="9" t="s">
        <v>484</v>
      </c>
      <c r="H101" s="11" t="str">
        <f>IFERROR(__xludf.DUMMYFUNCTION("REGEXREPLACE(G101, ""[^0-9a-zA-Z .'Ã]"","""")"),"Viggo Mortensen")</f>
        <v>Viggo Mortensen</v>
      </c>
      <c r="I101" s="11" t="s">
        <v>485</v>
      </c>
      <c r="J101" s="9">
        <v>6632.0</v>
      </c>
      <c r="K101" s="9" t="s">
        <v>486</v>
      </c>
      <c r="L101" s="9">
        <v>69.0</v>
      </c>
      <c r="M101" s="9" t="s">
        <v>24</v>
      </c>
      <c r="N101" s="9" t="s">
        <v>25</v>
      </c>
      <c r="O101" s="10">
        <v>5000000.0</v>
      </c>
      <c r="P101" s="10">
        <f t="shared" si="2"/>
        <v>0</v>
      </c>
      <c r="Q101" s="12">
        <f t="shared" si="3"/>
        <v>4673692</v>
      </c>
      <c r="R101" s="9">
        <v>1996.0</v>
      </c>
      <c r="S101" s="9">
        <v>6.1</v>
      </c>
    </row>
    <row r="102" ht="15.75" customHeight="1">
      <c r="A102" s="17" t="s">
        <v>487</v>
      </c>
      <c r="B102" s="8" t="str">
        <f>IFERROR(__xludf.DUMMYFUNCTION("REGEXREPLACE(A102, ""[^0-9a-zA-Z .'Ã]"","""")"),"Eddie O'Flaherty")</f>
        <v>Eddie O'Flaherty</v>
      </c>
      <c r="C102" s="18">
        <v>13.0</v>
      </c>
      <c r="D102" s="19">
        <v>5199.0</v>
      </c>
      <c r="E102" s="18" t="s">
        <v>132</v>
      </c>
      <c r="F102" s="9">
        <f t="shared" si="1"/>
        <v>2</v>
      </c>
      <c r="G102" s="18" t="s">
        <v>488</v>
      </c>
      <c r="H102" s="11" t="str">
        <f>IFERROR(__xludf.DUMMYFUNCTION("REGEXREPLACE(G102, ""[^0-9a-zA-Z .'Ã]"","""")"),"Don Wallace")</f>
        <v>Don Wallace</v>
      </c>
      <c r="I102" s="20" t="s">
        <v>489</v>
      </c>
      <c r="J102" s="18">
        <v>720.0</v>
      </c>
      <c r="K102" s="18" t="s">
        <v>490</v>
      </c>
      <c r="L102" s="18">
        <v>23.0</v>
      </c>
      <c r="M102" s="18" t="s">
        <v>24</v>
      </c>
      <c r="N102" s="18" t="s">
        <v>25</v>
      </c>
      <c r="O102" s="19">
        <v>200000.0</v>
      </c>
      <c r="P102" s="10">
        <f t="shared" si="2"/>
        <v>0</v>
      </c>
      <c r="Q102" s="12">
        <f t="shared" si="3"/>
        <v>194801</v>
      </c>
      <c r="R102" s="18">
        <v>2004.0</v>
      </c>
      <c r="S102" s="18">
        <v>6.6</v>
      </c>
    </row>
    <row r="103" ht="15.75" customHeight="1">
      <c r="A103" s="7" t="s">
        <v>491</v>
      </c>
      <c r="B103" s="8" t="str">
        <f>IFERROR(__xludf.DUMMYFUNCTION("REGEXREPLACE(A103, ""[^0-9a-zA-Z .'Ã]"","""")"),"Chuck Russell")</f>
        <v>Chuck Russell</v>
      </c>
      <c r="C103" s="9">
        <v>57.0</v>
      </c>
      <c r="D103" s="10">
        <v>1.1993873E8</v>
      </c>
      <c r="E103" s="9" t="s">
        <v>492</v>
      </c>
      <c r="F103" s="9">
        <f t="shared" si="1"/>
        <v>4</v>
      </c>
      <c r="G103" s="9" t="s">
        <v>493</v>
      </c>
      <c r="H103" s="11" t="str">
        <f>IFERROR(__xludf.DUMMYFUNCTION("REGEXREPLACE(G103, ""[^0-9a-zA-Z .'Ã]"","""")"),"Peter Greene")</f>
        <v>Peter Greene</v>
      </c>
      <c r="I103" s="11" t="s">
        <v>494</v>
      </c>
      <c r="J103" s="9">
        <v>265818.0</v>
      </c>
      <c r="K103" s="9" t="s">
        <v>495</v>
      </c>
      <c r="L103" s="9">
        <v>213.0</v>
      </c>
      <c r="M103" s="9" t="s">
        <v>24</v>
      </c>
      <c r="N103" s="9" t="s">
        <v>25</v>
      </c>
      <c r="O103" s="10">
        <v>1.8E7</v>
      </c>
      <c r="P103" s="10">
        <f t="shared" si="2"/>
        <v>101938730</v>
      </c>
      <c r="Q103" s="12">
        <f t="shared" si="3"/>
        <v>0</v>
      </c>
      <c r="R103" s="9">
        <v>1994.0</v>
      </c>
      <c r="S103" s="9">
        <v>6.9</v>
      </c>
    </row>
    <row r="104" ht="15.75" customHeight="1">
      <c r="A104" s="13" t="s">
        <v>496</v>
      </c>
      <c r="B104" s="8" t="str">
        <f>IFERROR(__xludf.DUMMYFUNCTION("REGEXREPLACE(A104, ""[^0-9a-zA-Z .'Ã]"","""")"),"Fred Wolf")</f>
        <v>Fred Wolf</v>
      </c>
      <c r="C104" s="14">
        <v>129.0</v>
      </c>
      <c r="D104" s="15">
        <v>4.8237389E7</v>
      </c>
      <c r="E104" s="14" t="s">
        <v>89</v>
      </c>
      <c r="F104" s="9">
        <f t="shared" si="1"/>
        <v>2</v>
      </c>
      <c r="G104" s="14" t="s">
        <v>497</v>
      </c>
      <c r="H104" s="11" t="str">
        <f>IFERROR(__xludf.DUMMYFUNCTION("REGEXREPLACE(G104, ""[^0-9a-zA-Z .'Ã]"","""")"),"Emma Stone")</f>
        <v>Emma Stone</v>
      </c>
      <c r="I104" s="16" t="s">
        <v>498</v>
      </c>
      <c r="J104" s="14">
        <v>63969.0</v>
      </c>
      <c r="K104" s="14" t="s">
        <v>499</v>
      </c>
      <c r="L104" s="14">
        <v>126.0</v>
      </c>
      <c r="M104" s="14" t="s">
        <v>24</v>
      </c>
      <c r="N104" s="14" t="s">
        <v>25</v>
      </c>
      <c r="O104" s="15">
        <v>2.5E7</v>
      </c>
      <c r="P104" s="10">
        <f t="shared" si="2"/>
        <v>23237389</v>
      </c>
      <c r="Q104" s="12">
        <f t="shared" si="3"/>
        <v>0</v>
      </c>
      <c r="R104" s="14">
        <v>2008.0</v>
      </c>
      <c r="S104" s="14">
        <v>5.5</v>
      </c>
    </row>
    <row r="105" ht="15.75" customHeight="1">
      <c r="A105" s="7" t="s">
        <v>500</v>
      </c>
      <c r="B105" s="8" t="str">
        <f>IFERROR(__xludf.DUMMYFUNCTION("REGEXREPLACE(A105, ""[^0-9a-zA-Z .'Ã]"","""")"),"Brian Helgeland")</f>
        <v>Brian Helgeland</v>
      </c>
      <c r="C105" s="9">
        <v>143.0</v>
      </c>
      <c r="D105" s="10">
        <v>8.1517441E7</v>
      </c>
      <c r="E105" s="9" t="s">
        <v>501</v>
      </c>
      <c r="F105" s="9">
        <f t="shared" si="1"/>
        <v>4</v>
      </c>
      <c r="G105" s="9" t="s">
        <v>502</v>
      </c>
      <c r="H105" s="11" t="str">
        <f>IFERROR(__xludf.DUMMYFUNCTION("REGEXREPLACE(G105, ""[^0-9a-zA-Z .'Ã]"","""")"),"Bill Duke")</f>
        <v>Bill Duke</v>
      </c>
      <c r="I105" s="11" t="s">
        <v>503</v>
      </c>
      <c r="J105" s="9">
        <v>111368.0</v>
      </c>
      <c r="K105" s="9" t="s">
        <v>504</v>
      </c>
      <c r="L105" s="9">
        <v>394.0</v>
      </c>
      <c r="M105" s="9" t="s">
        <v>24</v>
      </c>
      <c r="N105" s="9" t="s">
        <v>25</v>
      </c>
      <c r="O105" s="10">
        <v>5.0E7</v>
      </c>
      <c r="P105" s="10">
        <f t="shared" si="2"/>
        <v>31517441</v>
      </c>
      <c r="Q105" s="12">
        <f t="shared" si="3"/>
        <v>0</v>
      </c>
      <c r="R105" s="9">
        <v>1999.0</v>
      </c>
      <c r="S105" s="9">
        <v>7.1</v>
      </c>
    </row>
    <row r="106" ht="15.75" customHeight="1">
      <c r="A106" s="13" t="s">
        <v>505</v>
      </c>
      <c r="B106" s="8" t="str">
        <f>IFERROR(__xludf.DUMMYFUNCTION("REGEXREPLACE(A106, ""[^0-9a-zA-Z .'Ã]"","""")"),"Jon Favreau")</f>
        <v>Jon Favreau</v>
      </c>
      <c r="C106" s="14">
        <v>370.0</v>
      </c>
      <c r="D106" s="15">
        <v>3.62645141E8</v>
      </c>
      <c r="E106" s="14" t="s">
        <v>506</v>
      </c>
      <c r="F106" s="9">
        <f t="shared" si="1"/>
        <v>4</v>
      </c>
      <c r="G106" s="14" t="s">
        <v>436</v>
      </c>
      <c r="H106" s="11" t="str">
        <f>IFERROR(__xludf.DUMMYFUNCTION("REGEXREPLACE(G106, ""[^0-9a-zA-Z .'Ã]"","""")"),"Scarlett Johansson")</f>
        <v>Scarlett Johansson</v>
      </c>
      <c r="I106" s="16" t="s">
        <v>507</v>
      </c>
      <c r="J106" s="14">
        <v>106221.0</v>
      </c>
      <c r="K106" s="14" t="s">
        <v>508</v>
      </c>
      <c r="L106" s="14">
        <v>398.0</v>
      </c>
      <c r="M106" s="14" t="s">
        <v>24</v>
      </c>
      <c r="N106" s="14" t="s">
        <v>130</v>
      </c>
      <c r="O106" s="15">
        <v>1.75E8</v>
      </c>
      <c r="P106" s="10">
        <f t="shared" si="2"/>
        <v>187645141</v>
      </c>
      <c r="Q106" s="12">
        <f t="shared" si="3"/>
        <v>0</v>
      </c>
      <c r="R106" s="14">
        <v>2016.0</v>
      </c>
      <c r="S106" s="14">
        <v>7.8</v>
      </c>
    </row>
    <row r="107" ht="15.75" customHeight="1">
      <c r="A107" s="17" t="s">
        <v>509</v>
      </c>
      <c r="B107" s="8" t="str">
        <f>IFERROR(__xludf.DUMMYFUNCTION("REGEXREPLACE(A107, ""[^0-9a-zA-Z .'Ã]"","""")"),"Todd Graff")</f>
        <v>Todd Graff</v>
      </c>
      <c r="C107" s="18">
        <v>98.0</v>
      </c>
      <c r="D107" s="19">
        <v>3.0920167E7</v>
      </c>
      <c r="E107" s="18" t="s">
        <v>321</v>
      </c>
      <c r="F107" s="9">
        <f t="shared" si="1"/>
        <v>2</v>
      </c>
      <c r="G107" s="18" t="s">
        <v>510</v>
      </c>
      <c r="H107" s="11" t="str">
        <f>IFERROR(__xludf.DUMMYFUNCTION("REGEXREPLACE(G107, ""[^0-9a-zA-Z .'Ã]"","""")"),"Dolly Parton")</f>
        <v>Dolly Parton</v>
      </c>
      <c r="I107" s="20" t="s">
        <v>511</v>
      </c>
      <c r="J107" s="18">
        <v>6476.0</v>
      </c>
      <c r="K107" s="18" t="s">
        <v>512</v>
      </c>
      <c r="L107" s="18">
        <v>71.0</v>
      </c>
      <c r="M107" s="18" t="s">
        <v>24</v>
      </c>
      <c r="N107" s="18" t="s">
        <v>25</v>
      </c>
      <c r="O107" s="19">
        <v>2.5E7</v>
      </c>
      <c r="P107" s="10">
        <f t="shared" si="2"/>
        <v>5920167</v>
      </c>
      <c r="Q107" s="12">
        <f t="shared" si="3"/>
        <v>0</v>
      </c>
      <c r="R107" s="18">
        <v>2012.0</v>
      </c>
      <c r="S107" s="18">
        <v>5.7</v>
      </c>
    </row>
    <row r="108" ht="15.75" customHeight="1">
      <c r="A108" s="7" t="s">
        <v>513</v>
      </c>
      <c r="B108" s="8" t="str">
        <f>IFERROR(__xludf.DUMMYFUNCTION("REGEXREPLACE(A108, ""[^0-9a-zA-Z .'Ã]"","""")"),"Mark Waters")</f>
        <v>Mark Waters</v>
      </c>
      <c r="C108" s="9">
        <v>189.0</v>
      </c>
      <c r="D108" s="10">
        <v>6.8218041E7</v>
      </c>
      <c r="E108" s="9" t="s">
        <v>514</v>
      </c>
      <c r="F108" s="9">
        <f t="shared" si="1"/>
        <v>3</v>
      </c>
      <c r="G108" s="9" t="s">
        <v>515</v>
      </c>
      <c r="H108" s="11" t="str">
        <f>IFERROR(__xludf.DUMMYFUNCTION("REGEXREPLACE(G108, ""[^0-9a-zA-Z .'Ã]"","""")"),"Madeline Carroll")</f>
        <v>Madeline Carroll</v>
      </c>
      <c r="I108" s="11" t="s">
        <v>516</v>
      </c>
      <c r="J108" s="9">
        <v>67191.0</v>
      </c>
      <c r="K108" s="9" t="s">
        <v>517</v>
      </c>
      <c r="L108" s="9">
        <v>108.0</v>
      </c>
      <c r="M108" s="9" t="s">
        <v>24</v>
      </c>
      <c r="N108" s="9" t="s">
        <v>25</v>
      </c>
      <c r="O108" s="10">
        <v>5.5E7</v>
      </c>
      <c r="P108" s="10">
        <f t="shared" si="2"/>
        <v>13218041</v>
      </c>
      <c r="Q108" s="12">
        <f t="shared" si="3"/>
        <v>0</v>
      </c>
      <c r="R108" s="9">
        <v>2011.0</v>
      </c>
      <c r="S108" s="9">
        <v>6.0</v>
      </c>
    </row>
    <row r="109" ht="15.75" customHeight="1">
      <c r="A109" s="17" t="s">
        <v>518</v>
      </c>
      <c r="B109" s="8" t="str">
        <f>IFERROR(__xludf.DUMMYFUNCTION("REGEXREPLACE(A109, ""[^0-9a-zA-Z .'Ã]"","""")"),"Tim Robbins")</f>
        <v>Tim Robbins</v>
      </c>
      <c r="C109" s="18">
        <v>70.0</v>
      </c>
      <c r="D109" s="19">
        <v>2899970.0</v>
      </c>
      <c r="E109" s="18" t="s">
        <v>103</v>
      </c>
      <c r="F109" s="9">
        <f t="shared" si="1"/>
        <v>1</v>
      </c>
      <c r="G109" s="18" t="s">
        <v>470</v>
      </c>
      <c r="H109" s="11" t="str">
        <f>IFERROR(__xludf.DUMMYFUNCTION("REGEXREPLACE(G109, ""[^0-9a-zA-Z .'Ã]"","""")"),"Bill Murray")</f>
        <v>Bill Murray</v>
      </c>
      <c r="I109" s="20" t="s">
        <v>519</v>
      </c>
      <c r="J109" s="18">
        <v>8039.0</v>
      </c>
      <c r="K109" s="18" t="s">
        <v>520</v>
      </c>
      <c r="L109" s="18">
        <v>161.0</v>
      </c>
      <c r="M109" s="18" t="s">
        <v>24</v>
      </c>
      <c r="N109" s="18" t="s">
        <v>25</v>
      </c>
      <c r="O109" s="19">
        <v>3.2E7</v>
      </c>
      <c r="P109" s="10">
        <f t="shared" si="2"/>
        <v>0</v>
      </c>
      <c r="Q109" s="12">
        <f t="shared" si="3"/>
        <v>29100030</v>
      </c>
      <c r="R109" s="18">
        <v>1999.0</v>
      </c>
      <c r="S109" s="18">
        <v>6.9</v>
      </c>
    </row>
    <row r="110" ht="15.75" customHeight="1">
      <c r="A110" s="7" t="s">
        <v>521</v>
      </c>
      <c r="B110" s="8" t="str">
        <f>IFERROR(__xludf.DUMMYFUNCTION("REGEXREPLACE(A110, ""[^0-9a-zA-Z .'Ã]"","""")"),"Phillip Noyce")</f>
        <v>Phillip Noyce</v>
      </c>
      <c r="C110" s="9">
        <v>149.0</v>
      </c>
      <c r="D110" s="10">
        <v>1.2987647E7</v>
      </c>
      <c r="E110" s="9" t="s">
        <v>522</v>
      </c>
      <c r="F110" s="9">
        <f t="shared" si="1"/>
        <v>5</v>
      </c>
      <c r="G110" s="9" t="s">
        <v>21</v>
      </c>
      <c r="H110" s="11" t="str">
        <f>IFERROR(__xludf.DUMMYFUNCTION("REGEXREPLACE(G110, ""[^0-9a-zA-Z .'Ã]"","""")"),"Brendan Fraser")</f>
        <v>Brendan Fraser</v>
      </c>
      <c r="I110" s="11" t="s">
        <v>523</v>
      </c>
      <c r="J110" s="9">
        <v>24019.0</v>
      </c>
      <c r="K110" s="9" t="s">
        <v>524</v>
      </c>
      <c r="L110" s="9">
        <v>199.0</v>
      </c>
      <c r="M110" s="9" t="s">
        <v>24</v>
      </c>
      <c r="N110" s="9" t="s">
        <v>130</v>
      </c>
      <c r="O110" s="10">
        <v>3.0E7</v>
      </c>
      <c r="P110" s="10">
        <f t="shared" si="2"/>
        <v>0</v>
      </c>
      <c r="Q110" s="12">
        <f t="shared" si="3"/>
        <v>17012353</v>
      </c>
      <c r="R110" s="9">
        <v>2002.0</v>
      </c>
      <c r="S110" s="9">
        <v>7.1</v>
      </c>
    </row>
    <row r="111" ht="15.75" customHeight="1">
      <c r="A111" s="13" t="s">
        <v>525</v>
      </c>
      <c r="B111" s="8" t="str">
        <f>IFERROR(__xludf.DUMMYFUNCTION("REGEXREPLACE(A111, ""[^0-9a-zA-Z .'Ã]"","""")"),"Raymond De Felitta")</f>
        <v>Raymond De Felitta</v>
      </c>
      <c r="C111" s="14">
        <v>149.0</v>
      </c>
      <c r="D111" s="15">
        <v>6670712.0</v>
      </c>
      <c r="E111" s="14" t="s">
        <v>454</v>
      </c>
      <c r="F111" s="9">
        <f t="shared" si="1"/>
        <v>2</v>
      </c>
      <c r="G111" s="14" t="s">
        <v>526</v>
      </c>
      <c r="H111" s="11" t="str">
        <f>IFERROR(__xludf.DUMMYFUNCTION("REGEXREPLACE(G111, ""[^0-9a-zA-Z .'Ã]"","""")"),"Ezra Miller")</f>
        <v>Ezra Miller</v>
      </c>
      <c r="I111" s="16" t="s">
        <v>527</v>
      </c>
      <c r="J111" s="14">
        <v>27301.0</v>
      </c>
      <c r="K111" s="14" t="s">
        <v>528</v>
      </c>
      <c r="L111" s="14">
        <v>101.0</v>
      </c>
      <c r="M111" s="14" t="s">
        <v>24</v>
      </c>
      <c r="N111" s="14" t="s">
        <v>25</v>
      </c>
      <c r="O111" s="15">
        <v>6000000.0</v>
      </c>
      <c r="P111" s="10">
        <f t="shared" si="2"/>
        <v>670712</v>
      </c>
      <c r="Q111" s="12">
        <f t="shared" si="3"/>
        <v>0</v>
      </c>
      <c r="R111" s="14">
        <v>2009.0</v>
      </c>
      <c r="S111" s="14">
        <v>7.4</v>
      </c>
    </row>
    <row r="112" ht="15.75" customHeight="1">
      <c r="A112" s="7" t="s">
        <v>529</v>
      </c>
      <c r="B112" s="8" t="str">
        <f>IFERROR(__xludf.DUMMYFUNCTION("REGEXREPLACE(A112, ""[^0-9a-zA-Z .'Ã]"","""")"),"Joel Schumacher")</f>
        <v>Joel Schumacher</v>
      </c>
      <c r="C112" s="9">
        <v>144.0</v>
      </c>
      <c r="D112" s="10">
        <v>1.84031112E8</v>
      </c>
      <c r="E112" s="9" t="s">
        <v>278</v>
      </c>
      <c r="F112" s="9">
        <f t="shared" si="1"/>
        <v>3</v>
      </c>
      <c r="G112" s="9" t="s">
        <v>181</v>
      </c>
      <c r="H112" s="11" t="str">
        <f>IFERROR(__xludf.DUMMYFUNCTION("REGEXREPLACE(G112, ""[^0-9a-zA-Z .'Ã]"","""")"),"Michael Gough")</f>
        <v>Michael Gough</v>
      </c>
      <c r="I112" s="11" t="s">
        <v>530</v>
      </c>
      <c r="J112" s="9">
        <v>190786.0</v>
      </c>
      <c r="K112" s="9" t="s">
        <v>531</v>
      </c>
      <c r="L112" s="9">
        <v>539.0</v>
      </c>
      <c r="M112" s="9" t="s">
        <v>24</v>
      </c>
      <c r="N112" s="9" t="s">
        <v>25</v>
      </c>
      <c r="O112" s="10">
        <v>1.0E8</v>
      </c>
      <c r="P112" s="10">
        <f t="shared" si="2"/>
        <v>84031112</v>
      </c>
      <c r="Q112" s="12">
        <f t="shared" si="3"/>
        <v>0</v>
      </c>
      <c r="R112" s="9">
        <v>1995.0</v>
      </c>
      <c r="S112" s="9">
        <v>5.4</v>
      </c>
    </row>
    <row r="113" ht="15.75" customHeight="1">
      <c r="A113" s="7" t="s">
        <v>532</v>
      </c>
      <c r="B113" s="8" t="str">
        <f>IFERROR(__xludf.DUMMYFUNCTION("REGEXREPLACE(A113, ""[^0-9a-zA-Z .'Ã]"","""")"),"Donald Petrie")</f>
        <v>Donald Petrie</v>
      </c>
      <c r="C113" s="9">
        <v>34.0</v>
      </c>
      <c r="D113" s="10">
        <v>1.2793213E7</v>
      </c>
      <c r="E113" s="9" t="s">
        <v>159</v>
      </c>
      <c r="F113" s="9">
        <f t="shared" si="1"/>
        <v>3</v>
      </c>
      <c r="G113" s="9" t="s">
        <v>533</v>
      </c>
      <c r="H113" s="11" t="str">
        <f>IFERROR(__xludf.DUMMYFUNCTION("REGEXREPLACE(G113, ""[^0-9a-zA-Z .'Ã]"","""")"),"Julia Roberts")</f>
        <v>Julia Roberts</v>
      </c>
      <c r="I113" s="11" t="s">
        <v>534</v>
      </c>
      <c r="J113" s="9">
        <v>18286.0</v>
      </c>
      <c r="K113" s="9" t="s">
        <v>535</v>
      </c>
      <c r="L113" s="9">
        <v>73.0</v>
      </c>
      <c r="M113" s="9" t="s">
        <v>24</v>
      </c>
      <c r="N113" s="9" t="s">
        <v>25</v>
      </c>
      <c r="O113" s="10">
        <v>6000000.0</v>
      </c>
      <c r="P113" s="10">
        <f t="shared" si="2"/>
        <v>6793213</v>
      </c>
      <c r="Q113" s="12">
        <f t="shared" si="3"/>
        <v>0</v>
      </c>
      <c r="R113" s="9">
        <v>1988.0</v>
      </c>
      <c r="S113" s="9">
        <v>6.2</v>
      </c>
    </row>
    <row r="114" ht="15.75" customHeight="1">
      <c r="A114" s="17" t="s">
        <v>536</v>
      </c>
      <c r="B114" s="8" t="str">
        <f>IFERROR(__xludf.DUMMYFUNCTION("REGEXREPLACE(A114, ""[^0-9a-zA-Z .'Ã]"","""")"),"Robert Zemeckis")</f>
        <v>Robert Zemeckis</v>
      </c>
      <c r="C114" s="18">
        <v>287.0</v>
      </c>
      <c r="D114" s="19">
        <v>8.2161969E7</v>
      </c>
      <c r="E114" s="18" t="s">
        <v>537</v>
      </c>
      <c r="F114" s="9">
        <f t="shared" si="1"/>
        <v>4</v>
      </c>
      <c r="G114" s="18" t="s">
        <v>233</v>
      </c>
      <c r="H114" s="11" t="str">
        <f>IFERROR(__xludf.DUMMYFUNCTION("REGEXREPLACE(G114, ""[^0-9a-zA-Z .'Ã]"","""")"),"Robin Wright")</f>
        <v>Robin Wright</v>
      </c>
      <c r="I114" s="20" t="s">
        <v>538</v>
      </c>
      <c r="J114" s="18">
        <v>142440.0</v>
      </c>
      <c r="K114" s="18" t="s">
        <v>539</v>
      </c>
      <c r="L114" s="18">
        <v>505.0</v>
      </c>
      <c r="M114" s="18" t="s">
        <v>24</v>
      </c>
      <c r="N114" s="18" t="s">
        <v>25</v>
      </c>
      <c r="O114" s="19">
        <v>1.5E8</v>
      </c>
      <c r="P114" s="10">
        <f t="shared" si="2"/>
        <v>0</v>
      </c>
      <c r="Q114" s="12">
        <f t="shared" si="3"/>
        <v>67838031</v>
      </c>
      <c r="R114" s="18">
        <v>2007.0</v>
      </c>
      <c r="S114" s="18">
        <v>6.3</v>
      </c>
    </row>
    <row r="115" ht="15.75" customHeight="1">
      <c r="A115" s="17" t="s">
        <v>540</v>
      </c>
      <c r="B115" s="8" t="str">
        <f>IFERROR(__xludf.DUMMYFUNCTION("REGEXREPLACE(A115, ""[^0-9a-zA-Z .'Ã]"","""")"),"Doug Lefler")</f>
        <v>Doug Lefler</v>
      </c>
      <c r="C115" s="18">
        <v>90.0</v>
      </c>
      <c r="D115" s="19">
        <v>5932060.0</v>
      </c>
      <c r="E115" s="18" t="s">
        <v>541</v>
      </c>
      <c r="F115" s="9">
        <f t="shared" si="1"/>
        <v>4</v>
      </c>
      <c r="G115" s="18" t="s">
        <v>542</v>
      </c>
      <c r="H115" s="11" t="str">
        <f>IFERROR(__xludf.DUMMYFUNCTION("REGEXREPLACE(G115, ""[^0-9a-zA-Z .'Ã]"","""")"),"Colin Firth")</f>
        <v>Colin Firth</v>
      </c>
      <c r="I115" s="20" t="s">
        <v>543</v>
      </c>
      <c r="J115" s="18">
        <v>29285.0</v>
      </c>
      <c r="K115" s="18" t="s">
        <v>544</v>
      </c>
      <c r="L115" s="18">
        <v>174.0</v>
      </c>
      <c r="M115" s="18" t="s">
        <v>24</v>
      </c>
      <c r="N115" s="18" t="s">
        <v>130</v>
      </c>
      <c r="O115" s="19">
        <v>3.5E7</v>
      </c>
      <c r="P115" s="10">
        <f t="shared" si="2"/>
        <v>0</v>
      </c>
      <c r="Q115" s="12">
        <f t="shared" si="3"/>
        <v>29067940</v>
      </c>
      <c r="R115" s="18">
        <v>2007.0</v>
      </c>
      <c r="S115" s="18">
        <v>5.4</v>
      </c>
    </row>
    <row r="116" ht="15.75" customHeight="1">
      <c r="A116" s="17" t="s">
        <v>347</v>
      </c>
      <c r="B116" s="8" t="str">
        <f>IFERROR(__xludf.DUMMYFUNCTION("REGEXREPLACE(A116, ""[^0-9a-zA-Z .'Ã]"","""")"),"Andrew Adamson")</f>
        <v>Andrew Adamson</v>
      </c>
      <c r="C116" s="18">
        <v>205.0</v>
      </c>
      <c r="D116" s="19">
        <v>4.36471036E8</v>
      </c>
      <c r="E116" s="18" t="s">
        <v>545</v>
      </c>
      <c r="F116" s="9">
        <f t="shared" si="1"/>
        <v>6</v>
      </c>
      <c r="G116" s="18" t="s">
        <v>546</v>
      </c>
      <c r="H116" s="11" t="str">
        <f>IFERROR(__xludf.DUMMYFUNCTION("REGEXREPLACE(G116, ""[^0-9a-zA-Z .'Ã]"","""")"),"Rupert Everett")</f>
        <v>Rupert Everett</v>
      </c>
      <c r="I116" s="20" t="s">
        <v>547</v>
      </c>
      <c r="J116" s="18">
        <v>314630.0</v>
      </c>
      <c r="K116" s="18" t="s">
        <v>548</v>
      </c>
      <c r="L116" s="18">
        <v>483.0</v>
      </c>
      <c r="M116" s="18" t="s">
        <v>24</v>
      </c>
      <c r="N116" s="18" t="s">
        <v>25</v>
      </c>
      <c r="O116" s="19">
        <v>1.5E8</v>
      </c>
      <c r="P116" s="10">
        <f t="shared" si="2"/>
        <v>286471036</v>
      </c>
      <c r="Q116" s="12">
        <f t="shared" si="3"/>
        <v>0</v>
      </c>
      <c r="R116" s="18">
        <v>2004.0</v>
      </c>
      <c r="S116" s="18">
        <v>7.2</v>
      </c>
    </row>
    <row r="117" ht="15.75" customHeight="1">
      <c r="A117" s="7" t="s">
        <v>549</v>
      </c>
      <c r="B117" s="8" t="str">
        <f>IFERROR(__xludf.DUMMYFUNCTION("REGEXREPLACE(A117, ""[^0-9a-zA-Z .'Ã]"","""")"),"P.J. Hogan")</f>
        <v>P.J. Hogan</v>
      </c>
      <c r="C117" s="9">
        <v>84.0</v>
      </c>
      <c r="D117" s="10">
        <v>1.26805112E8</v>
      </c>
      <c r="E117" s="9" t="s">
        <v>89</v>
      </c>
      <c r="F117" s="9">
        <f t="shared" si="1"/>
        <v>2</v>
      </c>
      <c r="G117" s="9" t="s">
        <v>533</v>
      </c>
      <c r="H117" s="11" t="str">
        <f>IFERROR(__xludf.DUMMYFUNCTION("REGEXREPLACE(G117, ""[^0-9a-zA-Z .'Ã]"","""")"),"Julia Roberts")</f>
        <v>Julia Roberts</v>
      </c>
      <c r="I117" s="11" t="s">
        <v>550</v>
      </c>
      <c r="J117" s="9">
        <v>98199.0</v>
      </c>
      <c r="K117" s="9" t="s">
        <v>551</v>
      </c>
      <c r="L117" s="9">
        <v>169.0</v>
      </c>
      <c r="M117" s="9" t="s">
        <v>24</v>
      </c>
      <c r="N117" s="9" t="s">
        <v>25</v>
      </c>
      <c r="O117" s="10">
        <v>4.6E7</v>
      </c>
      <c r="P117" s="10">
        <f t="shared" si="2"/>
        <v>80805112</v>
      </c>
      <c r="Q117" s="12">
        <f t="shared" si="3"/>
        <v>0</v>
      </c>
      <c r="R117" s="9">
        <v>1997.0</v>
      </c>
      <c r="S117" s="9">
        <v>6.3</v>
      </c>
    </row>
    <row r="118" ht="15.75" customHeight="1">
      <c r="A118" s="17" t="s">
        <v>552</v>
      </c>
      <c r="B118" s="8" t="str">
        <f>IFERROR(__xludf.DUMMYFUNCTION("REGEXREPLACE(A118, ""[^0-9a-zA-Z .'Ã]"","""")"),"Cameron Crowe")</f>
        <v>Cameron Crowe</v>
      </c>
      <c r="C118" s="18">
        <v>190.0</v>
      </c>
      <c r="D118" s="19">
        <v>2.6838389E7</v>
      </c>
      <c r="E118" s="18" t="s">
        <v>159</v>
      </c>
      <c r="F118" s="9">
        <f t="shared" si="1"/>
        <v>3</v>
      </c>
      <c r="G118" s="18" t="s">
        <v>553</v>
      </c>
      <c r="H118" s="11" t="str">
        <f>IFERROR(__xludf.DUMMYFUNCTION("REGEXREPLACE(G118, ""[^0-9a-zA-Z .'Ã]"","""")"),"Orlando Bloom")</f>
        <v>Orlando Bloom</v>
      </c>
      <c r="I118" s="20" t="s">
        <v>554</v>
      </c>
      <c r="J118" s="18">
        <v>58658.0</v>
      </c>
      <c r="K118" s="18" t="s">
        <v>555</v>
      </c>
      <c r="L118" s="18">
        <v>495.0</v>
      </c>
      <c r="M118" s="18" t="s">
        <v>24</v>
      </c>
      <c r="N118" s="18" t="s">
        <v>25</v>
      </c>
      <c r="O118" s="19">
        <v>5.7E7</v>
      </c>
      <c r="P118" s="10">
        <f t="shared" si="2"/>
        <v>0</v>
      </c>
      <c r="Q118" s="12">
        <f t="shared" si="3"/>
        <v>30161611</v>
      </c>
      <c r="R118" s="18">
        <v>2005.0</v>
      </c>
      <c r="S118" s="18">
        <v>6.4</v>
      </c>
    </row>
    <row r="119" ht="15.75" customHeight="1">
      <c r="A119" s="13" t="s">
        <v>556</v>
      </c>
      <c r="B119" s="8" t="str">
        <f>IFERROR(__xludf.DUMMYFUNCTION("REGEXREPLACE(A119, ""[^0-9a-zA-Z .'Ã]"","""")"),"Morten Tyldum")</f>
        <v>Morten Tyldum</v>
      </c>
      <c r="C119" s="14">
        <v>454.0</v>
      </c>
      <c r="D119" s="15">
        <v>9.1121452E7</v>
      </c>
      <c r="E119" s="14" t="s">
        <v>557</v>
      </c>
      <c r="F119" s="9">
        <f t="shared" si="1"/>
        <v>4</v>
      </c>
      <c r="G119" s="14" t="s">
        <v>558</v>
      </c>
      <c r="H119" s="11" t="str">
        <f>IFERROR(__xludf.DUMMYFUNCTION("REGEXREPLACE(G119, ""[^0-9a-zA-Z .'Ã]"","""")"),"Benedict Cumberbatch")</f>
        <v>Benedict Cumberbatch</v>
      </c>
      <c r="I119" s="16" t="s">
        <v>559</v>
      </c>
      <c r="J119" s="14">
        <v>467613.0</v>
      </c>
      <c r="K119" s="14" t="s">
        <v>560</v>
      </c>
      <c r="L119" s="14">
        <v>608.0</v>
      </c>
      <c r="M119" s="14" t="s">
        <v>24</v>
      </c>
      <c r="N119" s="14" t="s">
        <v>130</v>
      </c>
      <c r="O119" s="15">
        <v>1.4E7</v>
      </c>
      <c r="P119" s="10">
        <f t="shared" si="2"/>
        <v>77121452</v>
      </c>
      <c r="Q119" s="12">
        <f t="shared" si="3"/>
        <v>0</v>
      </c>
      <c r="R119" s="14">
        <v>2014.0</v>
      </c>
      <c r="S119" s="14">
        <v>8.1</v>
      </c>
    </row>
    <row r="120" ht="15.75" customHeight="1">
      <c r="A120" s="7" t="s">
        <v>561</v>
      </c>
      <c r="B120" s="8" t="str">
        <f>IFERROR(__xludf.DUMMYFUNCTION("REGEXREPLACE(A120, ""[^0-9a-zA-Z .'Ã]"","""")"),"Tom McCarthy")</f>
        <v>Tom McCarthy</v>
      </c>
      <c r="C120" s="9">
        <v>154.0</v>
      </c>
      <c r="D120" s="10">
        <v>5739376.0</v>
      </c>
      <c r="E120" s="9" t="s">
        <v>454</v>
      </c>
      <c r="F120" s="9">
        <f t="shared" si="1"/>
        <v>2</v>
      </c>
      <c r="G120" s="9" t="s">
        <v>349</v>
      </c>
      <c r="H120" s="11" t="str">
        <f>IFERROR(__xludf.DUMMYFUNCTION("REGEXREPLACE(G120, ""[^0-9a-zA-Z .'Ã]"","""")"),"Peter Dinklage")</f>
        <v>Peter Dinklage</v>
      </c>
      <c r="I120" s="11" t="s">
        <v>562</v>
      </c>
      <c r="J120" s="9">
        <v>58260.0</v>
      </c>
      <c r="K120" s="9" t="s">
        <v>563</v>
      </c>
      <c r="L120" s="9">
        <v>286.0</v>
      </c>
      <c r="M120" s="9" t="s">
        <v>24</v>
      </c>
      <c r="N120" s="9" t="s">
        <v>25</v>
      </c>
      <c r="O120" s="10">
        <v>500000.0</v>
      </c>
      <c r="P120" s="10">
        <f t="shared" si="2"/>
        <v>5239376</v>
      </c>
      <c r="Q120" s="12">
        <f t="shared" si="3"/>
        <v>0</v>
      </c>
      <c r="R120" s="9">
        <v>2003.0</v>
      </c>
      <c r="S120" s="9">
        <v>7.7</v>
      </c>
    </row>
    <row r="121" ht="15.75" customHeight="1">
      <c r="A121" s="7" t="s">
        <v>564</v>
      </c>
      <c r="B121" s="8" t="str">
        <f>IFERROR(__xludf.DUMMYFUNCTION("REGEXREPLACE(A121, ""[^0-9a-zA-Z .'Ã]"","""")"),"Scott Derrickson")</f>
        <v>Scott Derrickson</v>
      </c>
      <c r="C121" s="9">
        <v>411.0</v>
      </c>
      <c r="D121" s="10">
        <v>4.805694E7</v>
      </c>
      <c r="E121" s="9" t="s">
        <v>565</v>
      </c>
      <c r="F121" s="9">
        <f t="shared" si="1"/>
        <v>2</v>
      </c>
      <c r="G121" s="9" t="s">
        <v>566</v>
      </c>
      <c r="H121" s="11" t="str">
        <f>IFERROR(__xludf.DUMMYFUNCTION("REGEXREPLACE(G121, ""[^0-9a-zA-Z .'Ã]"","""")"),"Danielle Kotch")</f>
        <v>Danielle Kotch</v>
      </c>
      <c r="I121" s="11" t="s">
        <v>567</v>
      </c>
      <c r="J121" s="9">
        <v>155153.0</v>
      </c>
      <c r="K121" s="9" t="s">
        <v>568</v>
      </c>
      <c r="L121" s="9">
        <v>524.0</v>
      </c>
      <c r="M121" s="9" t="s">
        <v>24</v>
      </c>
      <c r="N121" s="9" t="s">
        <v>25</v>
      </c>
      <c r="O121" s="10">
        <v>3000000.0</v>
      </c>
      <c r="P121" s="10">
        <f t="shared" si="2"/>
        <v>45056940</v>
      </c>
      <c r="Q121" s="12">
        <f t="shared" si="3"/>
        <v>0</v>
      </c>
      <c r="R121" s="9">
        <v>2012.0</v>
      </c>
      <c r="S121" s="9">
        <v>6.8</v>
      </c>
    </row>
    <row r="122" ht="15.75" customHeight="1">
      <c r="A122" s="17" t="s">
        <v>569</v>
      </c>
      <c r="B122" s="8" t="str">
        <f>IFERROR(__xludf.DUMMYFUNCTION("REGEXREPLACE(A122, ""[^0-9a-zA-Z .'Ã]"","""")"),"Dick Richards")</f>
        <v>Dick Richards</v>
      </c>
      <c r="C122" s="18">
        <v>6.0</v>
      </c>
      <c r="D122" s="19">
        <v>1000000.0</v>
      </c>
      <c r="E122" s="18" t="s">
        <v>570</v>
      </c>
      <c r="F122" s="9">
        <f t="shared" si="1"/>
        <v>4</v>
      </c>
      <c r="G122" s="18" t="s">
        <v>571</v>
      </c>
      <c r="H122" s="11" t="str">
        <f>IFERROR(__xludf.DUMMYFUNCTION("REGEXREPLACE(G122, ""[^0-9a-zA-Z .'Ã]"","""")"),"Catherine Deneuve")</f>
        <v>Catherine Deneuve</v>
      </c>
      <c r="I122" s="20" t="s">
        <v>572</v>
      </c>
      <c r="J122" s="18">
        <v>2215.0</v>
      </c>
      <c r="K122" s="18" t="s">
        <v>573</v>
      </c>
      <c r="L122" s="18">
        <v>26.0</v>
      </c>
      <c r="M122" s="18" t="s">
        <v>24</v>
      </c>
      <c r="N122" s="18" t="s">
        <v>130</v>
      </c>
      <c r="O122" s="19">
        <v>9000000.0</v>
      </c>
      <c r="P122" s="10">
        <f t="shared" si="2"/>
        <v>0</v>
      </c>
      <c r="Q122" s="12">
        <f t="shared" si="3"/>
        <v>8000000</v>
      </c>
      <c r="R122" s="18">
        <v>1977.0</v>
      </c>
      <c r="S122" s="18">
        <v>6.3</v>
      </c>
    </row>
    <row r="123" ht="15.75" customHeight="1">
      <c r="A123" s="13" t="s">
        <v>574</v>
      </c>
      <c r="B123" s="8" t="str">
        <f>IFERROR(__xludf.DUMMYFUNCTION("REGEXREPLACE(A123, ""[^0-9a-zA-Z .'Ã]"","""")"),"Barbet Schroeder")</f>
        <v>Barbet Schroeder</v>
      </c>
      <c r="C123" s="14">
        <v>136.0</v>
      </c>
      <c r="D123" s="15">
        <v>3.1874869E7</v>
      </c>
      <c r="E123" s="14" t="s">
        <v>575</v>
      </c>
      <c r="F123" s="9">
        <f t="shared" si="1"/>
        <v>3</v>
      </c>
      <c r="G123" s="14" t="s">
        <v>224</v>
      </c>
      <c r="H123" s="11" t="str">
        <f>IFERROR(__xludf.DUMMYFUNCTION("REGEXREPLACE(G123, ""[^0-9a-zA-Z .'Ã]"","""")"),"Ryan Gosling")</f>
        <v>Ryan Gosling</v>
      </c>
      <c r="I123" s="16" t="s">
        <v>576</v>
      </c>
      <c r="J123" s="14">
        <v>43574.0</v>
      </c>
      <c r="K123" s="14" t="s">
        <v>577</v>
      </c>
      <c r="L123" s="14">
        <v>302.0</v>
      </c>
      <c r="M123" s="14" t="s">
        <v>24</v>
      </c>
      <c r="N123" s="14" t="s">
        <v>25</v>
      </c>
      <c r="O123" s="15">
        <v>5.0E7</v>
      </c>
      <c r="P123" s="10">
        <f t="shared" si="2"/>
        <v>0</v>
      </c>
      <c r="Q123" s="12">
        <f t="shared" si="3"/>
        <v>18125131</v>
      </c>
      <c r="R123" s="14">
        <v>2002.0</v>
      </c>
      <c r="S123" s="14">
        <v>6.1</v>
      </c>
    </row>
    <row r="124" ht="15.75" customHeight="1">
      <c r="A124" s="7" t="s">
        <v>578</v>
      </c>
      <c r="B124" s="8" t="str">
        <f>IFERROR(__xludf.DUMMYFUNCTION("REGEXREPLACE(A124, ""[^0-9a-zA-Z .'Ã]"","""")"),"Hoyt Yeatman")</f>
        <v>Hoyt Yeatman</v>
      </c>
      <c r="C124" s="9">
        <v>145.0</v>
      </c>
      <c r="D124" s="10">
        <v>1.19420252E8</v>
      </c>
      <c r="E124" s="9" t="s">
        <v>579</v>
      </c>
      <c r="F124" s="9">
        <f t="shared" si="1"/>
        <v>7</v>
      </c>
      <c r="G124" s="9" t="s">
        <v>580</v>
      </c>
      <c r="H124" s="11" t="str">
        <f>IFERROR(__xludf.DUMMYFUNCTION("REGEXREPLACE(G124, ""[^0-9a-zA-Z .'Ã]"","""")"),"Kelli Garner")</f>
        <v>Kelli Garner</v>
      </c>
      <c r="I124" s="11" t="s">
        <v>581</v>
      </c>
      <c r="J124" s="9">
        <v>33042.0</v>
      </c>
      <c r="K124" s="9" t="s">
        <v>582</v>
      </c>
      <c r="L124" s="9">
        <v>90.0</v>
      </c>
      <c r="M124" s="9" t="s">
        <v>24</v>
      </c>
      <c r="N124" s="9" t="s">
        <v>25</v>
      </c>
      <c r="O124" s="10">
        <v>1.5E8</v>
      </c>
      <c r="P124" s="10">
        <f t="shared" si="2"/>
        <v>0</v>
      </c>
      <c r="Q124" s="12">
        <f t="shared" si="3"/>
        <v>30579748</v>
      </c>
      <c r="R124" s="9">
        <v>2009.0</v>
      </c>
      <c r="S124" s="9">
        <v>5.1</v>
      </c>
    </row>
    <row r="125" ht="15.75" customHeight="1">
      <c r="A125" s="17" t="s">
        <v>583</v>
      </c>
      <c r="B125" s="8" t="str">
        <f>IFERROR(__xludf.DUMMYFUNCTION("REGEXREPLACE(A125, ""[^0-9a-zA-Z .'Ã]"","""")"),"Gus Van Sant")</f>
        <v>Gus Van Sant</v>
      </c>
      <c r="C125" s="18">
        <v>103.0</v>
      </c>
      <c r="D125" s="19">
        <v>236266.0</v>
      </c>
      <c r="E125" s="18" t="s">
        <v>584</v>
      </c>
      <c r="F125" s="9">
        <f t="shared" si="1"/>
        <v>3</v>
      </c>
      <c r="G125" s="18" t="s">
        <v>585</v>
      </c>
      <c r="H125" s="11" t="str">
        <f>IFERROR(__xludf.DUMMYFUNCTION("REGEXREPLACE(G125, ""[^0-9a-zA-Z .'Ã]"","""")"),"Matt Damon")</f>
        <v>Matt Damon</v>
      </c>
      <c r="I125" s="20" t="s">
        <v>586</v>
      </c>
      <c r="J125" s="18">
        <v>15104.0</v>
      </c>
      <c r="K125" s="18" t="s">
        <v>587</v>
      </c>
      <c r="L125" s="18">
        <v>290.0</v>
      </c>
      <c r="M125" s="18" t="s">
        <v>24</v>
      </c>
      <c r="N125" s="18" t="s">
        <v>25</v>
      </c>
      <c r="O125" s="19">
        <v>3500000.0</v>
      </c>
      <c r="P125" s="10">
        <f t="shared" si="2"/>
        <v>0</v>
      </c>
      <c r="Q125" s="12">
        <f t="shared" si="3"/>
        <v>3263734</v>
      </c>
      <c r="R125" s="18">
        <v>2002.0</v>
      </c>
      <c r="S125" s="18">
        <v>6.2</v>
      </c>
    </row>
    <row r="126" ht="15.75" customHeight="1">
      <c r="A126" s="7" t="s">
        <v>588</v>
      </c>
      <c r="B126" s="8" t="str">
        <f>IFERROR(__xludf.DUMMYFUNCTION("REGEXREPLACE(A126, ""[^0-9a-zA-Z .'Ã]"","""")"),"John Michael McDonagh")</f>
        <v>John Michael McDonagh</v>
      </c>
      <c r="C126" s="9">
        <v>261.0</v>
      </c>
      <c r="D126" s="10">
        <v>5359774.0</v>
      </c>
      <c r="E126" s="9" t="s">
        <v>589</v>
      </c>
      <c r="F126" s="9">
        <f t="shared" si="1"/>
        <v>3</v>
      </c>
      <c r="G126" s="9" t="s">
        <v>590</v>
      </c>
      <c r="H126" s="11" t="str">
        <f>IFERROR(__xludf.DUMMYFUNCTION("REGEXREPLACE(G126, ""[^0-9a-zA-Z .'Ã]"","""")"),"Don Cheadle")</f>
        <v>Don Cheadle</v>
      </c>
      <c r="I126" s="11" t="s">
        <v>591</v>
      </c>
      <c r="J126" s="9">
        <v>64794.0</v>
      </c>
      <c r="K126" s="9" t="s">
        <v>592</v>
      </c>
      <c r="L126" s="9">
        <v>131.0</v>
      </c>
      <c r="M126" s="9" t="s">
        <v>24</v>
      </c>
      <c r="N126" s="9" t="s">
        <v>593</v>
      </c>
      <c r="O126" s="10">
        <v>6000000.0</v>
      </c>
      <c r="P126" s="10">
        <f t="shared" si="2"/>
        <v>0</v>
      </c>
      <c r="Q126" s="12">
        <f t="shared" si="3"/>
        <v>640226</v>
      </c>
      <c r="R126" s="9">
        <v>2011.0</v>
      </c>
      <c r="S126" s="9">
        <v>7.3</v>
      </c>
    </row>
    <row r="127" ht="15.75" customHeight="1">
      <c r="A127" s="7" t="s">
        <v>594</v>
      </c>
      <c r="B127" s="8" t="str">
        <f>IFERROR(__xludf.DUMMYFUNCTION("REGEXREPLACE(A127, ""[^0-9a-zA-Z .'Ã]"","""")"),"Phil Lord")</f>
        <v>Phil Lord</v>
      </c>
      <c r="C127" s="9">
        <v>330.0</v>
      </c>
      <c r="D127" s="10">
        <v>1.91616238E8</v>
      </c>
      <c r="E127" s="9" t="s">
        <v>265</v>
      </c>
      <c r="F127" s="9">
        <f t="shared" si="1"/>
        <v>3</v>
      </c>
      <c r="G127" s="9" t="s">
        <v>176</v>
      </c>
      <c r="H127" s="11" t="str">
        <f>IFERROR(__xludf.DUMMYFUNCTION("REGEXREPLACE(G127, ""[^0-9a-zA-Z .'Ã]"","""")"),"Channing Tatum")</f>
        <v>Channing Tatum</v>
      </c>
      <c r="I127" s="11" t="s">
        <v>595</v>
      </c>
      <c r="J127" s="9">
        <v>258186.0</v>
      </c>
      <c r="K127" s="9" t="s">
        <v>596</v>
      </c>
      <c r="L127" s="9">
        <v>322.0</v>
      </c>
      <c r="M127" s="9" t="s">
        <v>24</v>
      </c>
      <c r="N127" s="9" t="s">
        <v>25</v>
      </c>
      <c r="O127" s="10">
        <v>5.0E7</v>
      </c>
      <c r="P127" s="10">
        <f t="shared" si="2"/>
        <v>141616238</v>
      </c>
      <c r="Q127" s="12">
        <f t="shared" si="3"/>
        <v>0</v>
      </c>
      <c r="R127" s="9">
        <v>2014.0</v>
      </c>
      <c r="S127" s="9">
        <v>7.1</v>
      </c>
    </row>
    <row r="128" ht="15.75" customHeight="1">
      <c r="A128" s="13" t="s">
        <v>212</v>
      </c>
      <c r="B128" s="8" t="str">
        <f>IFERROR(__xludf.DUMMYFUNCTION("REGEXREPLACE(A128, ""[^0-9a-zA-Z .'Ã]"","""")"),"Wayne Wang")</f>
        <v>Wayne Wang</v>
      </c>
      <c r="C128" s="14">
        <v>114.0</v>
      </c>
      <c r="D128" s="15">
        <v>9.3815117E7</v>
      </c>
      <c r="E128" s="14" t="s">
        <v>159</v>
      </c>
      <c r="F128" s="9">
        <f t="shared" si="1"/>
        <v>3</v>
      </c>
      <c r="G128" s="14" t="s">
        <v>597</v>
      </c>
      <c r="H128" s="11" t="str">
        <f>IFERROR(__xludf.DUMMYFUNCTION("REGEXREPLACE(G128, ""[^0-9a-zA-Z .'Ã]"","""")"),"Bob Hoskins")</f>
        <v>Bob Hoskins</v>
      </c>
      <c r="I128" s="16" t="s">
        <v>598</v>
      </c>
      <c r="J128" s="14">
        <v>68417.0</v>
      </c>
      <c r="K128" s="14" t="s">
        <v>599</v>
      </c>
      <c r="L128" s="14">
        <v>242.0</v>
      </c>
      <c r="M128" s="14" t="s">
        <v>24</v>
      </c>
      <c r="N128" s="14" t="s">
        <v>25</v>
      </c>
      <c r="O128" s="15">
        <v>5.5E7</v>
      </c>
      <c r="P128" s="10">
        <f t="shared" si="2"/>
        <v>38815117</v>
      </c>
      <c r="Q128" s="12">
        <f t="shared" si="3"/>
        <v>0</v>
      </c>
      <c r="R128" s="14">
        <v>2002.0</v>
      </c>
      <c r="S128" s="14">
        <v>5.1</v>
      </c>
    </row>
    <row r="129" ht="15.75" customHeight="1">
      <c r="A129" s="7" t="s">
        <v>600</v>
      </c>
      <c r="B129" s="8" t="str">
        <f>IFERROR(__xludf.DUMMYFUNCTION("REGEXREPLACE(A129, ""[^0-9a-zA-Z .'Ã]"","""")"),"Jason Bateman")</f>
        <v>Jason Bateman</v>
      </c>
      <c r="C129" s="9">
        <v>126.0</v>
      </c>
      <c r="D129" s="10">
        <v>7764027.0</v>
      </c>
      <c r="E129" s="9" t="s">
        <v>454</v>
      </c>
      <c r="F129" s="9">
        <f t="shared" si="1"/>
        <v>2</v>
      </c>
      <c r="G129" s="9" t="s">
        <v>601</v>
      </c>
      <c r="H129" s="11" t="str">
        <f>IFERROR(__xludf.DUMMYFUNCTION("REGEXREPLACE(G129, ""[^0-9a-zA-Z .'Ã]"","""")"),"Beth Grant")</f>
        <v>Beth Grant</v>
      </c>
      <c r="I129" s="11" t="s">
        <v>602</v>
      </c>
      <c r="J129" s="9">
        <v>38459.0</v>
      </c>
      <c r="K129" s="9" t="s">
        <v>603</v>
      </c>
      <c r="L129" s="9">
        <v>119.0</v>
      </c>
      <c r="M129" s="9" t="s">
        <v>24</v>
      </c>
      <c r="N129" s="9" t="s">
        <v>25</v>
      </c>
      <c r="O129" s="10">
        <v>1.0E7</v>
      </c>
      <c r="P129" s="10">
        <f t="shared" si="2"/>
        <v>0</v>
      </c>
      <c r="Q129" s="12">
        <f t="shared" si="3"/>
        <v>2235973</v>
      </c>
      <c r="R129" s="9">
        <v>2013.0</v>
      </c>
      <c r="S129" s="9">
        <v>6.7</v>
      </c>
    </row>
    <row r="130" ht="15.75" customHeight="1">
      <c r="A130" s="7" t="s">
        <v>604</v>
      </c>
      <c r="B130" s="8" t="str">
        <f>IFERROR(__xludf.DUMMYFUNCTION("REGEXREPLACE(A130, ""[^0-9a-zA-Z .'Ã]"","""")"),"Olivier Megaton")</f>
        <v>Olivier Megaton</v>
      </c>
      <c r="C130" s="9">
        <v>358.0</v>
      </c>
      <c r="D130" s="10">
        <v>1.39852971E8</v>
      </c>
      <c r="E130" s="9" t="s">
        <v>152</v>
      </c>
      <c r="F130" s="9">
        <f t="shared" si="1"/>
        <v>3</v>
      </c>
      <c r="G130" s="9" t="s">
        <v>605</v>
      </c>
      <c r="H130" s="11" t="str">
        <f>IFERROR(__xludf.DUMMYFUNCTION("REGEXREPLACE(G130, ""[^0-9a-zA-Z .'Ã]"","""")"),"Liam Neeson")</f>
        <v>Liam Neeson</v>
      </c>
      <c r="I130" s="11" t="s">
        <v>606</v>
      </c>
      <c r="J130" s="9">
        <v>238671.0</v>
      </c>
      <c r="K130" s="9" t="s">
        <v>607</v>
      </c>
      <c r="L130" s="9">
        <v>461.0</v>
      </c>
      <c r="M130" s="9" t="s">
        <v>24</v>
      </c>
      <c r="N130" s="9" t="s">
        <v>608</v>
      </c>
      <c r="O130" s="10">
        <v>4.5E7</v>
      </c>
      <c r="P130" s="10">
        <f t="shared" si="2"/>
        <v>94852971</v>
      </c>
      <c r="Q130" s="12">
        <f t="shared" si="3"/>
        <v>0</v>
      </c>
      <c r="R130" s="9">
        <v>2012.0</v>
      </c>
      <c r="S130" s="9">
        <v>6.3</v>
      </c>
    </row>
    <row r="131" ht="15.75" customHeight="1">
      <c r="A131" s="17" t="s">
        <v>609</v>
      </c>
      <c r="B131" s="8" t="str">
        <f>IFERROR(__xludf.DUMMYFUNCTION("REGEXREPLACE(A131, ""[^0-9a-zA-Z .'Ã]"","""")"),"Jonathan Mostow")</f>
        <v>Jonathan Mostow</v>
      </c>
      <c r="C131" s="18">
        <v>72.0</v>
      </c>
      <c r="D131" s="19">
        <v>5.0129186E7</v>
      </c>
      <c r="E131" s="18" t="s">
        <v>610</v>
      </c>
      <c r="F131" s="9">
        <f t="shared" si="1"/>
        <v>5</v>
      </c>
      <c r="G131" s="18" t="s">
        <v>611</v>
      </c>
      <c r="H131" s="11" t="str">
        <f>IFERROR(__xludf.DUMMYFUNCTION("REGEXREPLACE(G131, ""[^0-9a-zA-Z .'Ã]"","""")"),"Kathleen Quinlan")</f>
        <v>Kathleen Quinlan</v>
      </c>
      <c r="I131" s="20" t="s">
        <v>612</v>
      </c>
      <c r="J131" s="18">
        <v>38399.0</v>
      </c>
      <c r="K131" s="18" t="s">
        <v>613</v>
      </c>
      <c r="L131" s="18">
        <v>218.0</v>
      </c>
      <c r="M131" s="18" t="s">
        <v>24</v>
      </c>
      <c r="N131" s="18" t="s">
        <v>25</v>
      </c>
      <c r="O131" s="19">
        <v>3.6E7</v>
      </c>
      <c r="P131" s="10">
        <f t="shared" si="2"/>
        <v>14129186</v>
      </c>
      <c r="Q131" s="12">
        <f t="shared" si="3"/>
        <v>0</v>
      </c>
      <c r="R131" s="18">
        <v>1997.0</v>
      </c>
      <c r="S131" s="18">
        <v>6.9</v>
      </c>
    </row>
    <row r="132" ht="15.75" customHeight="1">
      <c r="A132" s="13" t="s">
        <v>614</v>
      </c>
      <c r="B132" s="8" t="str">
        <f>IFERROR(__xludf.DUMMYFUNCTION("REGEXREPLACE(A132, ""[^0-9a-zA-Z .'Ã]"","""")"),"Steven Brill")</f>
        <v>Steven Brill</v>
      </c>
      <c r="C132" s="14">
        <v>87.0</v>
      </c>
      <c r="D132" s="15">
        <v>3.9442871E7</v>
      </c>
      <c r="E132" s="14" t="s">
        <v>615</v>
      </c>
      <c r="F132" s="9">
        <f t="shared" si="1"/>
        <v>2</v>
      </c>
      <c r="G132" s="14" t="s">
        <v>616</v>
      </c>
      <c r="H132" s="11" t="str">
        <f>IFERROR(__xludf.DUMMYFUNCTION("REGEXREPLACE(G132, ""[^0-9a-zA-Z .'Ã]"","""")"),"Adam Sandler")</f>
        <v>Adam Sandler</v>
      </c>
      <c r="I132" s="16" t="s">
        <v>617</v>
      </c>
      <c r="J132" s="14">
        <v>80639.0</v>
      </c>
      <c r="K132" s="14" t="s">
        <v>618</v>
      </c>
      <c r="L132" s="14">
        <v>237.0</v>
      </c>
      <c r="M132" s="14" t="s">
        <v>24</v>
      </c>
      <c r="N132" s="14" t="s">
        <v>25</v>
      </c>
      <c r="O132" s="15">
        <v>8.0E7</v>
      </c>
      <c r="P132" s="10">
        <f t="shared" si="2"/>
        <v>0</v>
      </c>
      <c r="Q132" s="12">
        <f t="shared" si="3"/>
        <v>40557129</v>
      </c>
      <c r="R132" s="14">
        <v>2000.0</v>
      </c>
      <c r="S132" s="14">
        <v>5.3</v>
      </c>
    </row>
    <row r="133" ht="15.75" customHeight="1">
      <c r="A133" s="17" t="s">
        <v>619</v>
      </c>
      <c r="B133" s="8" t="str">
        <f>IFERROR(__xludf.DUMMYFUNCTION("REGEXREPLACE(A133, ""[^0-9a-zA-Z .'Ã]"","""")"),"Philip Saville")</f>
        <v>Philip Saville</v>
      </c>
      <c r="C133" s="18">
        <v>25.0</v>
      </c>
      <c r="D133" s="19">
        <v>4068087.0</v>
      </c>
      <c r="E133" s="18" t="s">
        <v>620</v>
      </c>
      <c r="F133" s="9">
        <f t="shared" si="1"/>
        <v>3</v>
      </c>
      <c r="G133" s="18" t="s">
        <v>621</v>
      </c>
      <c r="H133" s="11" t="str">
        <f>IFERROR(__xludf.DUMMYFUNCTION("REGEXREPLACE(G133, ""[^0-9a-zA-Z .'Ã]"","""")"),"Henry Ian Cusick")</f>
        <v>Henry Ian Cusick</v>
      </c>
      <c r="I133" s="20" t="s">
        <v>622</v>
      </c>
      <c r="J133" s="18">
        <v>2164.0</v>
      </c>
      <c r="K133" s="18" t="s">
        <v>623</v>
      </c>
      <c r="L133" s="18">
        <v>74.0</v>
      </c>
      <c r="M133" s="18" t="s">
        <v>24</v>
      </c>
      <c r="N133" s="18" t="s">
        <v>624</v>
      </c>
      <c r="O133" s="19">
        <v>1.7E7</v>
      </c>
      <c r="P133" s="10">
        <f t="shared" si="2"/>
        <v>0</v>
      </c>
      <c r="Q133" s="12">
        <f t="shared" si="3"/>
        <v>12931913</v>
      </c>
      <c r="R133" s="18">
        <v>2003.0</v>
      </c>
      <c r="S133" s="18">
        <v>7.7</v>
      </c>
    </row>
    <row r="134" ht="15.75" customHeight="1">
      <c r="A134" s="7" t="s">
        <v>625</v>
      </c>
      <c r="B134" s="8" t="str">
        <f>IFERROR(__xludf.DUMMYFUNCTION("REGEXREPLACE(A134, ""[^0-9a-zA-Z .'Ã]"","""")"),"Edward Zwick")</f>
        <v>Edward Zwick</v>
      </c>
      <c r="C134" s="9">
        <v>60.0</v>
      </c>
      <c r="D134" s="10">
        <v>2.683E7</v>
      </c>
      <c r="E134" s="9" t="s">
        <v>74</v>
      </c>
      <c r="F134" s="9">
        <f t="shared" si="1"/>
        <v>3</v>
      </c>
      <c r="G134" s="9" t="s">
        <v>70</v>
      </c>
      <c r="H134" s="11" t="str">
        <f>IFERROR(__xludf.DUMMYFUNCTION("REGEXREPLACE(G134, ""[^0-9a-zA-Z .'Ã]"","""")"),"Denzel Washington")</f>
        <v>Denzel Washington</v>
      </c>
      <c r="I134" s="11" t="s">
        <v>626</v>
      </c>
      <c r="J134" s="9">
        <v>101888.0</v>
      </c>
      <c r="K134" s="9" t="s">
        <v>627</v>
      </c>
      <c r="L134" s="9">
        <v>365.0</v>
      </c>
      <c r="M134" s="9" t="s">
        <v>24</v>
      </c>
      <c r="N134" s="9" t="s">
        <v>25</v>
      </c>
      <c r="O134" s="10">
        <v>1.8E7</v>
      </c>
      <c r="P134" s="10">
        <f t="shared" si="2"/>
        <v>8830000</v>
      </c>
      <c r="Q134" s="12">
        <f t="shared" si="3"/>
        <v>0</v>
      </c>
      <c r="R134" s="9">
        <v>1989.0</v>
      </c>
      <c r="S134" s="9">
        <v>7.9</v>
      </c>
    </row>
    <row r="135" ht="15.75" customHeight="1">
      <c r="A135" s="17" t="s">
        <v>184</v>
      </c>
      <c r="B135" s="8" t="str">
        <f>IFERROR(__xludf.DUMMYFUNCTION("REGEXREPLACE(A135, ""[^0-9a-zA-Z .'Ã]"","""")"),"James Cameron")</f>
        <v>James Cameron</v>
      </c>
      <c r="C135" s="18">
        <v>82.0</v>
      </c>
      <c r="D135" s="19">
        <v>5.4222E7</v>
      </c>
      <c r="E135" s="18" t="s">
        <v>628</v>
      </c>
      <c r="F135" s="9">
        <f t="shared" si="1"/>
        <v>4</v>
      </c>
      <c r="G135" s="18" t="s">
        <v>186</v>
      </c>
      <c r="H135" s="11" t="str">
        <f>IFERROR(__xludf.DUMMYFUNCTION("REGEXREPLACE(G135, ""[^0-9a-zA-Z .'Ã]"","""")"),"Michael Biehn")</f>
        <v>Michael Biehn</v>
      </c>
      <c r="I135" s="20" t="s">
        <v>629</v>
      </c>
      <c r="J135" s="18">
        <v>131217.0</v>
      </c>
      <c r="K135" s="18" t="s">
        <v>630</v>
      </c>
      <c r="L135" s="18">
        <v>380.0</v>
      </c>
      <c r="M135" s="18" t="s">
        <v>24</v>
      </c>
      <c r="N135" s="18" t="s">
        <v>25</v>
      </c>
      <c r="O135" s="19">
        <v>6.95E7</v>
      </c>
      <c r="P135" s="10">
        <f t="shared" si="2"/>
        <v>0</v>
      </c>
      <c r="Q135" s="12">
        <f t="shared" si="3"/>
        <v>15278000</v>
      </c>
      <c r="R135" s="18">
        <v>1989.0</v>
      </c>
      <c r="S135" s="18">
        <v>7.6</v>
      </c>
    </row>
    <row r="136" ht="15.75" customHeight="1">
      <c r="A136" s="17" t="s">
        <v>631</v>
      </c>
      <c r="B136" s="8" t="str">
        <f>IFERROR(__xludf.DUMMYFUNCTION("REGEXREPLACE(A136, ""[^0-9a-zA-Z .'Ã]"","""")"),"Richard Donner")</f>
        <v>Richard Donner</v>
      </c>
      <c r="C136" s="18">
        <v>68.0</v>
      </c>
      <c r="D136" s="19">
        <v>1.44731527E8</v>
      </c>
      <c r="E136" s="18" t="s">
        <v>152</v>
      </c>
      <c r="F136" s="9">
        <f t="shared" si="1"/>
        <v>3</v>
      </c>
      <c r="G136" s="18" t="s">
        <v>632</v>
      </c>
      <c r="H136" s="11" t="str">
        <f>IFERROR(__xludf.DUMMYFUNCTION("REGEXREPLACE(G136, ""[^0-9a-zA-Z .'Ã]"","""")"),"Rene Russo")</f>
        <v>Rene Russo</v>
      </c>
      <c r="I136" s="20" t="s">
        <v>633</v>
      </c>
      <c r="J136" s="18">
        <v>128010.0</v>
      </c>
      <c r="K136" s="18" t="s">
        <v>634</v>
      </c>
      <c r="L136" s="18">
        <v>136.0</v>
      </c>
      <c r="M136" s="18" t="s">
        <v>24</v>
      </c>
      <c r="N136" s="18" t="s">
        <v>25</v>
      </c>
      <c r="O136" s="19">
        <v>3.5E7</v>
      </c>
      <c r="P136" s="10">
        <f t="shared" si="2"/>
        <v>109731527</v>
      </c>
      <c r="Q136" s="12">
        <f t="shared" si="3"/>
        <v>0</v>
      </c>
      <c r="R136" s="18">
        <v>1992.0</v>
      </c>
      <c r="S136" s="18">
        <v>6.7</v>
      </c>
    </row>
    <row r="137" ht="15.75" customHeight="1">
      <c r="A137" s="7" t="s">
        <v>635</v>
      </c>
      <c r="B137" s="8" t="str">
        <f>IFERROR(__xludf.DUMMYFUNCTION("REGEXREPLACE(A137, ""[^0-9a-zA-Z .'Ã]"","""")"),"Steven Spielberg")</f>
        <v>Steven Spielberg</v>
      </c>
      <c r="C137" s="9">
        <v>148.0</v>
      </c>
      <c r="D137" s="10">
        <v>1.79870271E8</v>
      </c>
      <c r="E137" s="9" t="s">
        <v>636</v>
      </c>
      <c r="F137" s="9">
        <f t="shared" si="1"/>
        <v>2</v>
      </c>
      <c r="G137" s="9" t="s">
        <v>637</v>
      </c>
      <c r="H137" s="11" t="str">
        <f>IFERROR(__xludf.DUMMYFUNCTION("REGEXREPLACE(G137, ""[^0-9a-zA-Z .'Ã]"","""")"),"Harrison Ford")</f>
        <v>Harrison Ford</v>
      </c>
      <c r="I137" s="11" t="s">
        <v>638</v>
      </c>
      <c r="J137" s="9">
        <v>329969.0</v>
      </c>
      <c r="K137" s="9" t="s">
        <v>639</v>
      </c>
      <c r="L137" s="9">
        <v>524.0</v>
      </c>
      <c r="M137" s="9" t="s">
        <v>24</v>
      </c>
      <c r="N137" s="9" t="s">
        <v>25</v>
      </c>
      <c r="O137" s="10">
        <v>2.8E7</v>
      </c>
      <c r="P137" s="10">
        <f t="shared" si="2"/>
        <v>151870271</v>
      </c>
      <c r="Q137" s="12">
        <f t="shared" si="3"/>
        <v>0</v>
      </c>
      <c r="R137" s="9">
        <v>1984.0</v>
      </c>
      <c r="S137" s="9">
        <v>7.6</v>
      </c>
    </row>
    <row r="138" ht="15.75" customHeight="1">
      <c r="A138" s="17" t="s">
        <v>640</v>
      </c>
      <c r="B138" s="8" t="str">
        <f>IFERROR(__xludf.DUMMYFUNCTION("REGEXREPLACE(A138, ""[^0-9a-zA-Z .'Ã]"","""")"),"David O. Russell")</f>
        <v>David O. Russell</v>
      </c>
      <c r="C138" s="18">
        <v>150.0</v>
      </c>
      <c r="D138" s="19">
        <v>6.0652036E7</v>
      </c>
      <c r="E138" s="18" t="s">
        <v>641</v>
      </c>
      <c r="F138" s="9">
        <f t="shared" si="1"/>
        <v>5</v>
      </c>
      <c r="G138" s="18" t="s">
        <v>642</v>
      </c>
      <c r="H138" s="11" t="str">
        <f>IFERROR(__xludf.DUMMYFUNCTION("REGEXREPLACE(G138, ""[^0-9a-zA-Z .'Ã]"","""")"),"Judy Greer")</f>
        <v>Judy Greer</v>
      </c>
      <c r="I138" s="20" t="s">
        <v>643</v>
      </c>
      <c r="J138" s="18">
        <v>137854.0</v>
      </c>
      <c r="K138" s="18" t="s">
        <v>644</v>
      </c>
      <c r="L138" s="18">
        <v>560.0</v>
      </c>
      <c r="M138" s="18" t="s">
        <v>24</v>
      </c>
      <c r="N138" s="18" t="s">
        <v>25</v>
      </c>
      <c r="O138" s="19">
        <v>4.8E7</v>
      </c>
      <c r="P138" s="10">
        <f t="shared" si="2"/>
        <v>12652036</v>
      </c>
      <c r="Q138" s="12">
        <f t="shared" si="3"/>
        <v>0</v>
      </c>
      <c r="R138" s="18">
        <v>1999.0</v>
      </c>
      <c r="S138" s="18">
        <v>7.1</v>
      </c>
    </row>
    <row r="139" ht="15.75" customHeight="1">
      <c r="A139" s="13" t="s">
        <v>645</v>
      </c>
      <c r="B139" s="8" t="str">
        <f>IFERROR(__xludf.DUMMYFUNCTION("REGEXREPLACE(A139, ""[^0-9a-zA-Z .'Ã]"","""")"),"Dean Parisot")</f>
        <v>Dean Parisot</v>
      </c>
      <c r="C139" s="14">
        <v>213.0</v>
      </c>
      <c r="D139" s="15">
        <v>7.1423726E7</v>
      </c>
      <c r="E139" s="14" t="s">
        <v>646</v>
      </c>
      <c r="F139" s="9">
        <f t="shared" si="1"/>
        <v>3</v>
      </c>
      <c r="G139" s="14" t="s">
        <v>647</v>
      </c>
      <c r="H139" s="11" t="str">
        <f>IFERROR(__xludf.DUMMYFUNCTION("REGEXREPLACE(G139, ""[^0-9a-zA-Z .'Ã]"","""")"),"Alan Rickman")</f>
        <v>Alan Rickman</v>
      </c>
      <c r="I139" s="16" t="s">
        <v>648</v>
      </c>
      <c r="J139" s="14">
        <v>123558.0</v>
      </c>
      <c r="K139" s="14" t="s">
        <v>649</v>
      </c>
      <c r="L139" s="14">
        <v>609.0</v>
      </c>
      <c r="M139" s="14" t="s">
        <v>24</v>
      </c>
      <c r="N139" s="14" t="s">
        <v>25</v>
      </c>
      <c r="O139" s="15">
        <v>4.5E7</v>
      </c>
      <c r="P139" s="10">
        <f t="shared" si="2"/>
        <v>26423726</v>
      </c>
      <c r="Q139" s="12">
        <f t="shared" si="3"/>
        <v>0</v>
      </c>
      <c r="R139" s="14">
        <v>1999.0</v>
      </c>
      <c r="S139" s="14">
        <v>7.3</v>
      </c>
    </row>
    <row r="140" ht="15.75" customHeight="1">
      <c r="A140" s="7" t="s">
        <v>650</v>
      </c>
      <c r="B140" s="8" t="str">
        <f>IFERROR(__xludf.DUMMYFUNCTION("REGEXREPLACE(A140, ""[^0-9a-zA-Z .'Ã]"","""")"),"John Schlesinger")</f>
        <v>John Schlesinger</v>
      </c>
      <c r="C140" s="9">
        <v>86.0</v>
      </c>
      <c r="D140" s="10">
        <v>1.4983572E7</v>
      </c>
      <c r="E140" s="9" t="s">
        <v>159</v>
      </c>
      <c r="F140" s="9">
        <f t="shared" si="1"/>
        <v>3</v>
      </c>
      <c r="G140" s="9" t="s">
        <v>651</v>
      </c>
      <c r="H140" s="11" t="str">
        <f>IFERROR(__xludf.DUMMYFUNCTION("REGEXREPLACE(G140, ""[^0-9a-zA-Z .'Ã]"","""")"),"Mark Valley")</f>
        <v>Mark Valley</v>
      </c>
      <c r="I140" s="11" t="s">
        <v>652</v>
      </c>
      <c r="J140" s="9">
        <v>9361.0</v>
      </c>
      <c r="K140" s="9" t="s">
        <v>653</v>
      </c>
      <c r="L140" s="9">
        <v>162.0</v>
      </c>
      <c r="M140" s="9" t="s">
        <v>24</v>
      </c>
      <c r="N140" s="9" t="s">
        <v>25</v>
      </c>
      <c r="O140" s="10">
        <v>2.5E7</v>
      </c>
      <c r="P140" s="10">
        <f t="shared" si="2"/>
        <v>0</v>
      </c>
      <c r="Q140" s="12">
        <f t="shared" si="3"/>
        <v>10016428</v>
      </c>
      <c r="R140" s="9">
        <v>2000.0</v>
      </c>
      <c r="S140" s="9">
        <v>4.7</v>
      </c>
    </row>
    <row r="141" ht="15.75" customHeight="1">
      <c r="A141" s="7" t="s">
        <v>654</v>
      </c>
      <c r="B141" s="8" t="str">
        <f>IFERROR(__xludf.DUMMYFUNCTION("REGEXREPLACE(A141, ""[^0-9a-zA-Z -.'Ã]"","""")"),"Jean-Pierre Jeunet")</f>
        <v>Jean-Pierre Jeunet</v>
      </c>
      <c r="C141" s="9">
        <v>242.0</v>
      </c>
      <c r="D141" s="10">
        <v>3.3201661E7</v>
      </c>
      <c r="E141" s="9" t="s">
        <v>89</v>
      </c>
      <c r="F141" s="9">
        <f t="shared" si="1"/>
        <v>2</v>
      </c>
      <c r="G141" s="9" t="s">
        <v>655</v>
      </c>
      <c r="H141" s="11" t="str">
        <f>IFERROR(__xludf.DUMMYFUNCTION("REGEXREPLACE(G141, ""[^0-9a-zA-Z .'Ã]"","""")"),"Mathieu Kassovitz")</f>
        <v>Mathieu Kassovitz</v>
      </c>
      <c r="I141" s="11" t="s">
        <v>656</v>
      </c>
      <c r="J141" s="9">
        <v>534262.0</v>
      </c>
      <c r="K141" s="9" t="s">
        <v>657</v>
      </c>
      <c r="L141" s="9">
        <v>1314.0</v>
      </c>
      <c r="M141" s="9" t="s">
        <v>658</v>
      </c>
      <c r="N141" s="9" t="s">
        <v>608</v>
      </c>
      <c r="O141" s="10">
        <v>7.7E7</v>
      </c>
      <c r="P141" s="10">
        <f t="shared" si="2"/>
        <v>0</v>
      </c>
      <c r="Q141" s="12">
        <f t="shared" si="3"/>
        <v>43798339</v>
      </c>
      <c r="R141" s="9">
        <v>2001.0</v>
      </c>
      <c r="S141" s="9">
        <v>8.4</v>
      </c>
    </row>
    <row r="142" ht="15.75" customHeight="1">
      <c r="A142" s="17" t="s">
        <v>659</v>
      </c>
      <c r="B142" s="8" t="str">
        <f>IFERROR(__xludf.DUMMYFUNCTION("REGEXREPLACE(A142, ""[^0-9a-zA-Z .'Ã]"","""")"),"John A. Davis")</f>
        <v>John A. Davis</v>
      </c>
      <c r="C142" s="18">
        <v>105.0</v>
      </c>
      <c r="D142" s="19">
        <v>2.8133159E7</v>
      </c>
      <c r="E142" s="18" t="s">
        <v>301</v>
      </c>
      <c r="F142" s="9">
        <f t="shared" si="1"/>
        <v>5</v>
      </c>
      <c r="G142" s="18" t="s">
        <v>458</v>
      </c>
      <c r="H142" s="11" t="str">
        <f>IFERROR(__xludf.DUMMYFUNCTION("REGEXREPLACE(G142, ""[^0-9a-zA-Z .'Ã]"","""")"),"Nicolas Cage")</f>
        <v>Nicolas Cage</v>
      </c>
      <c r="I142" s="20" t="s">
        <v>660</v>
      </c>
      <c r="J142" s="18">
        <v>30055.0</v>
      </c>
      <c r="K142" s="18" t="s">
        <v>661</v>
      </c>
      <c r="L142" s="18">
        <v>70.0</v>
      </c>
      <c r="M142" s="18" t="s">
        <v>24</v>
      </c>
      <c r="N142" s="18" t="s">
        <v>25</v>
      </c>
      <c r="O142" s="19">
        <v>5.0E7</v>
      </c>
      <c r="P142" s="10">
        <f t="shared" si="2"/>
        <v>0</v>
      </c>
      <c r="Q142" s="12">
        <f t="shared" si="3"/>
        <v>21866841</v>
      </c>
      <c r="R142" s="18">
        <v>2006.0</v>
      </c>
      <c r="S142" s="18">
        <v>5.9</v>
      </c>
    </row>
    <row r="143" ht="15.75" customHeight="1">
      <c r="A143" s="7" t="s">
        <v>662</v>
      </c>
      <c r="B143" s="8" t="str">
        <f>IFERROR(__xludf.DUMMYFUNCTION("REGEXREPLACE(A143, ""[^0-9a-zA-Z .'Ã]"","""")"),"Ric Roman Waugh")</f>
        <v>Ric Roman Waugh</v>
      </c>
      <c r="C143" s="9">
        <v>238.0</v>
      </c>
      <c r="D143" s="10">
        <v>4.2919096E7</v>
      </c>
      <c r="E143" s="9" t="s">
        <v>175</v>
      </c>
      <c r="F143" s="9">
        <f t="shared" si="1"/>
        <v>3</v>
      </c>
      <c r="G143" s="9" t="s">
        <v>50</v>
      </c>
      <c r="H143" s="11" t="str">
        <f>IFERROR(__xludf.DUMMYFUNCTION("REGEXREPLACE(G143, ""[^0-9a-zA-Z .'Ã]"","""")"),"Dwayne Johnson")</f>
        <v>Dwayne Johnson</v>
      </c>
      <c r="I143" s="11" t="s">
        <v>663</v>
      </c>
      <c r="J143" s="9">
        <v>64748.0</v>
      </c>
      <c r="K143" s="9" t="s">
        <v>664</v>
      </c>
      <c r="L143" s="9">
        <v>122.0</v>
      </c>
      <c r="M143" s="9" t="s">
        <v>24</v>
      </c>
      <c r="N143" s="9" t="s">
        <v>25</v>
      </c>
      <c r="O143" s="10">
        <v>1.5E7</v>
      </c>
      <c r="P143" s="10">
        <f t="shared" si="2"/>
        <v>27919096</v>
      </c>
      <c r="Q143" s="12">
        <f t="shared" si="3"/>
        <v>0</v>
      </c>
      <c r="R143" s="9">
        <v>2013.0</v>
      </c>
      <c r="S143" s="9">
        <v>6.5</v>
      </c>
    </row>
    <row r="144" ht="15.75" customHeight="1">
      <c r="A144" s="7" t="s">
        <v>665</v>
      </c>
      <c r="B144" s="8" t="str">
        <f>IFERROR(__xludf.DUMMYFUNCTION("REGEXREPLACE(A144, ""[^0-9a-zA-Z .'Ã]"","""")"),"Yash Chopra")</f>
        <v>Yash Chopra</v>
      </c>
      <c r="C144" s="9">
        <v>29.0</v>
      </c>
      <c r="D144" s="10">
        <v>2921738.0</v>
      </c>
      <c r="E144" s="9" t="s">
        <v>666</v>
      </c>
      <c r="F144" s="9">
        <f t="shared" si="1"/>
        <v>3</v>
      </c>
      <c r="G144" s="9" t="s">
        <v>667</v>
      </c>
      <c r="H144" s="11" t="str">
        <f>IFERROR(__xludf.DUMMYFUNCTION("REGEXREPLACE(G144, ""[^0-9a-zA-Z .'Ã]"","""")"),"Shah Rukh Khan")</f>
        <v>Shah Rukh Khan</v>
      </c>
      <c r="I144" s="11" t="s">
        <v>668</v>
      </c>
      <c r="J144" s="9">
        <v>34449.0</v>
      </c>
      <c r="K144" s="9" t="s">
        <v>669</v>
      </c>
      <c r="L144" s="9">
        <v>119.0</v>
      </c>
      <c r="M144" s="9" t="s">
        <v>670</v>
      </c>
      <c r="N144" s="9" t="s">
        <v>671</v>
      </c>
      <c r="O144" s="10">
        <v>7000000.0</v>
      </c>
      <c r="P144" s="10">
        <f t="shared" si="2"/>
        <v>0</v>
      </c>
      <c r="Q144" s="12">
        <f t="shared" si="3"/>
        <v>4078262</v>
      </c>
      <c r="R144" s="9">
        <v>2004.0</v>
      </c>
      <c r="S144" s="9">
        <v>7.9</v>
      </c>
    </row>
    <row r="145" ht="15.75" customHeight="1">
      <c r="A145" s="7" t="s">
        <v>672</v>
      </c>
      <c r="B145" s="8" t="str">
        <f>IFERROR(__xludf.DUMMYFUNCTION("REGEXREPLACE(A145, ""[^0-9a-zA-Z .'Ã]"","""")"),"Peter Weir")</f>
        <v>Peter Weir</v>
      </c>
      <c r="C145" s="9">
        <v>96.0</v>
      </c>
      <c r="D145" s="10">
        <v>9.5860116E7</v>
      </c>
      <c r="E145" s="9" t="s">
        <v>454</v>
      </c>
      <c r="F145" s="9">
        <f t="shared" si="1"/>
        <v>2</v>
      </c>
      <c r="G145" s="9" t="s">
        <v>673</v>
      </c>
      <c r="H145" s="11" t="str">
        <f>IFERROR(__xludf.DUMMYFUNCTION("REGEXREPLACE(G145, ""[^0-9a-zA-Z .'Ã]"","""")"),"Robin Williams")</f>
        <v>Robin Williams</v>
      </c>
      <c r="I145" s="11" t="s">
        <v>674</v>
      </c>
      <c r="J145" s="9">
        <v>277451.0</v>
      </c>
      <c r="K145" s="9" t="s">
        <v>675</v>
      </c>
      <c r="L145" s="9">
        <v>491.0</v>
      </c>
      <c r="M145" s="9" t="s">
        <v>24</v>
      </c>
      <c r="N145" s="9" t="s">
        <v>25</v>
      </c>
      <c r="O145" s="10">
        <v>1.64E7</v>
      </c>
      <c r="P145" s="10">
        <f t="shared" si="2"/>
        <v>79460116</v>
      </c>
      <c r="Q145" s="12">
        <f t="shared" si="3"/>
        <v>0</v>
      </c>
      <c r="R145" s="9">
        <v>1989.0</v>
      </c>
      <c r="S145" s="9">
        <v>8.0</v>
      </c>
    </row>
    <row r="146" ht="15.75" customHeight="1">
      <c r="A146" s="13" t="s">
        <v>676</v>
      </c>
      <c r="B146" s="8" t="str">
        <f>IFERROR(__xludf.DUMMYFUNCTION("REGEXREPLACE(A146, ""[^0-9a-zA-Z .'Ã]"","""")"),"Stephen Herek")</f>
        <v>Stephen Herek</v>
      </c>
      <c r="C146" s="14">
        <v>107.0</v>
      </c>
      <c r="D146" s="15">
        <v>1.6991902E7</v>
      </c>
      <c r="E146" s="14" t="s">
        <v>418</v>
      </c>
      <c r="F146" s="9">
        <f t="shared" si="1"/>
        <v>2</v>
      </c>
      <c r="G146" s="14" t="s">
        <v>601</v>
      </c>
      <c r="H146" s="11" t="str">
        <f>IFERROR(__xludf.DUMMYFUNCTION("REGEXREPLACE(G146, ""[^0-9a-zA-Z .'Ã]"","""")"),"Beth Grant")</f>
        <v>Beth Grant</v>
      </c>
      <c r="I146" s="16" t="s">
        <v>677</v>
      </c>
      <c r="J146" s="14">
        <v>34592.0</v>
      </c>
      <c r="K146" s="14" t="s">
        <v>678</v>
      </c>
      <c r="L146" s="14">
        <v>191.0</v>
      </c>
      <c r="M146" s="14" t="s">
        <v>24</v>
      </c>
      <c r="N146" s="14" t="s">
        <v>25</v>
      </c>
      <c r="O146" s="15">
        <v>5.7E7</v>
      </c>
      <c r="P146" s="10">
        <f t="shared" si="2"/>
        <v>0</v>
      </c>
      <c r="Q146" s="12">
        <f t="shared" si="3"/>
        <v>40008098</v>
      </c>
      <c r="R146" s="14">
        <v>2001.0</v>
      </c>
      <c r="S146" s="14">
        <v>6.2</v>
      </c>
    </row>
    <row r="147" ht="15.75" customHeight="1">
      <c r="A147" s="13" t="s">
        <v>635</v>
      </c>
      <c r="B147" s="8" t="str">
        <f>IFERROR(__xludf.DUMMYFUNCTION("REGEXREPLACE(A147, ""[^0-9a-zA-Z .'Ã]"","""")"),"Steven Spielberg")</f>
        <v>Steven Spielberg</v>
      </c>
      <c r="C147" s="14">
        <v>388.0</v>
      </c>
      <c r="D147" s="15">
        <v>7.9883359E7</v>
      </c>
      <c r="E147" s="14" t="s">
        <v>679</v>
      </c>
      <c r="F147" s="9">
        <f t="shared" si="1"/>
        <v>2</v>
      </c>
      <c r="G147" s="14" t="s">
        <v>680</v>
      </c>
      <c r="H147" s="11" t="str">
        <f>IFERROR(__xludf.DUMMYFUNCTION("REGEXREPLACE(G147, ""[^0-9a-zA-Z .'Ã]"","""")"),"Jeremy Irvine")</f>
        <v>Jeremy Irvine</v>
      </c>
      <c r="I147" s="16" t="s">
        <v>681</v>
      </c>
      <c r="J147" s="14">
        <v>116159.0</v>
      </c>
      <c r="K147" s="14" t="s">
        <v>682</v>
      </c>
      <c r="L147" s="14">
        <v>488.0</v>
      </c>
      <c r="M147" s="14" t="s">
        <v>24</v>
      </c>
      <c r="N147" s="14" t="s">
        <v>25</v>
      </c>
      <c r="O147" s="15">
        <v>6.6E7</v>
      </c>
      <c r="P147" s="10">
        <f t="shared" si="2"/>
        <v>13883359</v>
      </c>
      <c r="Q147" s="12">
        <f t="shared" si="3"/>
        <v>0</v>
      </c>
      <c r="R147" s="14">
        <v>2011.0</v>
      </c>
      <c r="S147" s="14">
        <v>7.2</v>
      </c>
    </row>
    <row r="148" ht="15.75" customHeight="1">
      <c r="A148" s="7" t="s">
        <v>102</v>
      </c>
      <c r="B148" s="8" t="str">
        <f>IFERROR(__xludf.DUMMYFUNCTION("REGEXREPLACE(A148, ""[^0-9a-zA-Z .'Ã]"","""")"),"Michael Polish")</f>
        <v>Michael Polish</v>
      </c>
      <c r="C148" s="9">
        <v>60.0</v>
      </c>
      <c r="D148" s="10">
        <v>1420578.0</v>
      </c>
      <c r="E148" s="9" t="s">
        <v>683</v>
      </c>
      <c r="F148" s="9">
        <f t="shared" si="1"/>
        <v>2</v>
      </c>
      <c r="G148" s="9" t="s">
        <v>684</v>
      </c>
      <c r="H148" s="11" t="str">
        <f>IFERROR(__xludf.DUMMYFUNCTION("REGEXREPLACE(G148, ""[^0-9a-zA-Z .'Ã]"","""")"),"Peter Coyote")</f>
        <v>Peter Coyote</v>
      </c>
      <c r="I148" s="11" t="s">
        <v>685</v>
      </c>
      <c r="J148" s="9">
        <v>4894.0</v>
      </c>
      <c r="K148" s="9" t="s">
        <v>686</v>
      </c>
      <c r="L148" s="9">
        <v>122.0</v>
      </c>
      <c r="M148" s="9" t="s">
        <v>24</v>
      </c>
      <c r="N148" s="9" t="s">
        <v>25</v>
      </c>
      <c r="O148" s="10">
        <v>1900000.0</v>
      </c>
      <c r="P148" s="10">
        <f t="shared" si="2"/>
        <v>0</v>
      </c>
      <c r="Q148" s="12">
        <f t="shared" si="3"/>
        <v>479422</v>
      </c>
      <c r="R148" s="9">
        <v>2003.0</v>
      </c>
      <c r="S148" s="9">
        <v>6.4</v>
      </c>
    </row>
    <row r="149" ht="15.75" customHeight="1">
      <c r="A149" s="7" t="s">
        <v>687</v>
      </c>
      <c r="B149" s="8" t="str">
        <f>IFERROR(__xludf.DUMMYFUNCTION("REGEXREPLACE(A149, ""[^0-9a-zA-Z .'Ã]"","""")"),"John Moore")</f>
        <v>John Moore</v>
      </c>
      <c r="C149" s="9">
        <v>131.0</v>
      </c>
      <c r="D149" s="10">
        <v>5.9068786E7</v>
      </c>
      <c r="E149" s="9" t="s">
        <v>688</v>
      </c>
      <c r="F149" s="9">
        <f t="shared" si="1"/>
        <v>4</v>
      </c>
      <c r="G149" s="9" t="s">
        <v>689</v>
      </c>
      <c r="H149" s="11" t="str">
        <f>IFERROR(__xludf.DUMMYFUNCTION("REGEXREPLACE(G149, ""[^0-9a-zA-Z .'Ã]"","""")"),"Joaquim de Almeida")</f>
        <v>Joaquim de Almeida</v>
      </c>
      <c r="I149" s="11" t="s">
        <v>690</v>
      </c>
      <c r="J149" s="9">
        <v>86902.0</v>
      </c>
      <c r="K149" s="9" t="s">
        <v>691</v>
      </c>
      <c r="L149" s="9">
        <v>411.0</v>
      </c>
      <c r="M149" s="9" t="s">
        <v>24</v>
      </c>
      <c r="N149" s="9" t="s">
        <v>25</v>
      </c>
      <c r="O149" s="10">
        <v>4.0E7</v>
      </c>
      <c r="P149" s="10">
        <f t="shared" si="2"/>
        <v>19068786</v>
      </c>
      <c r="Q149" s="12">
        <f t="shared" si="3"/>
        <v>0</v>
      </c>
      <c r="R149" s="9">
        <v>2001.0</v>
      </c>
      <c r="S149" s="9">
        <v>6.4</v>
      </c>
    </row>
    <row r="150" ht="15.75" customHeight="1">
      <c r="A150" s="7" t="s">
        <v>692</v>
      </c>
      <c r="B150" s="8" t="str">
        <f>IFERROR(__xludf.DUMMYFUNCTION("REGEXREPLACE(A150, ""[^0-9a-zA-Z .'Ã]"","""")"),"Peter Segal")</f>
        <v>Peter Segal</v>
      </c>
      <c r="C150" s="9">
        <v>27.0</v>
      </c>
      <c r="D150" s="10">
        <v>2.2294341E7</v>
      </c>
      <c r="E150" s="9" t="s">
        <v>693</v>
      </c>
      <c r="F150" s="9">
        <f t="shared" si="1"/>
        <v>2</v>
      </c>
      <c r="G150" s="9" t="s">
        <v>694</v>
      </c>
      <c r="H150" s="11" t="str">
        <f>IFERROR(__xludf.DUMMYFUNCTION("REGEXREPLACE(G150, ""[^0-9a-zA-Z .'Ã]"","""")"),"Wilford Brimley")</f>
        <v>Wilford Brimley</v>
      </c>
      <c r="I150" s="11" t="s">
        <v>695</v>
      </c>
      <c r="J150" s="9">
        <v>12278.0</v>
      </c>
      <c r="K150" s="9" t="s">
        <v>696</v>
      </c>
      <c r="L150" s="9">
        <v>71.0</v>
      </c>
      <c r="M150" s="9" t="s">
        <v>24</v>
      </c>
      <c r="N150" s="9" t="s">
        <v>25</v>
      </c>
      <c r="O150" s="10">
        <v>2.15E7</v>
      </c>
      <c r="P150" s="10">
        <f t="shared" si="2"/>
        <v>794341</v>
      </c>
      <c r="Q150" s="12">
        <f t="shared" si="3"/>
        <v>0</v>
      </c>
      <c r="R150" s="9">
        <v>1996.0</v>
      </c>
      <c r="S150" s="9">
        <v>6.5</v>
      </c>
    </row>
    <row r="151" ht="15.75" customHeight="1">
      <c r="A151" s="13" t="s">
        <v>697</v>
      </c>
      <c r="B151" s="8" t="str">
        <f>IFERROR(__xludf.DUMMYFUNCTION("REGEXREPLACE(A151, ""[^0-9a-zA-Z .'Ã]"","""")"),"William Friedkin")</f>
        <v>William Friedkin</v>
      </c>
      <c r="C151" s="14">
        <v>50.0</v>
      </c>
      <c r="D151" s="15">
        <v>9795017.0</v>
      </c>
      <c r="E151" s="14" t="s">
        <v>113</v>
      </c>
      <c r="F151" s="9">
        <f t="shared" si="1"/>
        <v>3</v>
      </c>
      <c r="G151" s="14" t="s">
        <v>186</v>
      </c>
      <c r="H151" s="11" t="str">
        <f>IFERROR(__xludf.DUMMYFUNCTION("REGEXREPLACE(G151, ""[^0-9a-zA-Z .'Ã]"","""")"),"Michael Biehn")</f>
        <v>Michael Biehn</v>
      </c>
      <c r="I151" s="16" t="s">
        <v>698</v>
      </c>
      <c r="J151" s="14">
        <v>9227.0</v>
      </c>
      <c r="K151" s="14" t="s">
        <v>699</v>
      </c>
      <c r="L151" s="14">
        <v>70.0</v>
      </c>
      <c r="M151" s="14" t="s">
        <v>24</v>
      </c>
      <c r="N151" s="14" t="s">
        <v>25</v>
      </c>
      <c r="O151" s="15">
        <v>5.0E7</v>
      </c>
      <c r="P151" s="10">
        <f t="shared" si="2"/>
        <v>0</v>
      </c>
      <c r="Q151" s="12">
        <f t="shared" si="3"/>
        <v>40204983</v>
      </c>
      <c r="R151" s="14">
        <v>1995.0</v>
      </c>
      <c r="S151" s="14">
        <v>5.1</v>
      </c>
    </row>
    <row r="152" ht="15.75" customHeight="1">
      <c r="A152" s="7" t="s">
        <v>700</v>
      </c>
      <c r="B152" s="8" t="str">
        <f>IFERROR(__xludf.DUMMYFUNCTION("REGEXREPLACE(A152, ""[^0-9a-zA-Z .'Ã]"","""")"),"Don Michael Paul")</f>
        <v>Don Michael Paul</v>
      </c>
      <c r="C152" s="9">
        <v>58.0</v>
      </c>
      <c r="D152" s="10">
        <v>1.5361537E7</v>
      </c>
      <c r="E152" s="9" t="s">
        <v>152</v>
      </c>
      <c r="F152" s="9">
        <f t="shared" si="1"/>
        <v>3</v>
      </c>
      <c r="G152" s="9" t="s">
        <v>701</v>
      </c>
      <c r="H152" s="11" t="str">
        <f>IFERROR(__xludf.DUMMYFUNCTION("REGEXREPLACE(G152, ""[^0-9a-zA-Z .'Ã]"","""")"),"Claudia Christian")</f>
        <v>Claudia Christian</v>
      </c>
      <c r="I152" s="11" t="s">
        <v>702</v>
      </c>
      <c r="J152" s="9">
        <v>12263.0</v>
      </c>
      <c r="K152" s="9" t="s">
        <v>703</v>
      </c>
      <c r="L152" s="9">
        <v>132.0</v>
      </c>
      <c r="M152" s="9" t="s">
        <v>24</v>
      </c>
      <c r="N152" s="9" t="s">
        <v>173</v>
      </c>
      <c r="O152" s="10">
        <v>1.3E7</v>
      </c>
      <c r="P152" s="10">
        <f t="shared" si="2"/>
        <v>2361537</v>
      </c>
      <c r="Q152" s="12">
        <f t="shared" si="3"/>
        <v>0</v>
      </c>
      <c r="R152" s="9">
        <v>2002.0</v>
      </c>
      <c r="S152" s="9">
        <v>4.6</v>
      </c>
    </row>
    <row r="153" ht="15.75" customHeight="1">
      <c r="A153" s="17" t="s">
        <v>315</v>
      </c>
      <c r="B153" s="8" t="str">
        <f>IFERROR(__xludf.DUMMYFUNCTION("REGEXREPLACE(A153, ""[^0-9a-zA-Z .'Ã]"","""")"),"Steven Soderbergh")</f>
        <v>Steven Soderbergh</v>
      </c>
      <c r="C153" s="18">
        <v>111.0</v>
      </c>
      <c r="D153" s="19">
        <v>3193102.0</v>
      </c>
      <c r="E153" s="18" t="s">
        <v>435</v>
      </c>
      <c r="F153" s="9">
        <f t="shared" si="1"/>
        <v>4</v>
      </c>
      <c r="G153" s="18" t="s">
        <v>704</v>
      </c>
      <c r="H153" s="11" t="str">
        <f>IFERROR(__xludf.DUMMYFUNCTION("REGEXREPLACE(G153, ""[^0-9a-zA-Z .'Ã]"","""")"),"Peter Fonda")</f>
        <v>Peter Fonda</v>
      </c>
      <c r="I153" s="20" t="s">
        <v>705</v>
      </c>
      <c r="J153" s="18">
        <v>24412.0</v>
      </c>
      <c r="K153" s="18" t="s">
        <v>706</v>
      </c>
      <c r="L153" s="18">
        <v>240.0</v>
      </c>
      <c r="M153" s="18" t="s">
        <v>24</v>
      </c>
      <c r="N153" s="18" t="s">
        <v>25</v>
      </c>
      <c r="O153" s="19">
        <v>9000000.0</v>
      </c>
      <c r="P153" s="10">
        <f t="shared" si="2"/>
        <v>0</v>
      </c>
      <c r="Q153" s="12">
        <f t="shared" si="3"/>
        <v>5806898</v>
      </c>
      <c r="R153" s="18">
        <v>1999.0</v>
      </c>
      <c r="S153" s="18">
        <v>7.1</v>
      </c>
    </row>
    <row r="154" ht="15.75" customHeight="1">
      <c r="A154" s="7" t="s">
        <v>707</v>
      </c>
      <c r="B154" s="8" t="str">
        <f>IFERROR(__xludf.DUMMYFUNCTION("REGEXREPLACE(A154, ""[^0-9a-zA-Z .'Ã]"","""")"),"Tom Hooper")</f>
        <v>Tom Hooper</v>
      </c>
      <c r="C154" s="9">
        <v>479.0</v>
      </c>
      <c r="D154" s="10">
        <v>1.38795342E8</v>
      </c>
      <c r="E154" s="9" t="s">
        <v>69</v>
      </c>
      <c r="F154" s="9">
        <f t="shared" si="1"/>
        <v>4</v>
      </c>
      <c r="G154" s="9" t="s">
        <v>542</v>
      </c>
      <c r="H154" s="11" t="str">
        <f>IFERROR(__xludf.DUMMYFUNCTION("REGEXREPLACE(G154, ""[^0-9a-zA-Z .'Ã]"","""")"),"Colin Firth")</f>
        <v>Colin Firth</v>
      </c>
      <c r="I154" s="11" t="s">
        <v>708</v>
      </c>
      <c r="J154" s="9">
        <v>503631.0</v>
      </c>
      <c r="K154" s="9" t="s">
        <v>709</v>
      </c>
      <c r="L154" s="9">
        <v>636.0</v>
      </c>
      <c r="M154" s="9" t="s">
        <v>24</v>
      </c>
      <c r="N154" s="9" t="s">
        <v>130</v>
      </c>
      <c r="O154" s="10">
        <v>1.5E7</v>
      </c>
      <c r="P154" s="10">
        <f t="shared" si="2"/>
        <v>123795342</v>
      </c>
      <c r="Q154" s="12">
        <f t="shared" si="3"/>
        <v>0</v>
      </c>
      <c r="R154" s="9">
        <v>2010.0</v>
      </c>
      <c r="S154" s="9">
        <v>8.0</v>
      </c>
    </row>
    <row r="155" ht="15.75" customHeight="1">
      <c r="A155" s="7" t="s">
        <v>710</v>
      </c>
      <c r="B155" s="8" t="str">
        <f>IFERROR(__xludf.DUMMYFUNCTION("REGEXREPLACE(A155, ""[^0-9a-zA-Z .'Ã]"","""")"),"Christian Duguay")</f>
        <v>Christian Duguay</v>
      </c>
      <c r="C155" s="9">
        <v>110.0</v>
      </c>
      <c r="D155" s="10">
        <v>3.0199105E7</v>
      </c>
      <c r="E155" s="9" t="s">
        <v>711</v>
      </c>
      <c r="F155" s="9">
        <f t="shared" si="1"/>
        <v>4</v>
      </c>
      <c r="G155" s="9" t="s">
        <v>186</v>
      </c>
      <c r="H155" s="11" t="str">
        <f>IFERROR(__xludf.DUMMYFUNCTION("REGEXREPLACE(G155, ""[^0-9a-zA-Z .'Ã]"","""")"),"Michael Biehn")</f>
        <v>Michael Biehn</v>
      </c>
      <c r="I155" s="11" t="s">
        <v>712</v>
      </c>
      <c r="J155" s="9">
        <v>25346.0</v>
      </c>
      <c r="K155" s="9" t="s">
        <v>713</v>
      </c>
      <c r="L155" s="9">
        <v>167.0</v>
      </c>
      <c r="M155" s="9" t="s">
        <v>24</v>
      </c>
      <c r="N155" s="9" t="s">
        <v>25</v>
      </c>
      <c r="O155" s="10">
        <v>4.0E7</v>
      </c>
      <c r="P155" s="10">
        <f t="shared" si="2"/>
        <v>0</v>
      </c>
      <c r="Q155" s="12">
        <f t="shared" si="3"/>
        <v>9800895</v>
      </c>
      <c r="R155" s="9">
        <v>2000.0</v>
      </c>
      <c r="S155" s="9">
        <v>5.7</v>
      </c>
    </row>
    <row r="156" ht="15.75" customHeight="1">
      <c r="A156" s="17" t="s">
        <v>714</v>
      </c>
      <c r="B156" s="8" t="str">
        <f>IFERROR(__xludf.DUMMYFUNCTION("REGEXREPLACE(A156, ""[^0-9a-zA-Z .'Ã]"","""")"),"Jon M. Chu")</f>
        <v>Jon M. Chu</v>
      </c>
      <c r="C156" s="18">
        <v>84.0</v>
      </c>
      <c r="D156" s="19">
        <v>7.3000942E7</v>
      </c>
      <c r="E156" s="18" t="s">
        <v>715</v>
      </c>
      <c r="F156" s="9">
        <f t="shared" si="1"/>
        <v>2</v>
      </c>
      <c r="G156" s="18" t="s">
        <v>716</v>
      </c>
      <c r="H156" s="11" t="str">
        <f>IFERROR(__xludf.DUMMYFUNCTION("REGEXREPLACE(G156, ""[^0-9a-zA-Z .'Ã]"","""")"),"Usher Raymond")</f>
        <v>Usher Raymond</v>
      </c>
      <c r="I156" s="20" t="s">
        <v>717</v>
      </c>
      <c r="J156" s="18">
        <v>74351.0</v>
      </c>
      <c r="K156" s="18" t="s">
        <v>718</v>
      </c>
      <c r="L156" s="18">
        <v>233.0</v>
      </c>
      <c r="M156" s="18" t="s">
        <v>24</v>
      </c>
      <c r="N156" s="18" t="s">
        <v>25</v>
      </c>
      <c r="O156" s="19">
        <v>1.3E7</v>
      </c>
      <c r="P156" s="10">
        <f t="shared" si="2"/>
        <v>60000942</v>
      </c>
      <c r="Q156" s="12">
        <f t="shared" si="3"/>
        <v>0</v>
      </c>
      <c r="R156" s="18">
        <v>2011.0</v>
      </c>
      <c r="S156" s="18">
        <v>1.6</v>
      </c>
    </row>
    <row r="157" ht="15.75" customHeight="1">
      <c r="A157" s="7" t="s">
        <v>719</v>
      </c>
      <c r="B157" s="8" t="str">
        <f>IFERROR(__xludf.DUMMYFUNCTION("REGEXREPLACE(A157, ""[^0-9a-zA-Z .'Ã]"","""")"),"Gil Kenan")</f>
        <v>Gil Kenan</v>
      </c>
      <c r="C157" s="9">
        <v>190.0</v>
      </c>
      <c r="D157" s="10">
        <v>7.366101E7</v>
      </c>
      <c r="E157" s="9" t="s">
        <v>720</v>
      </c>
      <c r="F157" s="9">
        <f t="shared" si="1"/>
        <v>5</v>
      </c>
      <c r="G157" s="9" t="s">
        <v>453</v>
      </c>
      <c r="H157" s="11" t="str">
        <f>IFERROR(__xludf.DUMMYFUNCTION("REGEXREPLACE(G157, ""[^0-9a-zA-Z .'Ã]"","""")"),"Steve Buscemi")</f>
        <v>Steve Buscemi</v>
      </c>
      <c r="I157" s="11" t="s">
        <v>721</v>
      </c>
      <c r="J157" s="9">
        <v>71137.0</v>
      </c>
      <c r="K157" s="9" t="s">
        <v>722</v>
      </c>
      <c r="L157" s="9">
        <v>229.0</v>
      </c>
      <c r="M157" s="9" t="s">
        <v>24</v>
      </c>
      <c r="N157" s="9" t="s">
        <v>25</v>
      </c>
      <c r="O157" s="10">
        <v>7.5E7</v>
      </c>
      <c r="P157" s="10">
        <f t="shared" si="2"/>
        <v>0</v>
      </c>
      <c r="Q157" s="12">
        <f t="shared" si="3"/>
        <v>1338990</v>
      </c>
      <c r="R157" s="9">
        <v>2006.0</v>
      </c>
      <c r="S157" s="9">
        <v>6.6</v>
      </c>
    </row>
    <row r="158" ht="15.75" customHeight="1">
      <c r="A158" s="17" t="s">
        <v>723</v>
      </c>
      <c r="B158" s="8" t="str">
        <f>IFERROR(__xludf.DUMMYFUNCTION("REGEXREPLACE(A158, ""[^0-9a-zA-Z .'Ã]"","""")"),"Robert Rodriguez")</f>
        <v>Robert Rodriguez</v>
      </c>
      <c r="C158" s="18">
        <v>154.0</v>
      </c>
      <c r="D158" s="19">
        <v>4.0064955E7</v>
      </c>
      <c r="E158" s="18" t="s">
        <v>724</v>
      </c>
      <c r="F158" s="9">
        <f t="shared" si="1"/>
        <v>3</v>
      </c>
      <c r="G158" s="18" t="s">
        <v>725</v>
      </c>
      <c r="H158" s="11" t="str">
        <f>IFERROR(__xludf.DUMMYFUNCTION("REGEXREPLACE(G158, ""[^0-9a-zA-Z .'Ã]"","""")"),"Jordana Brewster")</f>
        <v>Jordana Brewster</v>
      </c>
      <c r="I158" s="20" t="s">
        <v>726</v>
      </c>
      <c r="J158" s="18">
        <v>92074.0</v>
      </c>
      <c r="K158" s="18" t="s">
        <v>727</v>
      </c>
      <c r="L158" s="18">
        <v>502.0</v>
      </c>
      <c r="M158" s="18" t="s">
        <v>24</v>
      </c>
      <c r="N158" s="18" t="s">
        <v>25</v>
      </c>
      <c r="O158" s="19">
        <v>1.5E7</v>
      </c>
      <c r="P158" s="10">
        <f t="shared" si="2"/>
        <v>25064955</v>
      </c>
      <c r="Q158" s="12">
        <f t="shared" si="3"/>
        <v>0</v>
      </c>
      <c r="R158" s="18">
        <v>1998.0</v>
      </c>
      <c r="S158" s="18">
        <v>6.4</v>
      </c>
    </row>
    <row r="159" ht="15.75" customHeight="1">
      <c r="A159" s="7" t="s">
        <v>728</v>
      </c>
      <c r="B159" s="8" t="str">
        <f>IFERROR(__xludf.DUMMYFUNCTION("REGEXREPLACE(A159, ""[^0-9a-zA-Z -.'Ã]"","""")"),"FranÃois Girard")</f>
        <v>FranÃois Girard</v>
      </c>
      <c r="C159" s="9">
        <v>94.0</v>
      </c>
      <c r="D159" s="10">
        <v>9473382.0</v>
      </c>
      <c r="E159" s="9" t="s">
        <v>729</v>
      </c>
      <c r="F159" s="9">
        <f t="shared" si="1"/>
        <v>4</v>
      </c>
      <c r="G159" s="9" t="s">
        <v>730</v>
      </c>
      <c r="H159" s="11" t="str">
        <f>IFERROR(__xludf.DUMMYFUNCTION("REGEXREPLACE(G159, ""[^0-9a-zA-Z .'Ã]"","""")"),"Johannes Silberschneider")</f>
        <v>Johannes Silberschneider</v>
      </c>
      <c r="I159" s="11" t="s">
        <v>731</v>
      </c>
      <c r="J159" s="9">
        <v>26832.0</v>
      </c>
      <c r="K159" s="9" t="s">
        <v>732</v>
      </c>
      <c r="L159" s="9">
        <v>247.0</v>
      </c>
      <c r="M159" s="9" t="s">
        <v>658</v>
      </c>
      <c r="N159" s="9" t="s">
        <v>624</v>
      </c>
      <c r="O159" s="10">
        <v>1.0E7</v>
      </c>
      <c r="P159" s="10">
        <f t="shared" si="2"/>
        <v>0</v>
      </c>
      <c r="Q159" s="12">
        <f t="shared" si="3"/>
        <v>526618</v>
      </c>
      <c r="R159" s="9">
        <v>1998.0</v>
      </c>
      <c r="S159" s="9">
        <v>7.7</v>
      </c>
    </row>
    <row r="160" ht="15.75" customHeight="1">
      <c r="A160" s="17" t="s">
        <v>733</v>
      </c>
      <c r="B160" s="8" t="str">
        <f>IFERROR(__xludf.DUMMYFUNCTION("REGEXREPLACE(A160, ""[^0-9a-zA-Z .'Ã]"","""")"),"Nicholas Hytner")</f>
        <v>Nicholas Hytner</v>
      </c>
      <c r="C160" s="18">
        <v>68.0</v>
      </c>
      <c r="D160" s="19">
        <v>1.717487E7</v>
      </c>
      <c r="E160" s="18" t="s">
        <v>734</v>
      </c>
      <c r="F160" s="9">
        <f t="shared" si="1"/>
        <v>3</v>
      </c>
      <c r="G160" s="18" t="s">
        <v>735</v>
      </c>
      <c r="H160" s="11" t="str">
        <f>IFERROR(__xludf.DUMMYFUNCTION("REGEXREPLACE(G160, ""[^0-9a-zA-Z .'Ã]"","""")"),"Amanda Schull")</f>
        <v>Amanda Schull</v>
      </c>
      <c r="I160" s="20" t="s">
        <v>736</v>
      </c>
      <c r="J160" s="18">
        <v>15817.0</v>
      </c>
      <c r="K160" s="18" t="s">
        <v>737</v>
      </c>
      <c r="L160" s="18">
        <v>210.0</v>
      </c>
      <c r="M160" s="18" t="s">
        <v>24</v>
      </c>
      <c r="N160" s="18" t="s">
        <v>25</v>
      </c>
      <c r="O160" s="19">
        <v>1.8E7</v>
      </c>
      <c r="P160" s="10">
        <f t="shared" si="2"/>
        <v>0</v>
      </c>
      <c r="Q160" s="12">
        <f t="shared" si="3"/>
        <v>825130</v>
      </c>
      <c r="R160" s="18">
        <v>2000.0</v>
      </c>
      <c r="S160" s="18">
        <v>6.7</v>
      </c>
    </row>
    <row r="161" ht="15.75" customHeight="1">
      <c r="A161" s="7" t="s">
        <v>738</v>
      </c>
      <c r="B161" s="8" t="str">
        <f>IFERROR(__xludf.DUMMYFUNCTION("REGEXREPLACE(A161, ""[^0-9a-zA-Z -.'Ã]"","""")"),"Costa-Gavras")</f>
        <v>Costa-Gavras</v>
      </c>
      <c r="C161" s="9">
        <v>69.0</v>
      </c>
      <c r="D161" s="10">
        <v>274299.0</v>
      </c>
      <c r="E161" s="9" t="s">
        <v>739</v>
      </c>
      <c r="F161" s="9">
        <f t="shared" si="1"/>
        <v>4</v>
      </c>
      <c r="G161" s="9" t="s">
        <v>740</v>
      </c>
      <c r="H161" s="11" t="str">
        <f>IFERROR(__xludf.DUMMYFUNCTION("REGEXREPLACE(G161, ""[^0-9a-zA-Z .'Ã]"","""")"),"Sebastian Koch")</f>
        <v>Sebastian Koch</v>
      </c>
      <c r="I161" s="11" t="s">
        <v>741</v>
      </c>
      <c r="J161" s="9">
        <v>11077.0</v>
      </c>
      <c r="K161" s="9" t="s">
        <v>742</v>
      </c>
      <c r="L161" s="9">
        <v>55.0</v>
      </c>
      <c r="M161" s="9" t="s">
        <v>24</v>
      </c>
      <c r="N161" s="9" t="s">
        <v>608</v>
      </c>
      <c r="O161" s="10">
        <v>1.03E8</v>
      </c>
      <c r="P161" s="10">
        <f t="shared" si="2"/>
        <v>0</v>
      </c>
      <c r="Q161" s="12">
        <f t="shared" si="3"/>
        <v>102725701</v>
      </c>
      <c r="R161" s="9">
        <v>2002.0</v>
      </c>
      <c r="S161" s="9">
        <v>7.3</v>
      </c>
    </row>
    <row r="162" ht="15.75" customHeight="1">
      <c r="A162" s="7" t="s">
        <v>743</v>
      </c>
      <c r="B162" s="8" t="str">
        <f>IFERROR(__xludf.DUMMYFUNCTION("REGEXREPLACE(A162, ""[^0-9a-zA-Z .'Ã]"","""")"),"Lawrence Guterman")</f>
        <v>Lawrence Guterman</v>
      </c>
      <c r="C162" s="9">
        <v>78.0</v>
      </c>
      <c r="D162" s="10">
        <v>1.7010646E7</v>
      </c>
      <c r="E162" s="9" t="s">
        <v>514</v>
      </c>
      <c r="F162" s="9">
        <f t="shared" si="1"/>
        <v>3</v>
      </c>
      <c r="G162" s="9" t="s">
        <v>744</v>
      </c>
      <c r="H162" s="11" t="str">
        <f>IFERROR(__xludf.DUMMYFUNCTION("REGEXREPLACE(G162, ""[^0-9a-zA-Z .'Ã]"","""")"),"Jamie Kennedy")</f>
        <v>Jamie Kennedy</v>
      </c>
      <c r="I162" s="11" t="s">
        <v>745</v>
      </c>
      <c r="J162" s="9">
        <v>40751.0</v>
      </c>
      <c r="K162" s="9" t="s">
        <v>746</v>
      </c>
      <c r="L162" s="9">
        <v>239.0</v>
      </c>
      <c r="M162" s="9" t="s">
        <v>24</v>
      </c>
      <c r="N162" s="9" t="s">
        <v>25</v>
      </c>
      <c r="O162" s="10">
        <v>8.4E7</v>
      </c>
      <c r="P162" s="10">
        <f t="shared" si="2"/>
        <v>0</v>
      </c>
      <c r="Q162" s="12">
        <f t="shared" si="3"/>
        <v>66989354</v>
      </c>
      <c r="R162" s="9">
        <v>2005.0</v>
      </c>
      <c r="S162" s="9">
        <v>2.2</v>
      </c>
    </row>
    <row r="163" ht="15.75" customHeight="1">
      <c r="A163" s="7" t="s">
        <v>747</v>
      </c>
      <c r="B163" s="8" t="str">
        <f>IFERROR(__xludf.DUMMYFUNCTION("REGEXREPLACE(A163, ""[^0-9a-zA-Z .'Ã]"","""")"),"Michael Chapman")</f>
        <v>Michael Chapman</v>
      </c>
      <c r="C163" s="9">
        <v>21.0</v>
      </c>
      <c r="D163" s="10">
        <v>1953732.0</v>
      </c>
      <c r="E163" s="9" t="s">
        <v>748</v>
      </c>
      <c r="F163" s="9">
        <f t="shared" si="1"/>
        <v>3</v>
      </c>
      <c r="G163" s="9" t="s">
        <v>749</v>
      </c>
      <c r="H163" s="11" t="str">
        <f>IFERROR(__xludf.DUMMYFUNCTION("REGEXREPLACE(G163, ""[^0-9a-zA-Z .'Ã]"","""")"),"Curtis Armstrong")</f>
        <v>Curtis Armstrong</v>
      </c>
      <c r="I163" s="11" t="s">
        <v>750</v>
      </c>
      <c r="J163" s="9">
        <v>4996.0</v>
      </c>
      <c r="K163" s="9" t="s">
        <v>751</v>
      </c>
      <c r="L163" s="9">
        <v>62.0</v>
      </c>
      <c r="M163" s="9" t="s">
        <v>24</v>
      </c>
      <c r="N163" s="9" t="s">
        <v>25</v>
      </c>
      <c r="O163" s="10">
        <v>1.5E7</v>
      </c>
      <c r="P163" s="10">
        <f t="shared" si="2"/>
        <v>0</v>
      </c>
      <c r="Q163" s="12">
        <f t="shared" si="3"/>
        <v>13046268</v>
      </c>
      <c r="R163" s="9">
        <v>1986.0</v>
      </c>
      <c r="S163" s="9">
        <v>5.3</v>
      </c>
    </row>
    <row r="164" ht="15.75" customHeight="1">
      <c r="A164" s="17" t="s">
        <v>752</v>
      </c>
      <c r="B164" s="8" t="str">
        <f>IFERROR(__xludf.DUMMYFUNCTION("REGEXREPLACE(A164, ""[^0-9a-zA-Z .'Ã]"","""")"),"Mike Nichols")</f>
        <v>Mike Nichols</v>
      </c>
      <c r="C164" s="18">
        <v>117.0</v>
      </c>
      <c r="D164" s="19">
        <v>3.8966057E7</v>
      </c>
      <c r="E164" s="18" t="s">
        <v>454</v>
      </c>
      <c r="F164" s="9">
        <f t="shared" si="1"/>
        <v>2</v>
      </c>
      <c r="G164" s="18" t="s">
        <v>753</v>
      </c>
      <c r="H164" s="11" t="str">
        <f>IFERROR(__xludf.DUMMYFUNCTION("REGEXREPLACE(G164, ""[^0-9a-zA-Z .'Ã]"","""")"),"Maura Tierney")</f>
        <v>Maura Tierney</v>
      </c>
      <c r="I164" s="20" t="s">
        <v>754</v>
      </c>
      <c r="J164" s="18">
        <v>23940.0</v>
      </c>
      <c r="K164" s="18" t="s">
        <v>755</v>
      </c>
      <c r="L164" s="18">
        <v>157.0</v>
      </c>
      <c r="M164" s="18" t="s">
        <v>24</v>
      </c>
      <c r="N164" s="18" t="s">
        <v>608</v>
      </c>
      <c r="O164" s="19">
        <v>6.5E7</v>
      </c>
      <c r="P164" s="10">
        <f t="shared" si="2"/>
        <v>0</v>
      </c>
      <c r="Q164" s="12">
        <f t="shared" si="3"/>
        <v>26033943</v>
      </c>
      <c r="R164" s="18">
        <v>1998.0</v>
      </c>
      <c r="S164" s="18">
        <v>6.7</v>
      </c>
    </row>
    <row r="165" ht="15.75" customHeight="1">
      <c r="A165" s="17" t="s">
        <v>756</v>
      </c>
      <c r="B165" s="8" t="str">
        <f>IFERROR(__xludf.DUMMYFUNCTION("REGEXREPLACE(A165, ""[^0-9a-zA-Z .'Ã]"","""")"),"Adam Shankman")</f>
        <v>Adam Shankman</v>
      </c>
      <c r="C165" s="18">
        <v>80.0</v>
      </c>
      <c r="D165" s="19">
        <v>4.1227069E7</v>
      </c>
      <c r="E165" s="18" t="s">
        <v>232</v>
      </c>
      <c r="F165" s="9">
        <f t="shared" si="1"/>
        <v>2</v>
      </c>
      <c r="G165" s="18" t="s">
        <v>757</v>
      </c>
      <c r="H165" s="11" t="str">
        <f>IFERROR(__xludf.DUMMYFUNCTION("REGEXREPLACE(G165, ""[^0-9a-zA-Z .'Ã]"","""")"),"Lauren German")</f>
        <v>Lauren German</v>
      </c>
      <c r="I165" s="20" t="s">
        <v>758</v>
      </c>
      <c r="J165" s="18">
        <v>162701.0</v>
      </c>
      <c r="K165" s="18" t="s">
        <v>759</v>
      </c>
      <c r="L165" s="18">
        <v>962.0</v>
      </c>
      <c r="M165" s="18" t="s">
        <v>24</v>
      </c>
      <c r="N165" s="18" t="s">
        <v>25</v>
      </c>
      <c r="O165" s="19">
        <v>1.1E7</v>
      </c>
      <c r="P165" s="10">
        <f t="shared" si="2"/>
        <v>30227069</v>
      </c>
      <c r="Q165" s="12">
        <f t="shared" si="3"/>
        <v>0</v>
      </c>
      <c r="R165" s="18">
        <v>2002.0</v>
      </c>
      <c r="S165" s="18">
        <v>7.4</v>
      </c>
    </row>
    <row r="166" ht="15.75" customHeight="1">
      <c r="A166" s="7" t="s">
        <v>760</v>
      </c>
      <c r="B166" s="8" t="str">
        <f>IFERROR(__xludf.DUMMYFUNCTION("REGEXREPLACE(A166, ""[^0-9a-zA-Z .'Ã]"","""")"),"Martin Scorsese")</f>
        <v>Martin Scorsese</v>
      </c>
      <c r="C166" s="9">
        <v>163.0</v>
      </c>
      <c r="D166" s="10">
        <v>1.664021E7</v>
      </c>
      <c r="E166" s="9" t="s">
        <v>369</v>
      </c>
      <c r="F166" s="9">
        <f t="shared" si="1"/>
        <v>2</v>
      </c>
      <c r="G166" s="9" t="s">
        <v>458</v>
      </c>
      <c r="H166" s="11" t="str">
        <f>IFERROR(__xludf.DUMMYFUNCTION("REGEXREPLACE(G166, ""[^0-9a-zA-Z .'Ã]"","""")"),"Nicolas Cage")</f>
        <v>Nicolas Cage</v>
      </c>
      <c r="I166" s="11" t="s">
        <v>761</v>
      </c>
      <c r="J166" s="9">
        <v>53028.0</v>
      </c>
      <c r="K166" s="9" t="s">
        <v>762</v>
      </c>
      <c r="L166" s="9">
        <v>382.0</v>
      </c>
      <c r="M166" s="9" t="s">
        <v>24</v>
      </c>
      <c r="N166" s="9" t="s">
        <v>25</v>
      </c>
      <c r="O166" s="10">
        <v>5.5E7</v>
      </c>
      <c r="P166" s="10">
        <f t="shared" si="2"/>
        <v>0</v>
      </c>
      <c r="Q166" s="12">
        <f t="shared" si="3"/>
        <v>38359790</v>
      </c>
      <c r="R166" s="9">
        <v>1999.0</v>
      </c>
      <c r="S166" s="9">
        <v>6.8</v>
      </c>
    </row>
    <row r="167" ht="15.75" customHeight="1">
      <c r="A167" s="7" t="s">
        <v>763</v>
      </c>
      <c r="B167" s="8" t="str">
        <f>IFERROR(__xludf.DUMMYFUNCTION("REGEXREPLACE(A167, ""[^0-9a-zA-Z .'Ã]"","""")"),"Kimberly Peirce")</f>
        <v>Kimberly Peirce</v>
      </c>
      <c r="C167" s="9">
        <v>143.0</v>
      </c>
      <c r="D167" s="10">
        <v>1.091175E7</v>
      </c>
      <c r="E167" s="9" t="s">
        <v>679</v>
      </c>
      <c r="F167" s="9">
        <f t="shared" si="1"/>
        <v>2</v>
      </c>
      <c r="G167" s="9" t="s">
        <v>764</v>
      </c>
      <c r="H167" s="11" t="str">
        <f>IFERROR(__xludf.DUMMYFUNCTION("REGEXREPLACE(G167, ""[^0-9a-zA-Z .'Ã]"","""")"),"Joseph GordonLevitt")</f>
        <v>Joseph GordonLevitt</v>
      </c>
      <c r="I167" s="11" t="s">
        <v>765</v>
      </c>
      <c r="J167" s="9">
        <v>17757.0</v>
      </c>
      <c r="K167" s="9" t="s">
        <v>766</v>
      </c>
      <c r="L167" s="9">
        <v>99.0</v>
      </c>
      <c r="M167" s="9" t="s">
        <v>24</v>
      </c>
      <c r="N167" s="9" t="s">
        <v>25</v>
      </c>
      <c r="O167" s="10">
        <v>2.5E7</v>
      </c>
      <c r="P167" s="10">
        <f t="shared" si="2"/>
        <v>0</v>
      </c>
      <c r="Q167" s="12">
        <f t="shared" si="3"/>
        <v>14088250</v>
      </c>
      <c r="R167" s="9">
        <v>2008.0</v>
      </c>
      <c r="S167" s="9">
        <v>6.5</v>
      </c>
    </row>
    <row r="168" ht="15.75" customHeight="1">
      <c r="A168" s="7" t="s">
        <v>767</v>
      </c>
      <c r="B168" s="8" t="str">
        <f>IFERROR(__xludf.DUMMYFUNCTION("REGEXREPLACE(A168, ""[^0-9a-zA-Z .'Ã]"","""")"),"Mike Binder")</f>
        <v>Mike Binder</v>
      </c>
      <c r="C168" s="9">
        <v>154.0</v>
      </c>
      <c r="D168" s="10">
        <v>1.9661987E7</v>
      </c>
      <c r="E168" s="9" t="s">
        <v>103</v>
      </c>
      <c r="F168" s="9">
        <f t="shared" si="1"/>
        <v>1</v>
      </c>
      <c r="G168" s="9" t="s">
        <v>616</v>
      </c>
      <c r="H168" s="11" t="str">
        <f>IFERROR(__xludf.DUMMYFUNCTION("REGEXREPLACE(G168, ""[^0-9a-zA-Z .'Ã]"","""")"),"Adam Sandler")</f>
        <v>Adam Sandler</v>
      </c>
      <c r="I168" s="11" t="s">
        <v>768</v>
      </c>
      <c r="J168" s="9">
        <v>83786.0</v>
      </c>
      <c r="K168" s="9" t="s">
        <v>769</v>
      </c>
      <c r="L168" s="9">
        <v>231.0</v>
      </c>
      <c r="M168" s="9" t="s">
        <v>24</v>
      </c>
      <c r="N168" s="9" t="s">
        <v>25</v>
      </c>
      <c r="O168" s="10">
        <v>2.0E7</v>
      </c>
      <c r="P168" s="10">
        <f t="shared" si="2"/>
        <v>0</v>
      </c>
      <c r="Q168" s="12">
        <f t="shared" si="3"/>
        <v>338013</v>
      </c>
      <c r="R168" s="9">
        <v>2007.0</v>
      </c>
      <c r="S168" s="9">
        <v>7.5</v>
      </c>
    </row>
    <row r="169" ht="15.75" customHeight="1">
      <c r="A169" s="17" t="s">
        <v>770</v>
      </c>
      <c r="B169" s="8" t="str">
        <f>IFERROR(__xludf.DUMMYFUNCTION("REGEXREPLACE(A169, ""[^0-9a-zA-Z -.'Ã]"","""")"),"JosÃ Padilha")</f>
        <v>JosÃ Padilha</v>
      </c>
      <c r="C169" s="18">
        <v>492.0</v>
      </c>
      <c r="D169" s="19">
        <v>5.8607007E7</v>
      </c>
      <c r="E169" s="18" t="s">
        <v>771</v>
      </c>
      <c r="F169" s="9">
        <f t="shared" si="1"/>
        <v>4</v>
      </c>
      <c r="G169" s="18" t="s">
        <v>772</v>
      </c>
      <c r="H169" s="11" t="str">
        <f>IFERROR(__xludf.DUMMYFUNCTION("REGEXREPLACE(G169, ""[^0-9a-zA-Z .'Ã]"","""")"),"Gary Oldman")</f>
        <v>Gary Oldman</v>
      </c>
      <c r="I169" s="20" t="s">
        <v>773</v>
      </c>
      <c r="J169" s="18">
        <v>182899.0</v>
      </c>
      <c r="K169" s="18" t="s">
        <v>774</v>
      </c>
      <c r="L169" s="18">
        <v>630.0</v>
      </c>
      <c r="M169" s="18" t="s">
        <v>24</v>
      </c>
      <c r="N169" s="18" t="s">
        <v>25</v>
      </c>
      <c r="O169" s="19">
        <v>1.0E8</v>
      </c>
      <c r="P169" s="10">
        <f t="shared" si="2"/>
        <v>0</v>
      </c>
      <c r="Q169" s="12">
        <f t="shared" si="3"/>
        <v>41392993</v>
      </c>
      <c r="R169" s="18">
        <v>2014.0</v>
      </c>
      <c r="S169" s="18">
        <v>6.2</v>
      </c>
    </row>
    <row r="170" ht="15.75" customHeight="1">
      <c r="A170" s="13" t="s">
        <v>775</v>
      </c>
      <c r="B170" s="8" t="str">
        <f>IFERROR(__xludf.DUMMYFUNCTION("REGEXREPLACE(A170, ""[^0-9a-zA-Z .'Ã]"","""")"),"Neil Burger")</f>
        <v>Neil Burger</v>
      </c>
      <c r="C170" s="14">
        <v>459.0</v>
      </c>
      <c r="D170" s="15">
        <v>1.50832203E8</v>
      </c>
      <c r="E170" s="14" t="s">
        <v>776</v>
      </c>
      <c r="F170" s="9">
        <f t="shared" si="1"/>
        <v>3</v>
      </c>
      <c r="G170" s="14" t="s">
        <v>777</v>
      </c>
      <c r="H170" s="11" t="str">
        <f>IFERROR(__xludf.DUMMYFUNCTION("REGEXREPLACE(G170, ""[^0-9a-zA-Z .'Ã]"","""")"),"Kate Winslet")</f>
        <v>Kate Winslet</v>
      </c>
      <c r="I170" s="16" t="s">
        <v>778</v>
      </c>
      <c r="J170" s="14">
        <v>341058.0</v>
      </c>
      <c r="K170" s="14" t="s">
        <v>779</v>
      </c>
      <c r="L170" s="14">
        <v>713.0</v>
      </c>
      <c r="M170" s="14" t="s">
        <v>24</v>
      </c>
      <c r="N170" s="14" t="s">
        <v>25</v>
      </c>
      <c r="O170" s="15">
        <v>8.5E7</v>
      </c>
      <c r="P170" s="10">
        <f t="shared" si="2"/>
        <v>65832203</v>
      </c>
      <c r="Q170" s="12">
        <f t="shared" si="3"/>
        <v>0</v>
      </c>
      <c r="R170" s="14">
        <v>2014.0</v>
      </c>
      <c r="S170" s="14">
        <v>6.7</v>
      </c>
    </row>
    <row r="171" ht="15.75" customHeight="1">
      <c r="A171" s="7" t="s">
        <v>635</v>
      </c>
      <c r="B171" s="8" t="str">
        <f>IFERROR(__xludf.DUMMYFUNCTION("REGEXREPLACE(A171, ""[^0-9a-zA-Z .'Ã]"","""")"),"Steven Spielberg")</f>
        <v>Steven Spielberg</v>
      </c>
      <c r="C171" s="9">
        <v>219.0</v>
      </c>
      <c r="D171" s="10">
        <v>2.16119491E8</v>
      </c>
      <c r="E171" s="9" t="s">
        <v>403</v>
      </c>
      <c r="F171" s="9">
        <f t="shared" si="1"/>
        <v>3</v>
      </c>
      <c r="G171" s="9" t="s">
        <v>461</v>
      </c>
      <c r="H171" s="11" t="str">
        <f>IFERROR(__xludf.DUMMYFUNCTION("REGEXREPLACE(G171, ""[^0-9a-zA-Z .'Ã]"","""")"),"Tom Hanks")</f>
        <v>Tom Hanks</v>
      </c>
      <c r="I171" s="11" t="s">
        <v>780</v>
      </c>
      <c r="J171" s="9">
        <v>881236.0</v>
      </c>
      <c r="K171" s="9" t="s">
        <v>781</v>
      </c>
      <c r="L171" s="9">
        <v>2277.0</v>
      </c>
      <c r="M171" s="9" t="s">
        <v>24</v>
      </c>
      <c r="N171" s="9" t="s">
        <v>25</v>
      </c>
      <c r="O171" s="10">
        <v>7.0E7</v>
      </c>
      <c r="P171" s="10">
        <f t="shared" si="2"/>
        <v>146119491</v>
      </c>
      <c r="Q171" s="12">
        <f t="shared" si="3"/>
        <v>0</v>
      </c>
      <c r="R171" s="9">
        <v>1998.0</v>
      </c>
      <c r="S171" s="9">
        <v>8.6</v>
      </c>
    </row>
    <row r="172" ht="15.75" customHeight="1">
      <c r="A172" s="7" t="s">
        <v>782</v>
      </c>
      <c r="B172" s="8" t="str">
        <f>IFERROR(__xludf.DUMMYFUNCTION("REGEXREPLACE(A172, ""[^0-9a-zA-Z .'Ã]"","""")"),"Mark Rydell")</f>
        <v>Mark Rydell</v>
      </c>
      <c r="C172" s="9">
        <v>32.0</v>
      </c>
      <c r="D172" s="10">
        <v>2.92E7</v>
      </c>
      <c r="E172" s="9" t="s">
        <v>734</v>
      </c>
      <c r="F172" s="9">
        <f t="shared" si="1"/>
        <v>3</v>
      </c>
      <c r="G172" s="9" t="s">
        <v>783</v>
      </c>
      <c r="H172" s="11" t="str">
        <f>IFERROR(__xludf.DUMMYFUNCTION("REGEXREPLACE(G172, ""[^0-9a-zA-Z .'Ã]"","""")"),"David Keith")</f>
        <v>David Keith</v>
      </c>
      <c r="I172" s="11" t="s">
        <v>784</v>
      </c>
      <c r="J172" s="9">
        <v>6142.0</v>
      </c>
      <c r="K172" s="9" t="s">
        <v>785</v>
      </c>
      <c r="L172" s="9">
        <v>52.0</v>
      </c>
      <c r="M172" s="9" t="s">
        <v>24</v>
      </c>
      <c r="N172" s="9" t="s">
        <v>25</v>
      </c>
      <c r="O172" s="10">
        <v>8500000.0</v>
      </c>
      <c r="P172" s="10">
        <f t="shared" si="2"/>
        <v>20700000</v>
      </c>
      <c r="Q172" s="12">
        <f t="shared" si="3"/>
        <v>0</v>
      </c>
      <c r="R172" s="9">
        <v>1979.0</v>
      </c>
      <c r="S172" s="9">
        <v>6.9</v>
      </c>
    </row>
    <row r="173" ht="15.75" customHeight="1">
      <c r="A173" s="7" t="s">
        <v>786</v>
      </c>
      <c r="B173" s="8" t="str">
        <f>IFERROR(__xludf.DUMMYFUNCTION("REGEXREPLACE(A173, ""[^0-9a-zA-Z .'Ã]"","""")"),"Adam Goldberg")</f>
        <v>Adam Goldberg</v>
      </c>
      <c r="C173" s="9">
        <v>22.0</v>
      </c>
      <c r="D173" s="10">
        <v>2580.0</v>
      </c>
      <c r="E173" s="9" t="s">
        <v>79</v>
      </c>
      <c r="F173" s="9">
        <f t="shared" si="1"/>
        <v>2</v>
      </c>
      <c r="G173" s="9" t="s">
        <v>642</v>
      </c>
      <c r="H173" s="11" t="str">
        <f>IFERROR(__xludf.DUMMYFUNCTION("REGEXREPLACE(G173, ""[^0-9a-zA-Z .'Ã]"","""")"),"Judy Greer")</f>
        <v>Judy Greer</v>
      </c>
      <c r="I173" s="11" t="s">
        <v>787</v>
      </c>
      <c r="J173" s="9">
        <v>1618.0</v>
      </c>
      <c r="K173" s="9" t="s">
        <v>788</v>
      </c>
      <c r="L173" s="9">
        <v>40.0</v>
      </c>
      <c r="M173" s="9" t="s">
        <v>24</v>
      </c>
      <c r="N173" s="9" t="s">
        <v>25</v>
      </c>
      <c r="O173" s="10">
        <v>1650000.0</v>
      </c>
      <c r="P173" s="10">
        <f t="shared" si="2"/>
        <v>0</v>
      </c>
      <c r="Q173" s="12">
        <f t="shared" si="3"/>
        <v>1647420</v>
      </c>
      <c r="R173" s="9">
        <v>2003.0</v>
      </c>
      <c r="S173" s="9">
        <v>5.4</v>
      </c>
    </row>
    <row r="174" ht="15.75" customHeight="1">
      <c r="A174" s="7" t="s">
        <v>789</v>
      </c>
      <c r="B174" s="8" t="str">
        <f>IFERROR(__xludf.DUMMYFUNCTION("REGEXREPLACE(A174, ""[^0-9a-zA-Z .'Ã]"","""")"),"George Gallo")</f>
        <v>George Gallo</v>
      </c>
      <c r="C174" s="9">
        <v>45.0</v>
      </c>
      <c r="D174" s="10">
        <v>20218.0</v>
      </c>
      <c r="E174" s="9" t="s">
        <v>790</v>
      </c>
      <c r="F174" s="9">
        <f t="shared" si="1"/>
        <v>4</v>
      </c>
      <c r="G174" s="9" t="s">
        <v>791</v>
      </c>
      <c r="H174" s="11" t="str">
        <f>IFERROR(__xludf.DUMMYFUNCTION("REGEXREPLACE(G174, ""[^0-9a-zA-Z .'Ã]"","""")"),"Daniel Roebuck")</f>
        <v>Daniel Roebuck</v>
      </c>
      <c r="I174" s="11" t="s">
        <v>792</v>
      </c>
      <c r="J174" s="9">
        <v>5431.0</v>
      </c>
      <c r="K174" s="9" t="s">
        <v>793</v>
      </c>
      <c r="L174" s="9">
        <v>50.0</v>
      </c>
      <c r="M174" s="9" t="s">
        <v>24</v>
      </c>
      <c r="N174" s="9" t="s">
        <v>25</v>
      </c>
      <c r="O174" s="10">
        <v>2.4E7</v>
      </c>
      <c r="P174" s="10">
        <f t="shared" si="2"/>
        <v>0</v>
      </c>
      <c r="Q174" s="12">
        <f t="shared" si="3"/>
        <v>23979782</v>
      </c>
      <c r="R174" s="9">
        <v>2001.0</v>
      </c>
      <c r="S174" s="9">
        <v>5.3</v>
      </c>
    </row>
    <row r="175" ht="15.75" customHeight="1">
      <c r="A175" s="7" t="s">
        <v>714</v>
      </c>
      <c r="B175" s="8" t="str">
        <f>IFERROR(__xludf.DUMMYFUNCTION("REGEXREPLACE(A175, ""[^0-9a-zA-Z .'Ã]"","""")"),"Jon M. Chu")</f>
        <v>Jon M. Chu</v>
      </c>
      <c r="C175" s="9">
        <v>351.0</v>
      </c>
      <c r="D175" s="10">
        <v>1.22512052E8</v>
      </c>
      <c r="E175" s="9" t="s">
        <v>794</v>
      </c>
      <c r="F175" s="9">
        <f t="shared" si="1"/>
        <v>4</v>
      </c>
      <c r="G175" s="9" t="s">
        <v>176</v>
      </c>
      <c r="H175" s="11" t="str">
        <f>IFERROR(__xludf.DUMMYFUNCTION("REGEXREPLACE(G175, ""[^0-9a-zA-Z .'Ã]"","""")"),"Channing Tatum")</f>
        <v>Channing Tatum</v>
      </c>
      <c r="I175" s="11" t="s">
        <v>795</v>
      </c>
      <c r="J175" s="9">
        <v>146352.0</v>
      </c>
      <c r="K175" s="9" t="s">
        <v>796</v>
      </c>
      <c r="L175" s="9">
        <v>288.0</v>
      </c>
      <c r="M175" s="9" t="s">
        <v>24</v>
      </c>
      <c r="N175" s="9" t="s">
        <v>25</v>
      </c>
      <c r="O175" s="10">
        <v>1.3E8</v>
      </c>
      <c r="P175" s="10">
        <f t="shared" si="2"/>
        <v>0</v>
      </c>
      <c r="Q175" s="12">
        <f t="shared" si="3"/>
        <v>7487948</v>
      </c>
      <c r="R175" s="9">
        <v>2013.0</v>
      </c>
      <c r="S175" s="9">
        <v>5.8</v>
      </c>
    </row>
    <row r="176" ht="15.75" customHeight="1">
      <c r="A176" s="7" t="s">
        <v>797</v>
      </c>
      <c r="B176" s="8" t="str">
        <f>IFERROR(__xludf.DUMMYFUNCTION("REGEXREPLACE(A176, ""[^0-9a-zA-Z .'Ã]"","""")"),"Will Finn")</f>
        <v>Will Finn</v>
      </c>
      <c r="C176" s="9">
        <v>51.0</v>
      </c>
      <c r="D176" s="10">
        <v>8460990.0</v>
      </c>
      <c r="E176" s="9" t="s">
        <v>798</v>
      </c>
      <c r="F176" s="9">
        <f t="shared" si="1"/>
        <v>5</v>
      </c>
      <c r="G176" s="9" t="s">
        <v>799</v>
      </c>
      <c r="H176" s="11" t="str">
        <f>IFERROR(__xludf.DUMMYFUNCTION("REGEXREPLACE(G176, ""[^0-9a-zA-Z .'Ã]"","""")"),"Lea Michele")</f>
        <v>Lea Michele</v>
      </c>
      <c r="I176" s="11" t="s">
        <v>800</v>
      </c>
      <c r="J176" s="9">
        <v>5116.0</v>
      </c>
      <c r="K176" s="9" t="s">
        <v>801</v>
      </c>
      <c r="L176" s="9">
        <v>54.0</v>
      </c>
      <c r="M176" s="9" t="s">
        <v>24</v>
      </c>
      <c r="N176" s="9" t="s">
        <v>25</v>
      </c>
      <c r="O176" s="10">
        <v>7.0E7</v>
      </c>
      <c r="P176" s="10">
        <f t="shared" si="2"/>
        <v>0</v>
      </c>
      <c r="Q176" s="12">
        <f t="shared" si="3"/>
        <v>61539010</v>
      </c>
      <c r="R176" s="9">
        <v>2013.0</v>
      </c>
      <c r="S176" s="9">
        <v>5.6</v>
      </c>
    </row>
    <row r="177" ht="15.75" customHeight="1">
      <c r="A177" s="7" t="s">
        <v>38</v>
      </c>
      <c r="B177" s="8" t="str">
        <f>IFERROR(__xludf.DUMMYFUNCTION("REGEXREPLACE(A177, ""[^0-9a-zA-Z .'Ã]"","""")"),"Clint Eastwood")</f>
        <v>Clint Eastwood</v>
      </c>
      <c r="C177" s="9">
        <v>279.0</v>
      </c>
      <c r="D177" s="10">
        <v>3.3574332E7</v>
      </c>
      <c r="E177" s="9" t="s">
        <v>74</v>
      </c>
      <c r="F177" s="9">
        <f t="shared" si="1"/>
        <v>3</v>
      </c>
      <c r="G177" s="9" t="s">
        <v>802</v>
      </c>
      <c r="H177" s="11" t="str">
        <f>IFERROR(__xludf.DUMMYFUNCTION("REGEXREPLACE(G177, ""[^0-9a-zA-Z .'Ã]"","""")"),"Paul Walker")</f>
        <v>Paul Walker</v>
      </c>
      <c r="I177" s="11" t="s">
        <v>803</v>
      </c>
      <c r="J177" s="9">
        <v>101221.0</v>
      </c>
      <c r="K177" s="9" t="s">
        <v>804</v>
      </c>
      <c r="L177" s="9">
        <v>415.0</v>
      </c>
      <c r="M177" s="9" t="s">
        <v>24</v>
      </c>
      <c r="N177" s="9" t="s">
        <v>25</v>
      </c>
      <c r="O177" s="10">
        <v>9.0E7</v>
      </c>
      <c r="P177" s="10">
        <f t="shared" si="2"/>
        <v>0</v>
      </c>
      <c r="Q177" s="12">
        <f t="shared" si="3"/>
        <v>56425668</v>
      </c>
      <c r="R177" s="9">
        <v>2006.0</v>
      </c>
      <c r="S177" s="9">
        <v>7.1</v>
      </c>
    </row>
    <row r="178" ht="15.75" customHeight="1">
      <c r="A178" s="17" t="s">
        <v>805</v>
      </c>
      <c r="B178" s="8" t="str">
        <f>IFERROR(__xludf.DUMMYFUNCTION("REGEXREPLACE(A178, ""[^0-9a-zA-Z .'Ã]"","""")"),"Rod Lurie")</f>
        <v>Rod Lurie</v>
      </c>
      <c r="C178" s="18">
        <v>110.0</v>
      </c>
      <c r="D178" s="19">
        <v>1.8208078E7</v>
      </c>
      <c r="E178" s="18" t="s">
        <v>175</v>
      </c>
      <c r="F178" s="9">
        <f t="shared" si="1"/>
        <v>3</v>
      </c>
      <c r="G178" s="18" t="s">
        <v>806</v>
      </c>
      <c r="H178" s="11" t="str">
        <f>IFERROR(__xludf.DUMMYFUNCTION("REGEXREPLACE(G178, ""[^0-9a-zA-Z .'Ã]"","""")"),"Clifton Collins Jr.")</f>
        <v>Clifton Collins Jr.</v>
      </c>
      <c r="I178" s="20" t="s">
        <v>807</v>
      </c>
      <c r="J178" s="18">
        <v>57100.0</v>
      </c>
      <c r="K178" s="18" t="s">
        <v>808</v>
      </c>
      <c r="L178" s="18">
        <v>281.0</v>
      </c>
      <c r="M178" s="18" t="s">
        <v>24</v>
      </c>
      <c r="N178" s="18" t="s">
        <v>25</v>
      </c>
      <c r="O178" s="19">
        <v>6.0E7</v>
      </c>
      <c r="P178" s="10">
        <f t="shared" si="2"/>
        <v>0</v>
      </c>
      <c r="Q178" s="12">
        <f t="shared" si="3"/>
        <v>41791922</v>
      </c>
      <c r="R178" s="18">
        <v>2001.0</v>
      </c>
      <c r="S178" s="18">
        <v>6.9</v>
      </c>
    </row>
    <row r="179" ht="15.75" customHeight="1">
      <c r="A179" s="13" t="s">
        <v>809</v>
      </c>
      <c r="B179" s="8" t="str">
        <f>IFERROR(__xludf.DUMMYFUNCTION("REGEXREPLACE(A179, ""[^0-9a-zA-Z .'Ã]"","""")"),"Andrea Di Stefano")</f>
        <v>Andrea Di Stefano</v>
      </c>
      <c r="C179" s="14">
        <v>106.0</v>
      </c>
      <c r="D179" s="15">
        <v>106869.0</v>
      </c>
      <c r="E179" s="14" t="s">
        <v>810</v>
      </c>
      <c r="F179" s="9">
        <f t="shared" si="1"/>
        <v>4</v>
      </c>
      <c r="G179" s="14" t="s">
        <v>811</v>
      </c>
      <c r="H179" s="11" t="str">
        <f>IFERROR(__xludf.DUMMYFUNCTION("REGEXREPLACE(G179, ""[^0-9a-zA-Z .'Ã]"","""")"),"Josh Hutcherson")</f>
        <v>Josh Hutcherson</v>
      </c>
      <c r="I179" s="16" t="s">
        <v>812</v>
      </c>
      <c r="J179" s="14">
        <v>13762.0</v>
      </c>
      <c r="K179" s="14" t="s">
        <v>813</v>
      </c>
      <c r="L179" s="14">
        <v>39.0</v>
      </c>
      <c r="M179" s="14" t="s">
        <v>24</v>
      </c>
      <c r="N179" s="14" t="s">
        <v>608</v>
      </c>
      <c r="O179" s="15">
        <v>1.7E7</v>
      </c>
      <c r="P179" s="10">
        <f t="shared" si="2"/>
        <v>0</v>
      </c>
      <c r="Q179" s="12">
        <f t="shared" si="3"/>
        <v>16893131</v>
      </c>
      <c r="R179" s="14">
        <v>2014.0</v>
      </c>
      <c r="S179" s="14">
        <v>6.6</v>
      </c>
    </row>
    <row r="180" ht="15.75" customHeight="1">
      <c r="A180" s="7" t="s">
        <v>814</v>
      </c>
      <c r="B180" s="8" t="str">
        <f>IFERROR(__xludf.DUMMYFUNCTION("REGEXREPLACE(A180, ""[^0-9a-zA-Z .'Ã]"","""")"),"Patrick Hughes")</f>
        <v>Patrick Hughes</v>
      </c>
      <c r="C180" s="9">
        <v>320.0</v>
      </c>
      <c r="D180" s="10">
        <v>3.9292022E7</v>
      </c>
      <c r="E180" s="9" t="s">
        <v>474</v>
      </c>
      <c r="F180" s="9">
        <f t="shared" si="1"/>
        <v>3</v>
      </c>
      <c r="G180" s="9" t="s">
        <v>815</v>
      </c>
      <c r="H180" s="11" t="str">
        <f>IFERROR(__xludf.DUMMYFUNCTION("REGEXREPLACE(G180, ""[^0-9a-zA-Z .'Ã]"","""")"),"Jason Statham")</f>
        <v>Jason Statham</v>
      </c>
      <c r="I180" s="11" t="s">
        <v>816</v>
      </c>
      <c r="J180" s="9">
        <v>127258.0</v>
      </c>
      <c r="K180" s="9" t="s">
        <v>817</v>
      </c>
      <c r="L180" s="9">
        <v>351.0</v>
      </c>
      <c r="M180" s="9" t="s">
        <v>24</v>
      </c>
      <c r="N180" s="9" t="s">
        <v>25</v>
      </c>
      <c r="O180" s="10">
        <v>9.0E7</v>
      </c>
      <c r="P180" s="10">
        <f t="shared" si="2"/>
        <v>0</v>
      </c>
      <c r="Q180" s="12">
        <f t="shared" si="3"/>
        <v>50707978</v>
      </c>
      <c r="R180" s="9">
        <v>2014.0</v>
      </c>
      <c r="S180" s="9">
        <v>6.1</v>
      </c>
    </row>
    <row r="181" ht="15.75" customHeight="1">
      <c r="A181" s="7" t="s">
        <v>818</v>
      </c>
      <c r="B181" s="8" t="str">
        <f>IFERROR(__xludf.DUMMYFUNCTION("REGEXREPLACE(A181, ""[^0-9a-zA-Z .'Ã]"","""")"),"Frank LaLoggia")</f>
        <v>Frank LaLoggia</v>
      </c>
      <c r="C181" s="9">
        <v>130.0</v>
      </c>
      <c r="D181" s="10">
        <v>1705139.0</v>
      </c>
      <c r="E181" s="9" t="s">
        <v>819</v>
      </c>
      <c r="F181" s="9">
        <f t="shared" si="1"/>
        <v>4</v>
      </c>
      <c r="G181" s="9" t="s">
        <v>820</v>
      </c>
      <c r="H181" s="11" t="str">
        <f>IFERROR(__xludf.DUMMYFUNCTION("REGEXREPLACE(G181, ""[^0-9a-zA-Z .'Ã]"","""")"),"Alex Rocco")</f>
        <v>Alex Rocco</v>
      </c>
      <c r="I181" s="11" t="s">
        <v>821</v>
      </c>
      <c r="J181" s="9">
        <v>4695.0</v>
      </c>
      <c r="K181" s="9" t="s">
        <v>822</v>
      </c>
      <c r="L181" s="9">
        <v>69.0</v>
      </c>
      <c r="M181" s="9" t="s">
        <v>24</v>
      </c>
      <c r="N181" s="9" t="s">
        <v>25</v>
      </c>
      <c r="O181" s="10">
        <v>4700000.0</v>
      </c>
      <c r="P181" s="10">
        <f t="shared" si="2"/>
        <v>0</v>
      </c>
      <c r="Q181" s="12">
        <f t="shared" si="3"/>
        <v>2994861</v>
      </c>
      <c r="R181" s="9">
        <v>1988.0</v>
      </c>
      <c r="S181" s="9">
        <v>6.7</v>
      </c>
    </row>
    <row r="182" ht="15.75" customHeight="1">
      <c r="A182" s="17" t="s">
        <v>823</v>
      </c>
      <c r="B182" s="8" t="str">
        <f>IFERROR(__xludf.DUMMYFUNCTION("REGEXREPLACE(A182, ""[^0-9a-zA-Z .'Ã]"","""")"),"Jon Amiel")</f>
        <v>Jon Amiel</v>
      </c>
      <c r="C182" s="18">
        <v>138.0</v>
      </c>
      <c r="D182" s="19">
        <v>8.7704396E7</v>
      </c>
      <c r="E182" s="18" t="s">
        <v>824</v>
      </c>
      <c r="F182" s="9">
        <f t="shared" si="1"/>
        <v>4</v>
      </c>
      <c r="G182" s="18" t="s">
        <v>825</v>
      </c>
      <c r="H182" s="11" t="str">
        <f>IFERROR(__xludf.DUMMYFUNCTION("REGEXREPLACE(G182, ""[^0-9a-zA-Z .'Ã]"","""")"),"Will Patton")</f>
        <v>Will Patton</v>
      </c>
      <c r="I182" s="20" t="s">
        <v>826</v>
      </c>
      <c r="J182" s="18">
        <v>88132.0</v>
      </c>
      <c r="K182" s="18" t="s">
        <v>827</v>
      </c>
      <c r="L182" s="18">
        <v>274.0</v>
      </c>
      <c r="M182" s="18" t="s">
        <v>24</v>
      </c>
      <c r="N182" s="18" t="s">
        <v>25</v>
      </c>
      <c r="O182" s="19">
        <v>6.6E7</v>
      </c>
      <c r="P182" s="10">
        <f t="shared" si="2"/>
        <v>21704396</v>
      </c>
      <c r="Q182" s="12">
        <f t="shared" si="3"/>
        <v>0</v>
      </c>
      <c r="R182" s="18">
        <v>1999.0</v>
      </c>
      <c r="S182" s="18">
        <v>6.2</v>
      </c>
    </row>
    <row r="183" ht="15.75" customHeight="1">
      <c r="A183" s="7" t="s">
        <v>828</v>
      </c>
      <c r="B183" s="8" t="str">
        <f>IFERROR(__xludf.DUMMYFUNCTION("REGEXREPLACE(A183, ""[^0-9a-zA-Z .'Ã]"","""")"),"Gabriele Muccino")</f>
        <v>Gabriele Muccino</v>
      </c>
      <c r="C183" s="9">
        <v>135.0</v>
      </c>
      <c r="D183" s="10">
        <v>1.3101142E7</v>
      </c>
      <c r="E183" s="9" t="s">
        <v>829</v>
      </c>
      <c r="F183" s="9">
        <f t="shared" si="1"/>
        <v>3</v>
      </c>
      <c r="G183" s="9" t="s">
        <v>830</v>
      </c>
      <c r="H183" s="11" t="str">
        <f>IFERROR(__xludf.DUMMYFUNCTION("REGEXREPLACE(G183, ""[^0-9a-zA-Z .'Ã]"","""")"),"Gerard Butler")</f>
        <v>Gerard Butler</v>
      </c>
      <c r="I183" s="11" t="s">
        <v>831</v>
      </c>
      <c r="J183" s="9">
        <v>23916.0</v>
      </c>
      <c r="K183" s="9" t="s">
        <v>832</v>
      </c>
      <c r="L183" s="9">
        <v>50.0</v>
      </c>
      <c r="M183" s="9" t="s">
        <v>24</v>
      </c>
      <c r="N183" s="9" t="s">
        <v>25</v>
      </c>
      <c r="O183" s="10">
        <v>3.5E7</v>
      </c>
      <c r="P183" s="10">
        <f t="shared" si="2"/>
        <v>0</v>
      </c>
      <c r="Q183" s="12">
        <f t="shared" si="3"/>
        <v>21898858</v>
      </c>
      <c r="R183" s="9">
        <v>2012.0</v>
      </c>
      <c r="S183" s="9">
        <v>5.7</v>
      </c>
    </row>
    <row r="184" ht="15.75" customHeight="1">
      <c r="A184" s="7" t="s">
        <v>833</v>
      </c>
      <c r="B184" s="8" t="str">
        <f>IFERROR(__xludf.DUMMYFUNCTION("REGEXREPLACE(A184, ""[^0-9a-zA-Z .'Ã]"","""")"),"Nadine Labaki")</f>
        <v>Nadine Labaki</v>
      </c>
      <c r="C184" s="9">
        <v>109.0</v>
      </c>
      <c r="D184" s="10">
        <v>1060591.0</v>
      </c>
      <c r="E184" s="9" t="s">
        <v>159</v>
      </c>
      <c r="F184" s="9">
        <f t="shared" si="1"/>
        <v>3</v>
      </c>
      <c r="G184" s="9" t="s">
        <v>834</v>
      </c>
      <c r="H184" s="11" t="str">
        <f>IFERROR(__xludf.DUMMYFUNCTION("REGEXREPLACE(G184, ""[^0-9a-zA-Z .'Ã]"","""")"),"Yasmine Al Massri")</f>
        <v>Yasmine Al Massri</v>
      </c>
      <c r="I184" s="11" t="s">
        <v>835</v>
      </c>
      <c r="J184" s="9">
        <v>9750.0</v>
      </c>
      <c r="K184" s="9" t="s">
        <v>836</v>
      </c>
      <c r="L184" s="9">
        <v>66.0</v>
      </c>
      <c r="M184" s="9" t="s">
        <v>837</v>
      </c>
      <c r="N184" s="9" t="s">
        <v>608</v>
      </c>
      <c r="O184" s="10">
        <v>1300000.0</v>
      </c>
      <c r="P184" s="10">
        <f t="shared" si="2"/>
        <v>0</v>
      </c>
      <c r="Q184" s="12">
        <f t="shared" si="3"/>
        <v>239409</v>
      </c>
      <c r="R184" s="9">
        <v>2007.0</v>
      </c>
      <c r="S184" s="9">
        <v>7.2</v>
      </c>
    </row>
    <row r="185" ht="15.75" customHeight="1">
      <c r="A185" s="7" t="s">
        <v>838</v>
      </c>
      <c r="B185" s="8" t="str">
        <f>IFERROR(__xludf.DUMMYFUNCTION("REGEXREPLACE(A185, ""[^0-9a-zA-Z .'Ã]"","""")"),"John Glen")</f>
        <v>John Glen</v>
      </c>
      <c r="C185" s="9">
        <v>117.0</v>
      </c>
      <c r="D185" s="10">
        <v>3.4667015E7</v>
      </c>
      <c r="E185" s="9" t="s">
        <v>474</v>
      </c>
      <c r="F185" s="9">
        <f t="shared" si="1"/>
        <v>3</v>
      </c>
      <c r="G185" s="9" t="s">
        <v>839</v>
      </c>
      <c r="H185" s="11" t="str">
        <f>IFERROR(__xludf.DUMMYFUNCTION("REGEXREPLACE(G185, ""[^0-9a-zA-Z .'Ã]"","""")"),"Robert Davi")</f>
        <v>Robert Davi</v>
      </c>
      <c r="I185" s="11" t="s">
        <v>840</v>
      </c>
      <c r="J185" s="9">
        <v>74009.0</v>
      </c>
      <c r="K185" s="9" t="s">
        <v>841</v>
      </c>
      <c r="L185" s="9">
        <v>317.0</v>
      </c>
      <c r="M185" s="9" t="s">
        <v>24</v>
      </c>
      <c r="N185" s="9" t="s">
        <v>130</v>
      </c>
      <c r="O185" s="10">
        <v>3.2E7</v>
      </c>
      <c r="P185" s="10">
        <f t="shared" si="2"/>
        <v>2667015</v>
      </c>
      <c r="Q185" s="12">
        <f t="shared" si="3"/>
        <v>0</v>
      </c>
      <c r="R185" s="9">
        <v>1989.0</v>
      </c>
      <c r="S185" s="9">
        <v>6.6</v>
      </c>
    </row>
    <row r="186" ht="15.75" customHeight="1">
      <c r="A186" s="13" t="s">
        <v>842</v>
      </c>
      <c r="B186" s="8" t="str">
        <f>IFERROR(__xludf.DUMMYFUNCTION("REGEXREPLACE(A186, ""[^0-9a-zA-Z .'Ã]"","""")"),"Robert Stromberg")</f>
        <v>Robert Stromberg</v>
      </c>
      <c r="C186" s="14">
        <v>401.0</v>
      </c>
      <c r="D186" s="15">
        <v>2.41407328E8</v>
      </c>
      <c r="E186" s="14" t="s">
        <v>843</v>
      </c>
      <c r="F186" s="9">
        <f t="shared" si="1"/>
        <v>5</v>
      </c>
      <c r="G186" s="14" t="s">
        <v>844</v>
      </c>
      <c r="H186" s="11" t="str">
        <f>IFERROR(__xludf.DUMMYFUNCTION("REGEXREPLACE(G186, ""[^0-9a-zA-Z .'Ã]"","""")"),"Angelina Jolie Pitt")</f>
        <v>Angelina Jolie Pitt</v>
      </c>
      <c r="I186" s="16" t="s">
        <v>845</v>
      </c>
      <c r="J186" s="14">
        <v>252257.0</v>
      </c>
      <c r="K186" s="14" t="s">
        <v>846</v>
      </c>
      <c r="L186" s="14">
        <v>634.0</v>
      </c>
      <c r="M186" s="14" t="s">
        <v>24</v>
      </c>
      <c r="N186" s="14" t="s">
        <v>25</v>
      </c>
      <c r="O186" s="15">
        <v>1.8E8</v>
      </c>
      <c r="P186" s="10">
        <f t="shared" si="2"/>
        <v>61407328</v>
      </c>
      <c r="Q186" s="12">
        <f t="shared" si="3"/>
        <v>0</v>
      </c>
      <c r="R186" s="14">
        <v>2014.0</v>
      </c>
      <c r="S186" s="14">
        <v>7.0</v>
      </c>
    </row>
    <row r="187" ht="15.75" customHeight="1">
      <c r="A187" s="7" t="s">
        <v>847</v>
      </c>
      <c r="B187" s="8" t="str">
        <f>IFERROR(__xludf.DUMMYFUNCTION("REGEXREPLACE(A187, ""[^0-9a-zA-Z .'Ã]"","""")"),"Lana Wachowski")</f>
        <v>Lana Wachowski</v>
      </c>
      <c r="C187" s="9">
        <v>275.0</v>
      </c>
      <c r="D187" s="10">
        <v>2.81492479E8</v>
      </c>
      <c r="E187" s="9" t="s">
        <v>848</v>
      </c>
      <c r="F187" s="9">
        <f t="shared" si="1"/>
        <v>2</v>
      </c>
      <c r="G187" s="9" t="s">
        <v>849</v>
      </c>
      <c r="H187" s="11" t="str">
        <f>IFERROR(__xludf.DUMMYFUNCTION("REGEXREPLACE(G187, ""[^0-9a-zA-Z .'Ã]"","""")"),"Steve Bastoni")</f>
        <v>Steve Bastoni</v>
      </c>
      <c r="I187" s="11" t="s">
        <v>850</v>
      </c>
      <c r="J187" s="9">
        <v>421818.0</v>
      </c>
      <c r="K187" s="9" t="s">
        <v>851</v>
      </c>
      <c r="L187" s="9">
        <v>2789.0</v>
      </c>
      <c r="M187" s="9" t="s">
        <v>24</v>
      </c>
      <c r="N187" s="9" t="s">
        <v>25</v>
      </c>
      <c r="O187" s="10">
        <v>1.5E8</v>
      </c>
      <c r="P187" s="10">
        <f t="shared" si="2"/>
        <v>131492479</v>
      </c>
      <c r="Q187" s="12">
        <f t="shared" si="3"/>
        <v>0</v>
      </c>
      <c r="R187" s="9">
        <v>2003.0</v>
      </c>
      <c r="S187" s="9">
        <v>7.2</v>
      </c>
    </row>
    <row r="188" ht="15.75" customHeight="1">
      <c r="A188" s="17" t="s">
        <v>852</v>
      </c>
      <c r="B188" s="8" t="str">
        <f>IFERROR(__xludf.DUMMYFUNCTION("REGEXREPLACE(A188, ""[^0-9a-zA-Z .'Ã]"","""")"),"Robert Cary")</f>
        <v>Robert Cary</v>
      </c>
      <c r="C188" s="18">
        <v>30.0</v>
      </c>
      <c r="D188" s="19">
        <v>220234.0</v>
      </c>
      <c r="E188" s="18" t="s">
        <v>89</v>
      </c>
      <c r="F188" s="9">
        <f t="shared" si="1"/>
        <v>2</v>
      </c>
      <c r="G188" s="18" t="s">
        <v>853</v>
      </c>
      <c r="H188" s="11" t="str">
        <f>IFERROR(__xludf.DUMMYFUNCTION("REGEXREPLACE(G188, ""[^0-9a-zA-Z .'Ã]"","""")"),"Frances Conroy")</f>
        <v>Frances Conroy</v>
      </c>
      <c r="I188" s="20" t="s">
        <v>854</v>
      </c>
      <c r="J188" s="18">
        <v>1950.0</v>
      </c>
      <c r="K188" s="18" t="s">
        <v>855</v>
      </c>
      <c r="L188" s="18">
        <v>24.0</v>
      </c>
      <c r="M188" s="18" t="s">
        <v>24</v>
      </c>
      <c r="N188" s="18" t="s">
        <v>25</v>
      </c>
      <c r="O188" s="19">
        <v>3500000.0</v>
      </c>
      <c r="P188" s="10">
        <f t="shared" si="2"/>
        <v>0</v>
      </c>
      <c r="Q188" s="12">
        <f t="shared" si="3"/>
        <v>3279766</v>
      </c>
      <c r="R188" s="18">
        <v>2006.0</v>
      </c>
      <c r="S188" s="18">
        <v>6.5</v>
      </c>
    </row>
    <row r="189" ht="15.75" customHeight="1">
      <c r="A189" s="7" t="s">
        <v>856</v>
      </c>
      <c r="B189" s="8" t="str">
        <f>IFERROR(__xludf.DUMMYFUNCTION("REGEXREPLACE(A189, ""[^0-9a-zA-Z .'Ã]"","""")"),"Sean Anders")</f>
        <v>Sean Anders</v>
      </c>
      <c r="C189" s="9">
        <v>145.0</v>
      </c>
      <c r="D189" s="10">
        <v>1.50315155E8</v>
      </c>
      <c r="E189" s="9" t="s">
        <v>857</v>
      </c>
      <c r="F189" s="9">
        <f t="shared" si="1"/>
        <v>2</v>
      </c>
      <c r="G189" s="9" t="s">
        <v>441</v>
      </c>
      <c r="H189" s="11" t="str">
        <f>IFERROR(__xludf.DUMMYFUNCTION("REGEXREPLACE(G189, ""[^0-9a-zA-Z .'Ã]"","""")"),"Will Ferrell")</f>
        <v>Will Ferrell</v>
      </c>
      <c r="I189" s="11" t="s">
        <v>858</v>
      </c>
      <c r="J189" s="9">
        <v>54010.0</v>
      </c>
      <c r="K189" s="9" t="s">
        <v>859</v>
      </c>
      <c r="L189" s="9">
        <v>130.0</v>
      </c>
      <c r="M189" s="9" t="s">
        <v>24</v>
      </c>
      <c r="N189" s="9" t="s">
        <v>25</v>
      </c>
      <c r="O189" s="10">
        <v>5.0E7</v>
      </c>
      <c r="P189" s="10">
        <f t="shared" si="2"/>
        <v>100315155</v>
      </c>
      <c r="Q189" s="12">
        <f t="shared" si="3"/>
        <v>0</v>
      </c>
      <c r="R189" s="9">
        <v>2015.0</v>
      </c>
      <c r="S189" s="9">
        <v>6.1</v>
      </c>
    </row>
    <row r="190" ht="15.75" customHeight="1">
      <c r="A190" s="13" t="s">
        <v>860</v>
      </c>
      <c r="B190" s="8" t="str">
        <f>IFERROR(__xludf.DUMMYFUNCTION("REGEXREPLACE(A190, ""[^0-9a-zA-Z .'Ã]"","""")"),"Michael Bay")</f>
        <v>Michael Bay</v>
      </c>
      <c r="C190" s="14">
        <v>191.0</v>
      </c>
      <c r="D190" s="15">
        <v>1.98539855E8</v>
      </c>
      <c r="E190" s="14" t="s">
        <v>861</v>
      </c>
      <c r="F190" s="9">
        <f t="shared" si="1"/>
        <v>5</v>
      </c>
      <c r="G190" s="14" t="s">
        <v>862</v>
      </c>
      <c r="H190" s="11" t="str">
        <f>IFERROR(__xludf.DUMMYFUNCTION("REGEXREPLACE(G190, ""[^0-9a-zA-Z .'Ã]"","""")"),"Jennifer Garner")</f>
        <v>Jennifer Garner</v>
      </c>
      <c r="I190" s="16" t="s">
        <v>863</v>
      </c>
      <c r="J190" s="14">
        <v>254111.0</v>
      </c>
      <c r="K190" s="14" t="s">
        <v>864</v>
      </c>
      <c r="L190" s="14">
        <v>1999.0</v>
      </c>
      <c r="M190" s="14" t="s">
        <v>24</v>
      </c>
      <c r="N190" s="14" t="s">
        <v>25</v>
      </c>
      <c r="O190" s="15">
        <v>1.4E8</v>
      </c>
      <c r="P190" s="10">
        <f t="shared" si="2"/>
        <v>58539855</v>
      </c>
      <c r="Q190" s="12">
        <f t="shared" si="3"/>
        <v>0</v>
      </c>
      <c r="R190" s="14">
        <v>2001.0</v>
      </c>
      <c r="S190" s="14">
        <v>6.1</v>
      </c>
    </row>
    <row r="191" ht="15.75" customHeight="1">
      <c r="A191" s="7" t="s">
        <v>536</v>
      </c>
      <c r="B191" s="8" t="str">
        <f>IFERROR(__xludf.DUMMYFUNCTION("REGEXREPLACE(A191, ""[^0-9a-zA-Z .'Ã]"","""")"),"Robert Zemeckis")</f>
        <v>Robert Zemeckis</v>
      </c>
      <c r="C191" s="9">
        <v>188.0</v>
      </c>
      <c r="D191" s="10">
        <v>665426.0</v>
      </c>
      <c r="E191" s="9" t="s">
        <v>865</v>
      </c>
      <c r="F191" s="9">
        <f t="shared" si="1"/>
        <v>4</v>
      </c>
      <c r="G191" s="9" t="s">
        <v>461</v>
      </c>
      <c r="H191" s="11" t="str">
        <f>IFERROR(__xludf.DUMMYFUNCTION("REGEXREPLACE(G191, ""[^0-9a-zA-Z .'Ã]"","""")"),"Tom Hanks")</f>
        <v>Tom Hanks</v>
      </c>
      <c r="I191" s="11" t="s">
        <v>866</v>
      </c>
      <c r="J191" s="9">
        <v>120798.0</v>
      </c>
      <c r="K191" s="9" t="s">
        <v>867</v>
      </c>
      <c r="L191" s="9">
        <v>444.0</v>
      </c>
      <c r="M191" s="9" t="s">
        <v>24</v>
      </c>
      <c r="N191" s="9" t="s">
        <v>25</v>
      </c>
      <c r="O191" s="10">
        <v>1.65E8</v>
      </c>
      <c r="P191" s="10">
        <f t="shared" si="2"/>
        <v>0</v>
      </c>
      <c r="Q191" s="12">
        <f t="shared" si="3"/>
        <v>164334574</v>
      </c>
      <c r="R191" s="9">
        <v>2004.0</v>
      </c>
      <c r="S191" s="9">
        <v>6.6</v>
      </c>
    </row>
    <row r="192" ht="15.75" customHeight="1">
      <c r="A192" s="7" t="s">
        <v>868</v>
      </c>
      <c r="B192" s="8" t="str">
        <f>IFERROR(__xludf.DUMMYFUNCTION("REGEXREPLACE(A192, ""[^0-9a-zA-Z .'Ã]"","""")"),"John Woo")</f>
        <v>John Woo</v>
      </c>
      <c r="C192" s="9">
        <v>72.0</v>
      </c>
      <c r="D192" s="10">
        <v>7.045E7</v>
      </c>
      <c r="E192" s="9" t="s">
        <v>152</v>
      </c>
      <c r="F192" s="9">
        <f t="shared" si="1"/>
        <v>3</v>
      </c>
      <c r="G192" s="9" t="s">
        <v>869</v>
      </c>
      <c r="H192" s="11" t="str">
        <f>IFERROR(__xludf.DUMMYFUNCTION("REGEXREPLACE(G192, ""[^0-9a-zA-Z .'Ã]"","""")"),"Delroy Lindo")</f>
        <v>Delroy Lindo</v>
      </c>
      <c r="I192" s="11" t="s">
        <v>870</v>
      </c>
      <c r="J192" s="9">
        <v>77390.0</v>
      </c>
      <c r="K192" s="9" t="s">
        <v>871</v>
      </c>
      <c r="L192" s="9">
        <v>189.0</v>
      </c>
      <c r="M192" s="9" t="s">
        <v>24</v>
      </c>
      <c r="N192" s="9" t="s">
        <v>25</v>
      </c>
      <c r="O192" s="10">
        <v>5.0E7</v>
      </c>
      <c r="P192" s="10">
        <f t="shared" si="2"/>
        <v>20450000</v>
      </c>
      <c r="Q192" s="12">
        <f t="shared" si="3"/>
        <v>0</v>
      </c>
      <c r="R192" s="9">
        <v>1996.0</v>
      </c>
      <c r="S192" s="9">
        <v>6.0</v>
      </c>
    </row>
    <row r="193" ht="15.75" customHeight="1">
      <c r="A193" s="7" t="s">
        <v>872</v>
      </c>
      <c r="B193" s="8" t="str">
        <f>IFERROR(__xludf.DUMMYFUNCTION("REGEXREPLACE(A193, ""[^0-9a-zA-Z .'Ã]"","""")"),"Michael Haneke")</f>
        <v>Michael Haneke</v>
      </c>
      <c r="C193" s="9">
        <v>250.0</v>
      </c>
      <c r="D193" s="10">
        <v>1294640.0</v>
      </c>
      <c r="E193" s="9" t="s">
        <v>873</v>
      </c>
      <c r="F193" s="9">
        <f t="shared" si="1"/>
        <v>4</v>
      </c>
      <c r="G193" s="9" t="s">
        <v>874</v>
      </c>
      <c r="H193" s="11" t="str">
        <f>IFERROR(__xludf.DUMMYFUNCTION("REGEXREPLACE(G193, ""[^0-9a-zA-Z .'Ã]"","""")"),"Naomi Watts")</f>
        <v>Naomi Watts</v>
      </c>
      <c r="I193" s="11" t="s">
        <v>875</v>
      </c>
      <c r="J193" s="9">
        <v>69569.0</v>
      </c>
      <c r="K193" s="9" t="s">
        <v>876</v>
      </c>
      <c r="L193" s="9">
        <v>436.0</v>
      </c>
      <c r="M193" s="9" t="s">
        <v>24</v>
      </c>
      <c r="N193" s="9" t="s">
        <v>25</v>
      </c>
      <c r="O193" s="10">
        <v>1.5E7</v>
      </c>
      <c r="P193" s="10">
        <f t="shared" si="2"/>
        <v>0</v>
      </c>
      <c r="Q193" s="12">
        <f t="shared" si="3"/>
        <v>13705360</v>
      </c>
      <c r="R193" s="9">
        <v>2007.0</v>
      </c>
      <c r="S193" s="9">
        <v>6.5</v>
      </c>
    </row>
    <row r="194" ht="15.75" customHeight="1">
      <c r="A194" s="7" t="s">
        <v>877</v>
      </c>
      <c r="B194" s="8" t="str">
        <f>IFERROR(__xludf.DUMMYFUNCTION("REGEXREPLACE(A194, ""[^0-9a-zA-Z .'Ã]"","""")"),"David Ayer")</f>
        <v>David Ayer</v>
      </c>
      <c r="C194" s="9">
        <v>118.0</v>
      </c>
      <c r="D194" s="10">
        <v>3335839.0</v>
      </c>
      <c r="E194" s="9" t="s">
        <v>501</v>
      </c>
      <c r="F194" s="9">
        <f t="shared" si="1"/>
        <v>4</v>
      </c>
      <c r="G194" s="9" t="s">
        <v>878</v>
      </c>
      <c r="H194" s="11" t="str">
        <f>IFERROR(__xludf.DUMMYFUNCTION("REGEXREPLACE(G194, ""[^0-9a-zA-Z .'Ã]"","""")"),"J.K. Simmons")</f>
        <v>J.K. Simmons</v>
      </c>
      <c r="I194" s="11" t="s">
        <v>879</v>
      </c>
      <c r="J194" s="9">
        <v>54657.0</v>
      </c>
      <c r="K194" s="9" t="s">
        <v>880</v>
      </c>
      <c r="L194" s="9">
        <v>222.0</v>
      </c>
      <c r="M194" s="9" t="s">
        <v>24</v>
      </c>
      <c r="N194" s="9" t="s">
        <v>25</v>
      </c>
      <c r="O194" s="10">
        <v>2000000.0</v>
      </c>
      <c r="P194" s="10">
        <f t="shared" si="2"/>
        <v>1335839</v>
      </c>
      <c r="Q194" s="12">
        <f t="shared" si="3"/>
        <v>0</v>
      </c>
      <c r="R194" s="9">
        <v>2005.0</v>
      </c>
      <c r="S194" s="9">
        <v>7.0</v>
      </c>
    </row>
    <row r="195" ht="15.75" customHeight="1">
      <c r="A195" s="7" t="s">
        <v>881</v>
      </c>
      <c r="B195" s="8" t="str">
        <f>IFERROR(__xludf.DUMMYFUNCTION("REGEXREPLACE(A195, ""[^0-9a-zA-Z .'Ã]"","""")"),"Terry Gilliam")</f>
        <v>Terry Gilliam</v>
      </c>
      <c r="C195" s="9">
        <v>230.0</v>
      </c>
      <c r="D195" s="10">
        <v>9929000.0</v>
      </c>
      <c r="E195" s="9" t="s">
        <v>882</v>
      </c>
      <c r="F195" s="9">
        <f t="shared" si="1"/>
        <v>2</v>
      </c>
      <c r="G195" s="9" t="s">
        <v>883</v>
      </c>
      <c r="H195" s="11" t="str">
        <f>IFERROR(__xludf.DUMMYFUNCTION("REGEXREPLACE(G195, ""[^0-9a-zA-Z .'Ã]"","""")"),"Robert De Niro")</f>
        <v>Robert De Niro</v>
      </c>
      <c r="I195" s="11" t="s">
        <v>884</v>
      </c>
      <c r="J195" s="9">
        <v>152306.0</v>
      </c>
      <c r="K195" s="9" t="s">
        <v>885</v>
      </c>
      <c r="L195" s="9">
        <v>513.0</v>
      </c>
      <c r="M195" s="9" t="s">
        <v>24</v>
      </c>
      <c r="N195" s="9" t="s">
        <v>130</v>
      </c>
      <c r="O195" s="10">
        <v>1.5E7</v>
      </c>
      <c r="P195" s="10">
        <f t="shared" si="2"/>
        <v>0</v>
      </c>
      <c r="Q195" s="12">
        <f t="shared" si="3"/>
        <v>5071000</v>
      </c>
      <c r="R195" s="9">
        <v>1985.0</v>
      </c>
      <c r="S195" s="9">
        <v>8.0</v>
      </c>
    </row>
    <row r="196" ht="15.75" customHeight="1">
      <c r="A196" s="7" t="s">
        <v>886</v>
      </c>
      <c r="B196" s="8" t="str">
        <f>IFERROR(__xludf.DUMMYFUNCTION("REGEXREPLACE(A196, ""[^0-9a-zA-Z .'Ã]"","""")"),"Michael Hoffman")</f>
        <v>Michael Hoffman</v>
      </c>
      <c r="C196" s="9">
        <v>184.0</v>
      </c>
      <c r="D196" s="10">
        <v>6615578.0</v>
      </c>
      <c r="E196" s="9" t="s">
        <v>887</v>
      </c>
      <c r="F196" s="9">
        <f t="shared" si="1"/>
        <v>3</v>
      </c>
      <c r="G196" s="9" t="s">
        <v>888</v>
      </c>
      <c r="H196" s="11" t="str">
        <f>IFERROR(__xludf.DUMMYFUNCTION("REGEXREPLACE(G196, ""[^0-9a-zA-Z .'Ã]"","""")"),"David Masterson")</f>
        <v>David Masterson</v>
      </c>
      <c r="I196" s="11" t="s">
        <v>889</v>
      </c>
      <c r="J196" s="9">
        <v>15352.0</v>
      </c>
      <c r="K196" s="9" t="s">
        <v>890</v>
      </c>
      <c r="L196" s="9">
        <v>82.0</v>
      </c>
      <c r="M196" s="9" t="s">
        <v>24</v>
      </c>
      <c r="N196" s="9" t="s">
        <v>173</v>
      </c>
      <c r="O196" s="10">
        <v>1.3E7</v>
      </c>
      <c r="P196" s="10">
        <f t="shared" si="2"/>
        <v>0</v>
      </c>
      <c r="Q196" s="12">
        <f t="shared" si="3"/>
        <v>6384422</v>
      </c>
      <c r="R196" s="9">
        <v>2009.0</v>
      </c>
      <c r="S196" s="9">
        <v>7.0</v>
      </c>
    </row>
    <row r="197" ht="15.75" customHeight="1">
      <c r="A197" s="7" t="s">
        <v>891</v>
      </c>
      <c r="B197" s="8" t="str">
        <f>IFERROR(__xludf.DUMMYFUNCTION("REGEXREPLACE(A197, ""[^0-9a-zA-Z .'Ã]"","""")"),"Randal Kleiser")</f>
        <v>Randal Kleiser</v>
      </c>
      <c r="C197" s="9">
        <v>10.0</v>
      </c>
      <c r="D197" s="10">
        <v>3.479316E7</v>
      </c>
      <c r="E197" s="9" t="s">
        <v>892</v>
      </c>
      <c r="F197" s="9">
        <f t="shared" si="1"/>
        <v>2</v>
      </c>
      <c r="G197" s="9" t="s">
        <v>893</v>
      </c>
      <c r="H197" s="11" t="str">
        <f>IFERROR(__xludf.DUMMYFUNCTION("REGEXREPLACE(G197, ""[^0-9a-zA-Z .'Ã]"","""")"),"Seymour Cassel")</f>
        <v>Seymour Cassel</v>
      </c>
      <c r="I197" s="11" t="s">
        <v>894</v>
      </c>
      <c r="J197" s="9">
        <v>15730.0</v>
      </c>
      <c r="K197" s="9" t="s">
        <v>895</v>
      </c>
      <c r="L197" s="9">
        <v>31.0</v>
      </c>
      <c r="M197" s="9" t="s">
        <v>24</v>
      </c>
      <c r="N197" s="9" t="s">
        <v>25</v>
      </c>
      <c r="O197" s="10">
        <v>1.4E7</v>
      </c>
      <c r="P197" s="10">
        <f t="shared" si="2"/>
        <v>20793160</v>
      </c>
      <c r="Q197" s="12">
        <f t="shared" si="3"/>
        <v>0</v>
      </c>
      <c r="R197" s="9">
        <v>1991.0</v>
      </c>
      <c r="S197" s="9">
        <v>6.7</v>
      </c>
    </row>
    <row r="198" ht="15.75" customHeight="1">
      <c r="A198" s="17" t="s">
        <v>896</v>
      </c>
      <c r="B198" s="8" t="str">
        <f>IFERROR(__xludf.DUMMYFUNCTION("REGEXREPLACE(A198, ""[^0-9a-zA-Z .'Ã]"","""")"),"Kevin Smith")</f>
        <v>Kevin Smith</v>
      </c>
      <c r="C198" s="18">
        <v>164.0</v>
      </c>
      <c r="D198" s="19">
        <v>2.5266129E7</v>
      </c>
      <c r="E198" s="18" t="s">
        <v>159</v>
      </c>
      <c r="F198" s="9">
        <f t="shared" si="1"/>
        <v>3</v>
      </c>
      <c r="G198" s="18" t="s">
        <v>897</v>
      </c>
      <c r="H198" s="11" t="str">
        <f>IFERROR(__xludf.DUMMYFUNCTION("REGEXREPLACE(G198, ""[^0-9a-zA-Z .'Ã]"","""")"),"Stephen Root")</f>
        <v>Stephen Root</v>
      </c>
      <c r="I198" s="20" t="s">
        <v>898</v>
      </c>
      <c r="J198" s="18">
        <v>54346.0</v>
      </c>
      <c r="K198" s="18" t="s">
        <v>899</v>
      </c>
      <c r="L198" s="18">
        <v>358.0</v>
      </c>
      <c r="M198" s="18" t="s">
        <v>24</v>
      </c>
      <c r="N198" s="18" t="s">
        <v>25</v>
      </c>
      <c r="O198" s="19">
        <v>3.5E7</v>
      </c>
      <c r="P198" s="10">
        <f t="shared" si="2"/>
        <v>0</v>
      </c>
      <c r="Q198" s="12">
        <f t="shared" si="3"/>
        <v>9733871</v>
      </c>
      <c r="R198" s="18">
        <v>2004.0</v>
      </c>
      <c r="S198" s="18">
        <v>6.2</v>
      </c>
    </row>
    <row r="199" ht="15.75" customHeight="1">
      <c r="A199" s="7" t="s">
        <v>900</v>
      </c>
      <c r="B199" s="8" t="str">
        <f>IFERROR(__xludf.DUMMYFUNCTION("REGEXREPLACE(A199, ""[^0-9a-zA-Z .'Ã]"","""")"),"Nick Gomez")</f>
        <v>Nick Gomez</v>
      </c>
      <c r="C199" s="9">
        <v>84.0</v>
      </c>
      <c r="D199" s="10">
        <v>1.5427192E7</v>
      </c>
      <c r="E199" s="9" t="s">
        <v>901</v>
      </c>
      <c r="F199" s="9">
        <f t="shared" si="1"/>
        <v>3</v>
      </c>
      <c r="G199" s="9" t="s">
        <v>441</v>
      </c>
      <c r="H199" s="11" t="str">
        <f>IFERROR(__xludf.DUMMYFUNCTION("REGEXREPLACE(G199, ""[^0-9a-zA-Z .'Ã]"","""")"),"Will Ferrell")</f>
        <v>Will Ferrell</v>
      </c>
      <c r="I199" s="11" t="s">
        <v>902</v>
      </c>
      <c r="J199" s="9">
        <v>11768.0</v>
      </c>
      <c r="K199" s="9" t="s">
        <v>903</v>
      </c>
      <c r="L199" s="9">
        <v>148.0</v>
      </c>
      <c r="M199" s="9" t="s">
        <v>24</v>
      </c>
      <c r="N199" s="9" t="s">
        <v>25</v>
      </c>
      <c r="O199" s="10">
        <v>1.6E7</v>
      </c>
      <c r="P199" s="10">
        <f t="shared" si="2"/>
        <v>0</v>
      </c>
      <c r="Q199" s="12">
        <f t="shared" si="3"/>
        <v>572808</v>
      </c>
      <c r="R199" s="9">
        <v>2000.0</v>
      </c>
      <c r="S199" s="9">
        <v>5.6</v>
      </c>
    </row>
    <row r="200" ht="15.75" customHeight="1">
      <c r="A200" s="7" t="s">
        <v>904</v>
      </c>
      <c r="B200" s="8" t="str">
        <f>IFERROR(__xludf.DUMMYFUNCTION("REGEXREPLACE(A200, ""[^0-9a-zA-Z .'Ã]"","""")"),"James McTeigue")</f>
        <v>James McTeigue</v>
      </c>
      <c r="C200" s="9">
        <v>235.0</v>
      </c>
      <c r="D200" s="10">
        <v>3.8105077E7</v>
      </c>
      <c r="E200" s="9" t="s">
        <v>152</v>
      </c>
      <c r="F200" s="9">
        <f t="shared" si="1"/>
        <v>3</v>
      </c>
      <c r="G200" s="9" t="s">
        <v>905</v>
      </c>
      <c r="H200" s="11" t="str">
        <f>IFERROR(__xludf.DUMMYFUNCTION("REGEXREPLACE(G200, ""[^0-9a-zA-Z .'Ã]"","""")"),"ShÃ Kosugi")</f>
        <v>ShÃ Kosugi</v>
      </c>
      <c r="I200" s="11" t="s">
        <v>906</v>
      </c>
      <c r="J200" s="9">
        <v>58349.0</v>
      </c>
      <c r="K200" s="9" t="s">
        <v>907</v>
      </c>
      <c r="L200" s="9">
        <v>194.0</v>
      </c>
      <c r="M200" s="9" t="s">
        <v>24</v>
      </c>
      <c r="N200" s="9" t="s">
        <v>25</v>
      </c>
      <c r="O200" s="10">
        <v>4.0E7</v>
      </c>
      <c r="P200" s="10">
        <f t="shared" si="2"/>
        <v>0</v>
      </c>
      <c r="Q200" s="12">
        <f t="shared" si="3"/>
        <v>1894923</v>
      </c>
      <c r="R200" s="9">
        <v>2009.0</v>
      </c>
      <c r="S200" s="9">
        <v>6.4</v>
      </c>
    </row>
    <row r="201" ht="15.75" customHeight="1">
      <c r="A201" s="17" t="s">
        <v>908</v>
      </c>
      <c r="B201" s="8" t="str">
        <f>IFERROR(__xludf.DUMMYFUNCTION("REGEXREPLACE(A201, ""[^0-9a-zA-Z .'Ã]"","""")"),"Michel Hazanavicius")</f>
        <v>Michel Hazanavicius</v>
      </c>
      <c r="C201" s="18">
        <v>576.0</v>
      </c>
      <c r="D201" s="19">
        <v>4.4667095E7</v>
      </c>
      <c r="E201" s="18" t="s">
        <v>159</v>
      </c>
      <c r="F201" s="9">
        <f t="shared" si="1"/>
        <v>3</v>
      </c>
      <c r="G201" s="18" t="s">
        <v>909</v>
      </c>
      <c r="H201" s="11" t="str">
        <f>IFERROR(__xludf.DUMMYFUNCTION("REGEXREPLACE(G201, ""[^0-9a-zA-Z .'Ã]"","""")"),"BÃrÃnice Bejo")</f>
        <v>BÃrÃnice Bejo</v>
      </c>
      <c r="I201" s="20" t="s">
        <v>910</v>
      </c>
      <c r="J201" s="18">
        <v>190030.0</v>
      </c>
      <c r="K201" s="18" t="s">
        <v>911</v>
      </c>
      <c r="L201" s="18">
        <v>583.0</v>
      </c>
      <c r="M201" s="18" t="s">
        <v>24</v>
      </c>
      <c r="N201" s="18" t="s">
        <v>608</v>
      </c>
      <c r="O201" s="19">
        <v>1.5E7</v>
      </c>
      <c r="P201" s="10">
        <f t="shared" si="2"/>
        <v>29667095</v>
      </c>
      <c r="Q201" s="12">
        <f t="shared" si="3"/>
        <v>0</v>
      </c>
      <c r="R201" s="18">
        <v>2011.0</v>
      </c>
      <c r="S201" s="18">
        <v>8.0</v>
      </c>
    </row>
    <row r="202" ht="15.75" customHeight="1">
      <c r="A202" s="17" t="s">
        <v>912</v>
      </c>
      <c r="B202" s="8" t="str">
        <f>IFERROR(__xludf.DUMMYFUNCTION("REGEXREPLACE(A202, ""[^0-9a-zA-Z .'Ã]"","""")"),"Wallace Wolodarsky")</f>
        <v>Wallace Wolodarsky</v>
      </c>
      <c r="C202" s="18">
        <v>53.0</v>
      </c>
      <c r="D202" s="19">
        <v>1.0198766E7</v>
      </c>
      <c r="E202" s="18" t="s">
        <v>137</v>
      </c>
      <c r="F202" s="9">
        <f t="shared" si="1"/>
        <v>1</v>
      </c>
      <c r="G202" s="18" t="s">
        <v>913</v>
      </c>
      <c r="H202" s="11" t="str">
        <f>IFERROR(__xludf.DUMMYFUNCTION("REGEXREPLACE(G202, ""[^0-9a-zA-Z .'Ã]"","""")"),"Heather Matarazzo")</f>
        <v>Heather Matarazzo</v>
      </c>
      <c r="I202" s="20" t="s">
        <v>914</v>
      </c>
      <c r="J202" s="18">
        <v>12007.0</v>
      </c>
      <c r="K202" s="18" t="s">
        <v>915</v>
      </c>
      <c r="L202" s="18">
        <v>105.0</v>
      </c>
      <c r="M202" s="18" t="s">
        <v>24</v>
      </c>
      <c r="N202" s="18" t="s">
        <v>25</v>
      </c>
      <c r="O202" s="19">
        <v>1.2E7</v>
      </c>
      <c r="P202" s="10">
        <f t="shared" si="2"/>
        <v>0</v>
      </c>
      <c r="Q202" s="12">
        <f t="shared" si="3"/>
        <v>1801234</v>
      </c>
      <c r="R202" s="18">
        <v>2002.0</v>
      </c>
      <c r="S202" s="18">
        <v>5.4</v>
      </c>
    </row>
    <row r="203" ht="15.75" customHeight="1">
      <c r="A203" s="7" t="s">
        <v>756</v>
      </c>
      <c r="B203" s="8" t="str">
        <f>IFERROR(__xludf.DUMMYFUNCTION("REGEXREPLACE(A203, ""[^0-9a-zA-Z .'Ã]"","""")"),"Adam Shankman")</f>
        <v>Adam Shankman</v>
      </c>
      <c r="C203" s="9">
        <v>125.0</v>
      </c>
      <c r="D203" s="10">
        <v>1.1300688E8</v>
      </c>
      <c r="E203" s="9" t="s">
        <v>916</v>
      </c>
      <c r="F203" s="9">
        <f t="shared" si="1"/>
        <v>5</v>
      </c>
      <c r="G203" s="9" t="s">
        <v>917</v>
      </c>
      <c r="H203" s="11" t="str">
        <f>IFERROR(__xludf.DUMMYFUNCTION("REGEXREPLACE(G203, ""[^0-9a-zA-Z .'Ã]"","""")"),"Vin Diesel")</f>
        <v>Vin Diesel</v>
      </c>
      <c r="I203" s="11" t="s">
        <v>918</v>
      </c>
      <c r="J203" s="9">
        <v>66308.0</v>
      </c>
      <c r="K203" s="9" t="s">
        <v>919</v>
      </c>
      <c r="L203" s="9">
        <v>225.0</v>
      </c>
      <c r="M203" s="9" t="s">
        <v>24</v>
      </c>
      <c r="N203" s="9" t="s">
        <v>624</v>
      </c>
      <c r="O203" s="10">
        <v>5.6E7</v>
      </c>
      <c r="P203" s="10">
        <f t="shared" si="2"/>
        <v>57006880</v>
      </c>
      <c r="Q203" s="12">
        <f t="shared" si="3"/>
        <v>0</v>
      </c>
      <c r="R203" s="9">
        <v>2005.0</v>
      </c>
      <c r="S203" s="9">
        <v>5.5</v>
      </c>
    </row>
    <row r="204" ht="15.75" customHeight="1">
      <c r="A204" s="17" t="s">
        <v>920</v>
      </c>
      <c r="B204" s="8" t="str">
        <f>IFERROR(__xludf.DUMMYFUNCTION("REGEXREPLACE(A204, ""[^0-9a-zA-Z .'Ã]"","""")"),"Sylvain White")</f>
        <v>Sylvain White</v>
      </c>
      <c r="C204" s="18">
        <v>86.0</v>
      </c>
      <c r="D204" s="19">
        <v>6.1356221E7</v>
      </c>
      <c r="E204" s="18" t="s">
        <v>734</v>
      </c>
      <c r="F204" s="9">
        <f t="shared" si="1"/>
        <v>3</v>
      </c>
      <c r="G204" s="18" t="s">
        <v>921</v>
      </c>
      <c r="H204" s="11" t="str">
        <f>IFERROR(__xludf.DUMMYFUNCTION("REGEXREPLACE(G204, ""[^0-9a-zA-Z .'Ã]"","""")"),"Chris Brown")</f>
        <v>Chris Brown</v>
      </c>
      <c r="I204" s="20" t="s">
        <v>922</v>
      </c>
      <c r="J204" s="18">
        <v>19505.0</v>
      </c>
      <c r="K204" s="18" t="s">
        <v>923</v>
      </c>
      <c r="L204" s="18">
        <v>162.0</v>
      </c>
      <c r="M204" s="18" t="s">
        <v>24</v>
      </c>
      <c r="N204" s="18" t="s">
        <v>25</v>
      </c>
      <c r="O204" s="19">
        <v>1.4E7</v>
      </c>
      <c r="P204" s="10">
        <f t="shared" si="2"/>
        <v>47356221</v>
      </c>
      <c r="Q204" s="12">
        <f t="shared" si="3"/>
        <v>0</v>
      </c>
      <c r="R204" s="18">
        <v>2007.0</v>
      </c>
      <c r="S204" s="18">
        <v>5.2</v>
      </c>
    </row>
    <row r="205" ht="15.75" customHeight="1">
      <c r="A205" s="7" t="s">
        <v>924</v>
      </c>
      <c r="B205" s="8" t="str">
        <f>IFERROR(__xludf.DUMMYFUNCTION("REGEXREPLACE(A205, ""[^0-9a-zA-Z .'Ã]"","""")"),"Wolfgang Petersen")</f>
        <v>Wolfgang Petersen</v>
      </c>
      <c r="C205" s="9">
        <v>231.0</v>
      </c>
      <c r="D205" s="10">
        <v>6.0655503E7</v>
      </c>
      <c r="E205" s="9" t="s">
        <v>925</v>
      </c>
      <c r="F205" s="9">
        <f t="shared" si="1"/>
        <v>4</v>
      </c>
      <c r="G205" s="9" t="s">
        <v>466</v>
      </c>
      <c r="H205" s="11" t="str">
        <f>IFERROR(__xludf.DUMMYFUNCTION("REGEXREPLACE(G205, ""[^0-9a-zA-Z .'Ã]"","""")"),"Jimmy Bennett")</f>
        <v>Jimmy Bennett</v>
      </c>
      <c r="I205" s="11" t="s">
        <v>926</v>
      </c>
      <c r="J205" s="9">
        <v>82380.0</v>
      </c>
      <c r="K205" s="9" t="s">
        <v>927</v>
      </c>
      <c r="L205" s="9">
        <v>629.0</v>
      </c>
      <c r="M205" s="9" t="s">
        <v>24</v>
      </c>
      <c r="N205" s="9" t="s">
        <v>25</v>
      </c>
      <c r="O205" s="10">
        <v>1.6E8</v>
      </c>
      <c r="P205" s="10">
        <f t="shared" si="2"/>
        <v>0</v>
      </c>
      <c r="Q205" s="12">
        <f t="shared" si="3"/>
        <v>99344497</v>
      </c>
      <c r="R205" s="9">
        <v>2006.0</v>
      </c>
      <c r="S205" s="9">
        <v>5.6</v>
      </c>
    </row>
    <row r="206" ht="15.75" customHeight="1">
      <c r="A206" s="17" t="s">
        <v>928</v>
      </c>
      <c r="B206" s="8" t="str">
        <f>IFERROR(__xludf.DUMMYFUNCTION("REGEXREPLACE(A206, ""[^0-9a-zA-Z .'Ã]"","""")"),"Rob Marshall")</f>
        <v>Rob Marshall</v>
      </c>
      <c r="C206" s="18">
        <v>205.0</v>
      </c>
      <c r="D206" s="19">
        <v>1.9673424E7</v>
      </c>
      <c r="E206" s="18" t="s">
        <v>666</v>
      </c>
      <c r="F206" s="9">
        <f t="shared" si="1"/>
        <v>3</v>
      </c>
      <c r="G206" s="18" t="s">
        <v>929</v>
      </c>
      <c r="H206" s="11" t="str">
        <f>IFERROR(__xludf.DUMMYFUNCTION("REGEXREPLACE(G206, ""[^0-9a-zA-Z .'Ã]"","""")"),"Fergie")</f>
        <v>Fergie</v>
      </c>
      <c r="I206" s="20" t="s">
        <v>930</v>
      </c>
      <c r="J206" s="18">
        <v>37446.0</v>
      </c>
      <c r="K206" s="18" t="s">
        <v>931</v>
      </c>
      <c r="L206" s="18">
        <v>232.0</v>
      </c>
      <c r="M206" s="18" t="s">
        <v>24</v>
      </c>
      <c r="N206" s="18" t="s">
        <v>25</v>
      </c>
      <c r="O206" s="19">
        <v>8.0E7</v>
      </c>
      <c r="P206" s="10">
        <f t="shared" si="2"/>
        <v>0</v>
      </c>
      <c r="Q206" s="12">
        <f t="shared" si="3"/>
        <v>60326576</v>
      </c>
      <c r="R206" s="18">
        <v>2009.0</v>
      </c>
      <c r="S206" s="18">
        <v>5.8</v>
      </c>
    </row>
    <row r="207" ht="15.75" customHeight="1">
      <c r="A207" s="7" t="s">
        <v>932</v>
      </c>
      <c r="B207" s="8" t="str">
        <f>IFERROR(__xludf.DUMMYFUNCTION("REGEXREPLACE(A207, ""[^0-9a-zA-Z .'Ã]"","""")"),"Sofia Coppola")</f>
        <v>Sofia Coppola</v>
      </c>
      <c r="C207" s="9">
        <v>265.0</v>
      </c>
      <c r="D207" s="10">
        <v>4.4566004E7</v>
      </c>
      <c r="E207" s="9" t="s">
        <v>103</v>
      </c>
      <c r="F207" s="9">
        <f t="shared" si="1"/>
        <v>1</v>
      </c>
      <c r="G207" s="9" t="s">
        <v>436</v>
      </c>
      <c r="H207" s="11" t="str">
        <f>IFERROR(__xludf.DUMMYFUNCTION("REGEXREPLACE(G207, ""[^0-9a-zA-Z .'Ã]"","""")"),"Scarlett Johansson")</f>
        <v>Scarlett Johansson</v>
      </c>
      <c r="I207" s="11" t="s">
        <v>933</v>
      </c>
      <c r="J207" s="9">
        <v>321283.0</v>
      </c>
      <c r="K207" s="9" t="s">
        <v>934</v>
      </c>
      <c r="L207" s="9">
        <v>1848.0</v>
      </c>
      <c r="M207" s="9" t="s">
        <v>24</v>
      </c>
      <c r="N207" s="9" t="s">
        <v>25</v>
      </c>
      <c r="O207" s="10">
        <v>4000000.0</v>
      </c>
      <c r="P207" s="10">
        <f t="shared" si="2"/>
        <v>40566004</v>
      </c>
      <c r="Q207" s="12">
        <f t="shared" si="3"/>
        <v>0</v>
      </c>
      <c r="R207" s="9">
        <v>2003.0</v>
      </c>
      <c r="S207" s="9">
        <v>7.8</v>
      </c>
    </row>
    <row r="208" ht="15.75" customHeight="1">
      <c r="A208" s="7" t="s">
        <v>935</v>
      </c>
      <c r="B208" s="8" t="str">
        <f>IFERROR(__xludf.DUMMYFUNCTION("REGEXREPLACE(A208, ""[^0-9a-zA-Z .'Ã]"","""")"),"Betty Thomas")</f>
        <v>Betty Thomas</v>
      </c>
      <c r="C208" s="9">
        <v>73.0</v>
      </c>
      <c r="D208" s="10">
        <v>1.44156464E8</v>
      </c>
      <c r="E208" s="9" t="s">
        <v>514</v>
      </c>
      <c r="F208" s="9">
        <f t="shared" si="1"/>
        <v>3</v>
      </c>
      <c r="G208" s="9" t="s">
        <v>109</v>
      </c>
      <c r="H208" s="11" t="str">
        <f>IFERROR(__xludf.DUMMYFUNCTION("REGEXREPLACE(G208, ""[^0-9a-zA-Z .'Ã]"","""")"),"Oliver Platt")</f>
        <v>Oliver Platt</v>
      </c>
      <c r="I208" s="11" t="s">
        <v>936</v>
      </c>
      <c r="J208" s="9">
        <v>74343.0</v>
      </c>
      <c r="K208" s="9" t="s">
        <v>937</v>
      </c>
      <c r="L208" s="9">
        <v>98.0</v>
      </c>
      <c r="M208" s="9" t="s">
        <v>24</v>
      </c>
      <c r="N208" s="9" t="s">
        <v>25</v>
      </c>
      <c r="O208" s="10">
        <v>7.15E7</v>
      </c>
      <c r="P208" s="10">
        <f t="shared" si="2"/>
        <v>72656464</v>
      </c>
      <c r="Q208" s="12">
        <f t="shared" si="3"/>
        <v>0</v>
      </c>
      <c r="R208" s="9">
        <v>1998.0</v>
      </c>
      <c r="S208" s="9">
        <v>5.3</v>
      </c>
    </row>
    <row r="209" ht="15.75" customHeight="1">
      <c r="A209" s="7" t="s">
        <v>938</v>
      </c>
      <c r="B209" s="8" t="str">
        <f>IFERROR(__xludf.DUMMYFUNCTION("REGEXREPLACE(A209, ""[^0-9a-zA-Z -.'Ã]"","""")"),"Jaume Collet-Serra")</f>
        <v>Jaume Collet-Serra</v>
      </c>
      <c r="C209" s="9">
        <v>236.0</v>
      </c>
      <c r="D209" s="10">
        <v>2.6442251E7</v>
      </c>
      <c r="E209" s="9" t="s">
        <v>501</v>
      </c>
      <c r="F209" s="9">
        <f t="shared" si="1"/>
        <v>4</v>
      </c>
      <c r="G209" s="9" t="s">
        <v>605</v>
      </c>
      <c r="H209" s="11" t="str">
        <f>IFERROR(__xludf.DUMMYFUNCTION("REGEXREPLACE(G209, ""[^0-9a-zA-Z .'Ã]"","""")"),"Liam Neeson")</f>
        <v>Liam Neeson</v>
      </c>
      <c r="I209" s="11" t="s">
        <v>939</v>
      </c>
      <c r="J209" s="9">
        <v>76010.0</v>
      </c>
      <c r="K209" s="9" t="s">
        <v>940</v>
      </c>
      <c r="L209" s="9">
        <v>205.0</v>
      </c>
      <c r="M209" s="9" t="s">
        <v>24</v>
      </c>
      <c r="N209" s="9" t="s">
        <v>25</v>
      </c>
      <c r="O209" s="10">
        <v>5.0E7</v>
      </c>
      <c r="P209" s="10">
        <f t="shared" si="2"/>
        <v>0</v>
      </c>
      <c r="Q209" s="12">
        <f t="shared" si="3"/>
        <v>23557749</v>
      </c>
      <c r="R209" s="9">
        <v>2015.0</v>
      </c>
      <c r="S209" s="9">
        <v>6.6</v>
      </c>
    </row>
    <row r="210" ht="15.75" customHeight="1">
      <c r="A210" s="7" t="s">
        <v>941</v>
      </c>
      <c r="B210" s="8" t="str">
        <f>IFERROR(__xludf.DUMMYFUNCTION("REGEXREPLACE(A210, ""[^0-9a-zA-Z .'Ã]"","""")"),"Forest Whitaker")</f>
        <v>Forest Whitaker</v>
      </c>
      <c r="C210" s="9">
        <v>65.0</v>
      </c>
      <c r="D210" s="10">
        <v>6.003378E7</v>
      </c>
      <c r="E210" s="9" t="s">
        <v>232</v>
      </c>
      <c r="F210" s="9">
        <f t="shared" si="1"/>
        <v>2</v>
      </c>
      <c r="G210" s="9" t="s">
        <v>942</v>
      </c>
      <c r="H210" s="11" t="str">
        <f>IFERROR(__xludf.DUMMYFUNCTION("REGEXREPLACE(G210, ""[^0-9a-zA-Z .'Ã]"","""")"),"Bill Cobbs")</f>
        <v>Bill Cobbs</v>
      </c>
      <c r="I210" s="11" t="s">
        <v>943</v>
      </c>
      <c r="J210" s="9">
        <v>18973.0</v>
      </c>
      <c r="K210" s="9" t="s">
        <v>944</v>
      </c>
      <c r="L210" s="9">
        <v>162.0</v>
      </c>
      <c r="M210" s="9" t="s">
        <v>24</v>
      </c>
      <c r="N210" s="9" t="s">
        <v>25</v>
      </c>
      <c r="O210" s="10">
        <v>3.0E7</v>
      </c>
      <c r="P210" s="10">
        <f t="shared" si="2"/>
        <v>30033780</v>
      </c>
      <c r="Q210" s="12">
        <f t="shared" si="3"/>
        <v>0</v>
      </c>
      <c r="R210" s="9">
        <v>1998.0</v>
      </c>
      <c r="S210" s="9">
        <v>5.9</v>
      </c>
    </row>
    <row r="211" ht="15.75" customHeight="1">
      <c r="A211" s="7" t="s">
        <v>141</v>
      </c>
      <c r="B211" s="8" t="str">
        <f>IFERROR(__xludf.DUMMYFUNCTION("REGEXREPLACE(A211, ""[^0-9a-zA-Z .'Ã]"","""")"),"Simon Wincer")</f>
        <v>Simon Wincer</v>
      </c>
      <c r="C211" s="9">
        <v>71.0</v>
      </c>
      <c r="D211" s="10">
        <v>2.5590119E7</v>
      </c>
      <c r="E211" s="9" t="s">
        <v>945</v>
      </c>
      <c r="F211" s="9">
        <f t="shared" si="1"/>
        <v>3</v>
      </c>
      <c r="G211" s="9" t="s">
        <v>946</v>
      </c>
      <c r="H211" s="11" t="str">
        <f>IFERROR(__xludf.DUMMYFUNCTION("REGEXREPLACE(G211, ""[^0-9a-zA-Z .'Ã]"","""")"),"Jere Burns")</f>
        <v>Jere Burns</v>
      </c>
      <c r="I211" s="11" t="s">
        <v>947</v>
      </c>
      <c r="J211" s="9">
        <v>19699.0</v>
      </c>
      <c r="K211" s="9" t="s">
        <v>948</v>
      </c>
      <c r="L211" s="9">
        <v>119.0</v>
      </c>
      <c r="M211" s="9" t="s">
        <v>24</v>
      </c>
      <c r="N211" s="9" t="s">
        <v>146</v>
      </c>
      <c r="O211" s="10">
        <v>2.115E7</v>
      </c>
      <c r="P211" s="10">
        <f t="shared" si="2"/>
        <v>4440119</v>
      </c>
      <c r="Q211" s="12">
        <f t="shared" si="3"/>
        <v>0</v>
      </c>
      <c r="R211" s="9">
        <v>2001.0</v>
      </c>
      <c r="S211" s="9">
        <v>4.8</v>
      </c>
    </row>
    <row r="212" ht="15.75" customHeight="1">
      <c r="A212" s="7" t="s">
        <v>949</v>
      </c>
      <c r="B212" s="8" t="str">
        <f>IFERROR(__xludf.DUMMYFUNCTION("REGEXREPLACE(A212, ""[^0-9a-zA-Z .'Ã]"","""")"),"Don Bluth")</f>
        <v>Don Bluth</v>
      </c>
      <c r="C212" s="9">
        <v>78.0</v>
      </c>
      <c r="D212" s="10">
        <v>5.829783E7</v>
      </c>
      <c r="E212" s="9" t="s">
        <v>950</v>
      </c>
      <c r="F212" s="9">
        <f t="shared" si="1"/>
        <v>8</v>
      </c>
      <c r="G212" s="9" t="s">
        <v>951</v>
      </c>
      <c r="H212" s="11" t="str">
        <f>IFERROR(__xludf.DUMMYFUNCTION("REGEXREPLACE(G212, ""[^0-9a-zA-Z .'Ã]"","""")"),"Kirsten Dunst")</f>
        <v>Kirsten Dunst</v>
      </c>
      <c r="I212" s="11" t="s">
        <v>952</v>
      </c>
      <c r="J212" s="9">
        <v>86347.0</v>
      </c>
      <c r="K212" s="9" t="s">
        <v>953</v>
      </c>
      <c r="L212" s="9">
        <v>191.0</v>
      </c>
      <c r="M212" s="9" t="s">
        <v>24</v>
      </c>
      <c r="N212" s="9" t="s">
        <v>25</v>
      </c>
      <c r="O212" s="10">
        <v>5.0E7</v>
      </c>
      <c r="P212" s="10">
        <f t="shared" si="2"/>
        <v>8297830</v>
      </c>
      <c r="Q212" s="12">
        <f t="shared" si="3"/>
        <v>0</v>
      </c>
      <c r="R212" s="9">
        <v>1997.0</v>
      </c>
      <c r="S212" s="9">
        <v>7.1</v>
      </c>
    </row>
    <row r="213" ht="15.75" customHeight="1">
      <c r="A213" s="13" t="s">
        <v>954</v>
      </c>
      <c r="B213" s="8" t="str">
        <f>IFERROR(__xludf.DUMMYFUNCTION("REGEXREPLACE(A213, ""[^0-9a-zA-Z .'Ã]"","""")"),"Adam Marcus")</f>
        <v>Adam Marcus</v>
      </c>
      <c r="C213" s="14">
        <v>112.0</v>
      </c>
      <c r="D213" s="15">
        <v>1.5935068E7</v>
      </c>
      <c r="E213" s="14" t="s">
        <v>955</v>
      </c>
      <c r="F213" s="9">
        <f t="shared" si="1"/>
        <v>3</v>
      </c>
      <c r="G213" s="14" t="s">
        <v>956</v>
      </c>
      <c r="H213" s="11" t="str">
        <f>IFERROR(__xludf.DUMMYFUNCTION("REGEXREPLACE(G213, ""[^0-9a-zA-Z .'Ã]"","""")"),"Kane Hodder")</f>
        <v>Kane Hodder</v>
      </c>
      <c r="I213" s="16" t="s">
        <v>957</v>
      </c>
      <c r="J213" s="14">
        <v>19331.0</v>
      </c>
      <c r="K213" s="14" t="s">
        <v>958</v>
      </c>
      <c r="L213" s="14">
        <v>317.0</v>
      </c>
      <c r="M213" s="14" t="s">
        <v>24</v>
      </c>
      <c r="N213" s="14" t="s">
        <v>25</v>
      </c>
      <c r="O213" s="15">
        <v>2500000.0</v>
      </c>
      <c r="P213" s="10">
        <f t="shared" si="2"/>
        <v>13435068</v>
      </c>
      <c r="Q213" s="12">
        <f t="shared" si="3"/>
        <v>0</v>
      </c>
      <c r="R213" s="14">
        <v>1993.0</v>
      </c>
      <c r="S213" s="14">
        <v>4.3</v>
      </c>
    </row>
    <row r="214" ht="15.75" customHeight="1">
      <c r="A214" s="21" t="s">
        <v>959</v>
      </c>
      <c r="B214" s="8" t="str">
        <f>IFERROR(__xludf.DUMMYFUNCTION("REGEXREPLACE(A214, ""[^0-9a-zA-Z .'Ã]"","""")"),"Oliver Stone")</f>
        <v>Oliver Stone</v>
      </c>
      <c r="C214" s="22">
        <v>242.0</v>
      </c>
      <c r="D214" s="23">
        <v>7.0236496E7</v>
      </c>
      <c r="E214" s="22" t="s">
        <v>960</v>
      </c>
      <c r="F214" s="9">
        <f t="shared" si="1"/>
        <v>3</v>
      </c>
      <c r="G214" s="22" t="s">
        <v>458</v>
      </c>
      <c r="H214" s="11" t="str">
        <f>IFERROR(__xludf.DUMMYFUNCTION("REGEXREPLACE(G214, ""[^0-9a-zA-Z .'Ã]"","""")"),"Nicolas Cage")</f>
        <v>Nicolas Cage</v>
      </c>
      <c r="I214" s="24" t="s">
        <v>961</v>
      </c>
      <c r="J214" s="22">
        <v>67395.0</v>
      </c>
      <c r="K214" s="22" t="s">
        <v>962</v>
      </c>
      <c r="L214" s="22">
        <v>564.0</v>
      </c>
      <c r="M214" s="22" t="s">
        <v>24</v>
      </c>
      <c r="N214" s="22" t="s">
        <v>25</v>
      </c>
      <c r="O214" s="23">
        <v>6.3E7</v>
      </c>
      <c r="P214" s="10">
        <f t="shared" si="2"/>
        <v>7236496</v>
      </c>
      <c r="Q214" s="12">
        <f t="shared" si="3"/>
        <v>0</v>
      </c>
      <c r="R214" s="22">
        <v>2006.0</v>
      </c>
      <c r="S214" s="22">
        <v>6.0</v>
      </c>
    </row>
    <row r="215" ht="15.75" customHeight="1">
      <c r="A215" s="25" t="s">
        <v>963</v>
      </c>
      <c r="B215" s="8" t="str">
        <f>IFERROR(__xludf.DUMMYFUNCTION("REGEXREPLACE(A215, ""[^0-9a-zA-Z .'Ã]"","""")"),"Glenn Ficarra")</f>
        <v>Glenn Ficarra</v>
      </c>
      <c r="C215" s="26">
        <v>310.0</v>
      </c>
      <c r="D215" s="27">
        <v>8.4244877E7</v>
      </c>
      <c r="E215" s="26" t="s">
        <v>159</v>
      </c>
      <c r="F215" s="9">
        <f t="shared" si="1"/>
        <v>3</v>
      </c>
      <c r="G215" s="26" t="s">
        <v>224</v>
      </c>
      <c r="H215" s="11" t="str">
        <f>IFERROR(__xludf.DUMMYFUNCTION("REGEXREPLACE(G215, ""[^0-9a-zA-Z .'Ã]"","""")"),"Ryan Gosling")</f>
        <v>Ryan Gosling</v>
      </c>
      <c r="I215" s="28" t="s">
        <v>964</v>
      </c>
      <c r="J215" s="26">
        <v>375456.0</v>
      </c>
      <c r="K215" s="26" t="s">
        <v>965</v>
      </c>
      <c r="L215" s="26">
        <v>292.0</v>
      </c>
      <c r="M215" s="26" t="s">
        <v>24</v>
      </c>
      <c r="N215" s="26" t="s">
        <v>25</v>
      </c>
      <c r="O215" s="27">
        <v>5.0E7</v>
      </c>
      <c r="P215" s="10">
        <f t="shared" si="2"/>
        <v>34244877</v>
      </c>
      <c r="Q215" s="12">
        <f t="shared" si="3"/>
        <v>0</v>
      </c>
      <c r="R215" s="26">
        <v>2011.0</v>
      </c>
      <c r="S215" s="26">
        <v>7.4</v>
      </c>
    </row>
    <row r="216" ht="15.75" customHeight="1">
      <c r="A216" s="21" t="s">
        <v>174</v>
      </c>
      <c r="B216" s="8" t="str">
        <f>IFERROR(__xludf.DUMMYFUNCTION("REGEXREPLACE(A216, ""[^0-9a-zA-Z .'Ã]"","""")"),"Roland Emmerich")</f>
        <v>Roland Emmerich</v>
      </c>
      <c r="C216" s="22">
        <v>74.0</v>
      </c>
      <c r="D216" s="23">
        <v>186354.0</v>
      </c>
      <c r="E216" s="22" t="s">
        <v>103</v>
      </c>
      <c r="F216" s="9">
        <f t="shared" si="1"/>
        <v>1</v>
      </c>
      <c r="G216" s="22" t="s">
        <v>680</v>
      </c>
      <c r="H216" s="11" t="str">
        <f>IFERROR(__xludf.DUMMYFUNCTION("REGEXREPLACE(G216, ""[^0-9a-zA-Z .'Ã]"","""")"),"Jeremy Irvine")</f>
        <v>Jeremy Irvine</v>
      </c>
      <c r="I216" s="24" t="s">
        <v>966</v>
      </c>
      <c r="J216" s="22">
        <v>1758.0</v>
      </c>
      <c r="K216" s="22" t="s">
        <v>967</v>
      </c>
      <c r="L216" s="22">
        <v>30.0</v>
      </c>
      <c r="M216" s="22" t="s">
        <v>24</v>
      </c>
      <c r="N216" s="22" t="s">
        <v>25</v>
      </c>
      <c r="O216" s="23">
        <v>1.35E7</v>
      </c>
      <c r="P216" s="10">
        <f t="shared" si="2"/>
        <v>0</v>
      </c>
      <c r="Q216" s="12">
        <f t="shared" si="3"/>
        <v>13313646</v>
      </c>
      <c r="R216" s="22">
        <v>2015.0</v>
      </c>
      <c r="S216" s="22">
        <v>4.5</v>
      </c>
    </row>
    <row r="217" ht="15.75" customHeight="1">
      <c r="A217" s="13" t="s">
        <v>676</v>
      </c>
      <c r="B217" s="8" t="str">
        <f>IFERROR(__xludf.DUMMYFUNCTION("REGEXREPLACE(A217, ""[^0-9a-zA-Z .'Ã]"","""")"),"Stephen Herek")</f>
        <v>Stephen Herek</v>
      </c>
      <c r="C217" s="14">
        <v>59.0</v>
      </c>
      <c r="D217" s="15">
        <v>1.9118247E7</v>
      </c>
      <c r="E217" s="14" t="s">
        <v>968</v>
      </c>
      <c r="F217" s="9">
        <f t="shared" si="1"/>
        <v>2</v>
      </c>
      <c r="G217" s="14" t="s">
        <v>969</v>
      </c>
      <c r="H217" s="11" t="str">
        <f>IFERROR(__xludf.DUMMYFUNCTION("REGEXREPLACE(G217, ""[^0-9a-zA-Z .'Ã]"","""")"),"Christina Milian")</f>
        <v>Christina Milian</v>
      </c>
      <c r="I217" s="16" t="s">
        <v>970</v>
      </c>
      <c r="J217" s="14">
        <v>19829.0</v>
      </c>
      <c r="K217" s="14" t="s">
        <v>971</v>
      </c>
      <c r="L217" s="14">
        <v>94.0</v>
      </c>
      <c r="M217" s="14" t="s">
        <v>24</v>
      </c>
      <c r="N217" s="14" t="s">
        <v>25</v>
      </c>
      <c r="O217" s="15">
        <v>4.0E7</v>
      </c>
      <c r="P217" s="10">
        <f t="shared" si="2"/>
        <v>0</v>
      </c>
      <c r="Q217" s="12">
        <f t="shared" si="3"/>
        <v>20881753</v>
      </c>
      <c r="R217" s="14">
        <v>2005.0</v>
      </c>
      <c r="S217" s="14">
        <v>5.4</v>
      </c>
    </row>
    <row r="218" ht="15.75" customHeight="1">
      <c r="A218" s="13" t="s">
        <v>972</v>
      </c>
      <c r="B218" s="8" t="str">
        <f>IFERROR(__xludf.DUMMYFUNCTION("REGEXREPLACE(A218, ""[^0-9a-zA-Z .'Ã]"","""")"),"Shawn Levy")</f>
        <v>Shawn Levy</v>
      </c>
      <c r="C218" s="14">
        <v>327.0</v>
      </c>
      <c r="D218" s="15">
        <v>8.5463309E7</v>
      </c>
      <c r="E218" s="14" t="s">
        <v>973</v>
      </c>
      <c r="F218" s="9">
        <f t="shared" si="1"/>
        <v>4</v>
      </c>
      <c r="G218" s="14" t="s">
        <v>974</v>
      </c>
      <c r="H218" s="11" t="str">
        <f>IFERROR(__xludf.DUMMYFUNCTION("REGEXREPLACE(G218, ""[^0-9a-zA-Z .'Ã]"","""")"),"Hugh Jackman")</f>
        <v>Hugh Jackman</v>
      </c>
      <c r="I218" s="16" t="s">
        <v>975</v>
      </c>
      <c r="J218" s="14">
        <v>254841.0</v>
      </c>
      <c r="K218" s="14" t="s">
        <v>976</v>
      </c>
      <c r="L218" s="14">
        <v>426.0</v>
      </c>
      <c r="M218" s="14" t="s">
        <v>24</v>
      </c>
      <c r="N218" s="14" t="s">
        <v>25</v>
      </c>
      <c r="O218" s="15">
        <v>1.1E8</v>
      </c>
      <c r="P218" s="10">
        <f t="shared" si="2"/>
        <v>0</v>
      </c>
      <c r="Q218" s="12">
        <f t="shared" si="3"/>
        <v>24536691</v>
      </c>
      <c r="R218" s="14">
        <v>2011.0</v>
      </c>
      <c r="S218" s="14">
        <v>7.1</v>
      </c>
    </row>
    <row r="219" ht="15.75" customHeight="1">
      <c r="A219" s="13" t="s">
        <v>977</v>
      </c>
      <c r="B219" s="8" t="str">
        <f>IFERROR(__xludf.DUMMYFUNCTION("REGEXREPLACE(A219, ""[^0-9a-zA-Z .'Ã]"","""")"),"Jon Gunn")</f>
        <v>Jon Gunn</v>
      </c>
      <c r="C219" s="14">
        <v>15.0</v>
      </c>
      <c r="D219" s="15">
        <v>171988.0</v>
      </c>
      <c r="E219" s="14" t="s">
        <v>978</v>
      </c>
      <c r="F219" s="9">
        <f t="shared" si="1"/>
        <v>3</v>
      </c>
      <c r="G219" s="14" t="s">
        <v>979</v>
      </c>
      <c r="H219" s="11" t="str">
        <f>IFERROR(__xludf.DUMMYFUNCTION("REGEXREPLACE(G219, ""[^0-9a-zA-Z .'Ã]"","""")"),"Stacy Keach")</f>
        <v>Stacy Keach</v>
      </c>
      <c r="I219" s="16" t="s">
        <v>980</v>
      </c>
      <c r="J219" s="14">
        <v>448.0</v>
      </c>
      <c r="K219" s="14" t="s">
        <v>981</v>
      </c>
      <c r="L219" s="14">
        <v>16.0</v>
      </c>
      <c r="M219" s="14" t="s">
        <v>24</v>
      </c>
      <c r="N219" s="14" t="s">
        <v>25</v>
      </c>
      <c r="O219" s="15">
        <v>600000.0</v>
      </c>
      <c r="P219" s="10">
        <f t="shared" si="2"/>
        <v>0</v>
      </c>
      <c r="Q219" s="12">
        <f t="shared" si="3"/>
        <v>428012</v>
      </c>
      <c r="R219" s="14">
        <v>2000.0</v>
      </c>
      <c r="S219" s="14">
        <v>5.6</v>
      </c>
    </row>
    <row r="220" ht="15.75" customHeight="1">
      <c r="A220" s="25" t="s">
        <v>982</v>
      </c>
      <c r="B220" s="8" t="str">
        <f>IFERROR(__xludf.DUMMYFUNCTION("REGEXREPLACE(A220, ""[^0-9a-zA-Z .'Ã]"","""")"),"Joel Gallen")</f>
        <v>Joel Gallen</v>
      </c>
      <c r="C220" s="26">
        <v>97.0</v>
      </c>
      <c r="D220" s="27">
        <v>3.7882551E7</v>
      </c>
      <c r="E220" s="26" t="s">
        <v>137</v>
      </c>
      <c r="F220" s="9">
        <f t="shared" si="1"/>
        <v>1</v>
      </c>
      <c r="G220" s="26" t="s">
        <v>983</v>
      </c>
      <c r="H220" s="11" t="str">
        <f>IFERROR(__xludf.DUMMYFUNCTION("REGEXREPLACE(G220, ""[^0-9a-zA-Z .'Ã]"","""")"),"Chris Evans")</f>
        <v>Chris Evans</v>
      </c>
      <c r="I220" s="28" t="s">
        <v>984</v>
      </c>
      <c r="J220" s="26">
        <v>80305.0</v>
      </c>
      <c r="K220" s="26" t="s">
        <v>985</v>
      </c>
      <c r="L220" s="26">
        <v>393.0</v>
      </c>
      <c r="M220" s="26" t="s">
        <v>24</v>
      </c>
      <c r="N220" s="26" t="s">
        <v>25</v>
      </c>
      <c r="O220" s="27">
        <v>1.6E7</v>
      </c>
      <c r="P220" s="10">
        <f t="shared" si="2"/>
        <v>21882551</v>
      </c>
      <c r="Q220" s="12">
        <f t="shared" si="3"/>
        <v>0</v>
      </c>
      <c r="R220" s="26">
        <v>2001.0</v>
      </c>
      <c r="S220" s="26">
        <v>5.7</v>
      </c>
    </row>
    <row r="221" ht="15.75" customHeight="1">
      <c r="A221" s="7" t="s">
        <v>986</v>
      </c>
      <c r="B221" s="8" t="str">
        <f>IFERROR(__xludf.DUMMYFUNCTION("REGEXREPLACE(A221, ""[^0-9a-zA-Z .'Ã]"","""")"),"Simon West")</f>
        <v>Simon West</v>
      </c>
      <c r="C221" s="9">
        <v>113.0</v>
      </c>
      <c r="D221" s="10">
        <v>1.02678089E8</v>
      </c>
      <c r="E221" s="9" t="s">
        <v>311</v>
      </c>
      <c r="F221" s="9">
        <f t="shared" si="1"/>
        <v>3</v>
      </c>
      <c r="G221" s="9" t="s">
        <v>987</v>
      </c>
      <c r="H221" s="11" t="str">
        <f>IFERROR(__xludf.DUMMYFUNCTION("REGEXREPLACE(G221, ""[^0-9a-zA-Z .'Ã]"","""")"),"Daniel von Bargen")</f>
        <v>Daniel von Bargen</v>
      </c>
      <c r="I221" s="11" t="s">
        <v>988</v>
      </c>
      <c r="J221" s="9">
        <v>42705.0</v>
      </c>
      <c r="K221" s="9" t="s">
        <v>989</v>
      </c>
      <c r="L221" s="9">
        <v>274.0</v>
      </c>
      <c r="M221" s="9" t="s">
        <v>24</v>
      </c>
      <c r="N221" s="9" t="s">
        <v>25</v>
      </c>
      <c r="O221" s="10">
        <v>9.5E7</v>
      </c>
      <c r="P221" s="10">
        <f t="shared" si="2"/>
        <v>7678089</v>
      </c>
      <c r="Q221" s="12">
        <f t="shared" si="3"/>
        <v>0</v>
      </c>
      <c r="R221" s="9">
        <v>1999.0</v>
      </c>
      <c r="S221" s="9">
        <v>6.3</v>
      </c>
    </row>
    <row r="222" ht="15.75" customHeight="1">
      <c r="A222" s="7" t="s">
        <v>990</v>
      </c>
      <c r="B222" s="8" t="str">
        <f>IFERROR(__xludf.DUMMYFUNCTION("REGEXREPLACE(A222, ""[^0-9a-zA-Z .'Ã]"","""")"),"Malcolm D. Lee")</f>
        <v>Malcolm D. Lee</v>
      </c>
      <c r="C222" s="9">
        <v>81.0</v>
      </c>
      <c r="D222" s="10">
        <v>3.8230435E7</v>
      </c>
      <c r="E222" s="9" t="s">
        <v>968</v>
      </c>
      <c r="F222" s="9">
        <f t="shared" si="1"/>
        <v>2</v>
      </c>
      <c r="G222" s="9" t="s">
        <v>991</v>
      </c>
      <c r="H222" s="11" t="str">
        <f>IFERROR(__xludf.DUMMYFUNCTION("REGEXREPLACE(G222, ""[^0-9a-zA-Z .'Ã]"","""")"),"Dave Chappelle")</f>
        <v>Dave Chappelle</v>
      </c>
      <c r="I222" s="11" t="s">
        <v>992</v>
      </c>
      <c r="J222" s="9">
        <v>29661.0</v>
      </c>
      <c r="K222" s="9" t="s">
        <v>993</v>
      </c>
      <c r="L222" s="9">
        <v>179.0</v>
      </c>
      <c r="M222" s="9" t="s">
        <v>24</v>
      </c>
      <c r="N222" s="9" t="s">
        <v>25</v>
      </c>
      <c r="O222" s="10">
        <v>2.5E7</v>
      </c>
      <c r="P222" s="10">
        <f t="shared" si="2"/>
        <v>13230435</v>
      </c>
      <c r="Q222" s="12">
        <f t="shared" si="3"/>
        <v>0</v>
      </c>
      <c r="R222" s="9">
        <v>2002.0</v>
      </c>
      <c r="S222" s="9">
        <v>5.8</v>
      </c>
    </row>
    <row r="223" ht="15.75" customHeight="1">
      <c r="A223" s="7" t="s">
        <v>994</v>
      </c>
      <c r="B223" s="8" t="str">
        <f>IFERROR(__xludf.DUMMYFUNCTION("REGEXREPLACE(A223, ""[^0-9a-zA-Z .'Ã]"","""")"),"Sol Tryon")</f>
        <v>Sol Tryon</v>
      </c>
      <c r="C223" s="9">
        <v>28.0</v>
      </c>
      <c r="D223" s="10">
        <v>12055.0</v>
      </c>
      <c r="E223" s="9" t="s">
        <v>137</v>
      </c>
      <c r="F223" s="9">
        <f t="shared" si="1"/>
        <v>1</v>
      </c>
      <c r="G223" s="9" t="s">
        <v>995</v>
      </c>
      <c r="H223" s="11" t="str">
        <f>IFERROR(__xludf.DUMMYFUNCTION("REGEXREPLACE(G223, ""[^0-9a-zA-Z .'Ã]"","""")"),"Jim Gaffigan")</f>
        <v>Jim Gaffigan</v>
      </c>
      <c r="I223" s="11" t="s">
        <v>996</v>
      </c>
      <c r="J223" s="9">
        <v>739.0</v>
      </c>
      <c r="K223" s="9" t="s">
        <v>997</v>
      </c>
      <c r="L223" s="9">
        <v>10.0</v>
      </c>
      <c r="M223" s="9" t="s">
        <v>24</v>
      </c>
      <c r="N223" s="9" t="s">
        <v>25</v>
      </c>
      <c r="O223" s="10">
        <v>500000.0</v>
      </c>
      <c r="P223" s="10">
        <f t="shared" si="2"/>
        <v>0</v>
      </c>
      <c r="Q223" s="12">
        <f t="shared" si="3"/>
        <v>487945</v>
      </c>
      <c r="R223" s="9">
        <v>2007.0</v>
      </c>
      <c r="S223" s="9">
        <v>6.5</v>
      </c>
    </row>
    <row r="224" ht="15.75" customHeight="1">
      <c r="A224" s="7" t="s">
        <v>998</v>
      </c>
      <c r="B224" s="8" t="str">
        <f>IFERROR(__xludf.DUMMYFUNCTION("REGEXREPLACE(A224, ""[^0-9a-zA-Z .'Ã]"","""")"),"Peter Jackson")</f>
        <v>Peter Jackson</v>
      </c>
      <c r="C224" s="9">
        <v>446.0</v>
      </c>
      <c r="D224" s="10">
        <v>2.1805126E8</v>
      </c>
      <c r="E224" s="9" t="s">
        <v>999</v>
      </c>
      <c r="F224" s="9">
        <f t="shared" si="1"/>
        <v>4</v>
      </c>
      <c r="G224" s="9" t="s">
        <v>874</v>
      </c>
      <c r="H224" s="11" t="str">
        <f>IFERROR(__xludf.DUMMYFUNCTION("REGEXREPLACE(G224, ""[^0-9a-zA-Z .'Ã]"","""")"),"Naomi Watts")</f>
        <v>Naomi Watts</v>
      </c>
      <c r="I224" s="11" t="s">
        <v>1000</v>
      </c>
      <c r="J224" s="9">
        <v>316018.0</v>
      </c>
      <c r="K224" s="9" t="s">
        <v>1001</v>
      </c>
      <c r="L224" s="9">
        <v>2618.0</v>
      </c>
      <c r="M224" s="9" t="s">
        <v>24</v>
      </c>
      <c r="N224" s="9" t="s">
        <v>1002</v>
      </c>
      <c r="O224" s="10">
        <v>2.07E8</v>
      </c>
      <c r="P224" s="10">
        <f t="shared" si="2"/>
        <v>11051260</v>
      </c>
      <c r="Q224" s="12">
        <f t="shared" si="3"/>
        <v>0</v>
      </c>
      <c r="R224" s="9">
        <v>2005.0</v>
      </c>
      <c r="S224" s="9">
        <v>7.2</v>
      </c>
    </row>
    <row r="225" ht="15.75" customHeight="1">
      <c r="A225" s="17" t="s">
        <v>1003</v>
      </c>
      <c r="B225" s="8" t="str">
        <f>IFERROR(__xludf.DUMMYFUNCTION("REGEXREPLACE(A225, ""[^0-9a-zA-Z .'Ã]"","""")"),"Morgan Spurlock")</f>
        <v>Morgan Spurlock</v>
      </c>
      <c r="C225" s="18">
        <v>193.0</v>
      </c>
      <c r="D225" s="19">
        <v>1.1529368E7</v>
      </c>
      <c r="E225" s="18" t="s">
        <v>1004</v>
      </c>
      <c r="F225" s="9">
        <f t="shared" si="1"/>
        <v>3</v>
      </c>
      <c r="G225" s="18" t="s">
        <v>1005</v>
      </c>
      <c r="H225" s="11" t="str">
        <f>IFERROR(__xludf.DUMMYFUNCTION("REGEXREPLACE(G225, ""[^0-9a-zA-Z .'Ã]"","""")"),"Chemeeka Walker")</f>
        <v>Chemeeka Walker</v>
      </c>
      <c r="I225" s="20" t="s">
        <v>1006</v>
      </c>
      <c r="J225" s="18">
        <v>85028.0</v>
      </c>
      <c r="K225" s="18" t="s">
        <v>1007</v>
      </c>
      <c r="L225" s="18">
        <v>404.0</v>
      </c>
      <c r="M225" s="18" t="s">
        <v>24</v>
      </c>
      <c r="N225" s="18" t="s">
        <v>25</v>
      </c>
      <c r="O225" s="19">
        <v>65000.0</v>
      </c>
      <c r="P225" s="10">
        <f t="shared" si="2"/>
        <v>11464368</v>
      </c>
      <c r="Q225" s="12">
        <f t="shared" si="3"/>
        <v>0</v>
      </c>
      <c r="R225" s="18">
        <v>2004.0</v>
      </c>
      <c r="S225" s="18">
        <v>7.3</v>
      </c>
    </row>
    <row r="226" ht="15.75" customHeight="1">
      <c r="A226" s="7" t="s">
        <v>1008</v>
      </c>
      <c r="B226" s="8" t="str">
        <f>IFERROR(__xludf.DUMMYFUNCTION("REGEXREPLACE(A226, ""[^0-9a-zA-Z .'Ã]"","""")"),"George Jackson")</f>
        <v>George Jackson</v>
      </c>
      <c r="C226" s="9">
        <v>12.0</v>
      </c>
      <c r="D226" s="10">
        <v>1.9281235E7</v>
      </c>
      <c r="E226" s="9" t="s">
        <v>1009</v>
      </c>
      <c r="F226" s="9">
        <f t="shared" si="1"/>
        <v>4</v>
      </c>
      <c r="G226" s="9" t="s">
        <v>1010</v>
      </c>
      <c r="H226" s="11" t="str">
        <f>IFERROR(__xludf.DUMMYFUNCTION("REGEXREPLACE(G226, ""[^0-9a-zA-Z .'Ã]"","""")"),"William Schallert")</f>
        <v>William Schallert</v>
      </c>
      <c r="I226" s="11" t="s">
        <v>1011</v>
      </c>
      <c r="J226" s="9">
        <v>3571.0</v>
      </c>
      <c r="K226" s="9" t="s">
        <v>1012</v>
      </c>
      <c r="L226" s="9">
        <v>11.0</v>
      </c>
      <c r="M226" s="9" t="s">
        <v>24</v>
      </c>
      <c r="N226" s="9" t="s">
        <v>25</v>
      </c>
      <c r="O226" s="10">
        <v>5000000.0</v>
      </c>
      <c r="P226" s="10">
        <f t="shared" si="2"/>
        <v>14281235</v>
      </c>
      <c r="Q226" s="12">
        <f t="shared" si="3"/>
        <v>0</v>
      </c>
      <c r="R226" s="9">
        <v>1991.0</v>
      </c>
      <c r="S226" s="9">
        <v>5.1</v>
      </c>
    </row>
    <row r="227" ht="15.75" customHeight="1">
      <c r="A227" s="21" t="s">
        <v>738</v>
      </c>
      <c r="B227" s="8" t="str">
        <f>IFERROR(__xludf.DUMMYFUNCTION("REGEXREPLACE(A227, ""[^0-9a-zA-Z -.'Ã]"","""")"),"Costa-Gavras")</f>
        <v>Costa-Gavras</v>
      </c>
      <c r="C227" s="22">
        <v>59.0</v>
      </c>
      <c r="D227" s="23">
        <v>1.0556196E7</v>
      </c>
      <c r="E227" s="22" t="s">
        <v>113</v>
      </c>
      <c r="F227" s="9">
        <f t="shared" si="1"/>
        <v>3</v>
      </c>
      <c r="G227" s="22" t="s">
        <v>1013</v>
      </c>
      <c r="H227" s="11" t="str">
        <f>IFERROR(__xludf.DUMMYFUNCTION("REGEXREPLACE(G227, ""[^0-9a-zA-Z .'Ã]"","""")"),"Mia Kirshner")</f>
        <v>Mia Kirshner</v>
      </c>
      <c r="I227" s="24" t="s">
        <v>1014</v>
      </c>
      <c r="J227" s="22">
        <v>16562.0</v>
      </c>
      <c r="K227" s="22" t="s">
        <v>1015</v>
      </c>
      <c r="L227" s="22">
        <v>73.0</v>
      </c>
      <c r="M227" s="22" t="s">
        <v>24</v>
      </c>
      <c r="N227" s="22" t="s">
        <v>25</v>
      </c>
      <c r="O227" s="23">
        <v>5.0E7</v>
      </c>
      <c r="P227" s="10">
        <f t="shared" si="2"/>
        <v>0</v>
      </c>
      <c r="Q227" s="12">
        <f t="shared" si="3"/>
        <v>39443804</v>
      </c>
      <c r="R227" s="22">
        <v>1997.0</v>
      </c>
      <c r="S227" s="22">
        <v>6.2</v>
      </c>
    </row>
    <row r="228" ht="15.75" customHeight="1">
      <c r="A228" s="29" t="s">
        <v>1016</v>
      </c>
      <c r="B228" s="8" t="str">
        <f>IFERROR(__xludf.DUMMYFUNCTION("REGEXREPLACE(A228, ""[^0-9a-zA-Z .'Ã]"","""")"),"John Erick Dowdle")</f>
        <v>John Erick Dowdle</v>
      </c>
      <c r="C228" s="30">
        <v>198.0</v>
      </c>
      <c r="D228" s="31">
        <v>3.1691811E7</v>
      </c>
      <c r="E228" s="30" t="s">
        <v>1017</v>
      </c>
      <c r="F228" s="9">
        <f t="shared" si="1"/>
        <v>3</v>
      </c>
      <c r="G228" s="30" t="s">
        <v>1018</v>
      </c>
      <c r="H228" s="11" t="str">
        <f>IFERROR(__xludf.DUMMYFUNCTION("REGEXREPLACE(G228, ""[^0-9a-zA-Z .'Ã]"","""")"),"Andrew Fiscella")</f>
        <v>Andrew Fiscella</v>
      </c>
      <c r="I228" s="32" t="s">
        <v>1019</v>
      </c>
      <c r="J228" s="30">
        <v>57446.0</v>
      </c>
      <c r="K228" s="30" t="s">
        <v>1020</v>
      </c>
      <c r="L228" s="30">
        <v>369.0</v>
      </c>
      <c r="M228" s="30" t="s">
        <v>24</v>
      </c>
      <c r="N228" s="30" t="s">
        <v>25</v>
      </c>
      <c r="O228" s="31">
        <v>1.2E7</v>
      </c>
      <c r="P228" s="10">
        <f t="shared" si="2"/>
        <v>19691811</v>
      </c>
      <c r="Q228" s="12">
        <f t="shared" si="3"/>
        <v>0</v>
      </c>
      <c r="R228" s="30">
        <v>2008.0</v>
      </c>
      <c r="S228" s="30">
        <v>6.0</v>
      </c>
    </row>
    <row r="229" ht="15.75" customHeight="1">
      <c r="A229" s="7" t="s">
        <v>1021</v>
      </c>
      <c r="B229" s="8" t="str">
        <f>IFERROR(__xludf.DUMMYFUNCTION("REGEXREPLACE(A229, ""[^0-9a-zA-Z .'Ã]"","""")"),"David Yates")</f>
        <v>David Yates</v>
      </c>
      <c r="C229" s="9">
        <v>375.0</v>
      </c>
      <c r="D229" s="10">
        <v>3.0195698E8</v>
      </c>
      <c r="E229" s="9" t="s">
        <v>1022</v>
      </c>
      <c r="F229" s="9">
        <f t="shared" si="1"/>
        <v>4</v>
      </c>
      <c r="G229" s="9" t="s">
        <v>647</v>
      </c>
      <c r="H229" s="11" t="str">
        <f>IFERROR(__xludf.DUMMYFUNCTION("REGEXREPLACE(G229, ""[^0-9a-zA-Z .'Ã]"","""")"),"Alan Rickman")</f>
        <v>Alan Rickman</v>
      </c>
      <c r="I229" s="11" t="s">
        <v>1023</v>
      </c>
      <c r="J229" s="9">
        <v>321795.0</v>
      </c>
      <c r="K229" s="9" t="s">
        <v>1024</v>
      </c>
      <c r="L229" s="9">
        <v>973.0</v>
      </c>
      <c r="M229" s="9" t="s">
        <v>24</v>
      </c>
      <c r="N229" s="9" t="s">
        <v>130</v>
      </c>
      <c r="O229" s="10">
        <v>2.5E8</v>
      </c>
      <c r="P229" s="10">
        <f t="shared" si="2"/>
        <v>51956980</v>
      </c>
      <c r="Q229" s="12">
        <f t="shared" si="3"/>
        <v>0</v>
      </c>
      <c r="R229" s="9">
        <v>2009.0</v>
      </c>
      <c r="S229" s="9">
        <v>7.5</v>
      </c>
    </row>
    <row r="230" ht="15.75" customHeight="1">
      <c r="A230" s="17" t="s">
        <v>305</v>
      </c>
      <c r="B230" s="8" t="str">
        <f>IFERROR(__xludf.DUMMYFUNCTION("REGEXREPLACE(A230, ""[^0-9a-zA-Z .'Ã]"","""")"),"M. Night Shyamalan")</f>
        <v>M. Night Shyamalan</v>
      </c>
      <c r="C230" s="18">
        <v>261.0</v>
      </c>
      <c r="D230" s="19">
        <v>1.14195633E8</v>
      </c>
      <c r="E230" s="18" t="s">
        <v>1025</v>
      </c>
      <c r="F230" s="9">
        <f t="shared" si="1"/>
        <v>4</v>
      </c>
      <c r="G230" s="18" t="s">
        <v>1026</v>
      </c>
      <c r="H230" s="11" t="str">
        <f>IFERROR(__xludf.DUMMYFUNCTION("REGEXREPLACE(G230, ""[^0-9a-zA-Z .'Ã]"","""")"),"Bryce Dallas Howard")</f>
        <v>Bryce Dallas Howard</v>
      </c>
      <c r="I230" s="20" t="s">
        <v>1027</v>
      </c>
      <c r="J230" s="18">
        <v>193770.0</v>
      </c>
      <c r="K230" s="18" t="s">
        <v>1028</v>
      </c>
      <c r="L230" s="18">
        <v>2003.0</v>
      </c>
      <c r="M230" s="18" t="s">
        <v>24</v>
      </c>
      <c r="N230" s="18" t="s">
        <v>25</v>
      </c>
      <c r="O230" s="19">
        <v>6.0E7</v>
      </c>
      <c r="P230" s="10">
        <f t="shared" si="2"/>
        <v>54195633</v>
      </c>
      <c r="Q230" s="12">
        <f t="shared" si="3"/>
        <v>0</v>
      </c>
      <c r="R230" s="18">
        <v>2004.0</v>
      </c>
      <c r="S230" s="18">
        <v>6.5</v>
      </c>
    </row>
    <row r="231" ht="15.75" customHeight="1">
      <c r="A231" s="7" t="s">
        <v>998</v>
      </c>
      <c r="B231" s="8" t="str">
        <f>IFERROR(__xludf.DUMMYFUNCTION("REGEXREPLACE(A231, ""[^0-9a-zA-Z .'Ã]"","""")"),"Peter Jackson")</f>
        <v>Peter Jackson</v>
      </c>
      <c r="C231" s="9">
        <v>294.0</v>
      </c>
      <c r="D231" s="10">
        <v>3.40478898E8</v>
      </c>
      <c r="E231" s="9" t="s">
        <v>1029</v>
      </c>
      <c r="F231" s="9">
        <f t="shared" si="1"/>
        <v>4</v>
      </c>
      <c r="G231" s="9" t="s">
        <v>1030</v>
      </c>
      <c r="H231" s="11" t="str">
        <f>IFERROR(__xludf.DUMMYFUNCTION("REGEXREPLACE(G231, ""[^0-9a-zA-Z .'Ã]"","""")"),"Christopher Lee")</f>
        <v>Christopher Lee</v>
      </c>
      <c r="I231" s="11" t="s">
        <v>1031</v>
      </c>
      <c r="J231" s="9">
        <v>1100446.0</v>
      </c>
      <c r="K231" s="9" t="s">
        <v>1032</v>
      </c>
      <c r="L231" s="9">
        <v>2417.0</v>
      </c>
      <c r="M231" s="9" t="s">
        <v>24</v>
      </c>
      <c r="N231" s="9" t="s">
        <v>25</v>
      </c>
      <c r="O231" s="10">
        <v>9.4E7</v>
      </c>
      <c r="P231" s="10">
        <f t="shared" si="2"/>
        <v>246478898</v>
      </c>
      <c r="Q231" s="12">
        <f t="shared" si="3"/>
        <v>0</v>
      </c>
      <c r="R231" s="9">
        <v>2002.0</v>
      </c>
      <c r="S231" s="9">
        <v>8.7</v>
      </c>
    </row>
    <row r="232" ht="15.75" customHeight="1">
      <c r="A232" s="7" t="s">
        <v>107</v>
      </c>
      <c r="B232" s="8" t="str">
        <f>IFERROR(__xludf.DUMMYFUNCTION("REGEXREPLACE(A232, ""[^0-9a-zA-Z .'Ã]"","""")"),"Steve Miner")</f>
        <v>Steve Miner</v>
      </c>
      <c r="C232" s="9">
        <v>31.0</v>
      </c>
      <c r="D232" s="10">
        <v>9094451.0</v>
      </c>
      <c r="E232" s="9" t="s">
        <v>1033</v>
      </c>
      <c r="F232" s="9">
        <f t="shared" si="1"/>
        <v>4</v>
      </c>
      <c r="G232" s="9" t="s">
        <v>1034</v>
      </c>
      <c r="H232" s="11" t="str">
        <f>IFERROR(__xludf.DUMMYFUNCTION("REGEXREPLACE(G232, ""[^0-9a-zA-Z .'Ã]"","""")"),"Julian Sands")</f>
        <v>Julian Sands</v>
      </c>
      <c r="I232" s="11" t="s">
        <v>1035</v>
      </c>
      <c r="J232" s="9">
        <v>11668.0</v>
      </c>
      <c r="K232" s="9" t="s">
        <v>1036</v>
      </c>
      <c r="L232" s="9">
        <v>79.0</v>
      </c>
      <c r="M232" s="9" t="s">
        <v>24</v>
      </c>
      <c r="N232" s="9" t="s">
        <v>25</v>
      </c>
      <c r="O232" s="10">
        <v>7000000.0</v>
      </c>
      <c r="P232" s="10">
        <f t="shared" si="2"/>
        <v>2094451</v>
      </c>
      <c r="Q232" s="12">
        <f t="shared" si="3"/>
        <v>0</v>
      </c>
      <c r="R232" s="9">
        <v>1989.0</v>
      </c>
      <c r="S232" s="9">
        <v>6.2</v>
      </c>
    </row>
    <row r="233" ht="15.75" customHeight="1">
      <c r="A233" s="7" t="s">
        <v>1037</v>
      </c>
      <c r="B233" s="8" t="str">
        <f>IFERROR(__xludf.DUMMYFUNCTION("REGEXREPLACE(A233, ""[^0-9a-zA-Z .'Ã]"","""")"),"Marco Kreuzpaintner")</f>
        <v>Marco Kreuzpaintner</v>
      </c>
      <c r="C233" s="9">
        <v>40.0</v>
      </c>
      <c r="D233" s="10">
        <v>95016.0</v>
      </c>
      <c r="E233" s="9" t="s">
        <v>1038</v>
      </c>
      <c r="F233" s="9">
        <f t="shared" si="1"/>
        <v>4</v>
      </c>
      <c r="G233" s="9" t="s">
        <v>1039</v>
      </c>
      <c r="H233" s="11" t="str">
        <f>IFERROR(__xludf.DUMMYFUNCTION("REGEXREPLACE(G233, ""[^0-9a-zA-Z .'Ã]"","""")"),"Alicja Bachleda")</f>
        <v>Alicja Bachleda</v>
      </c>
      <c r="I233" s="11" t="s">
        <v>1040</v>
      </c>
      <c r="J233" s="9">
        <v>11074.0</v>
      </c>
      <c r="K233" s="9" t="s">
        <v>1041</v>
      </c>
      <c r="L233" s="9">
        <v>56.0</v>
      </c>
      <c r="M233" s="9" t="s">
        <v>1042</v>
      </c>
      <c r="N233" s="9" t="s">
        <v>173</v>
      </c>
      <c r="O233" s="10">
        <v>2700000.0</v>
      </c>
      <c r="P233" s="10">
        <f t="shared" si="2"/>
        <v>0</v>
      </c>
      <c r="Q233" s="12">
        <f t="shared" si="3"/>
        <v>2604984</v>
      </c>
      <c r="R233" s="9">
        <v>2004.0</v>
      </c>
      <c r="S233" s="9">
        <v>7.4</v>
      </c>
    </row>
    <row r="234" ht="15.75" customHeight="1">
      <c r="A234" s="21" t="s">
        <v>654</v>
      </c>
      <c r="B234" s="8" t="str">
        <f>IFERROR(__xludf.DUMMYFUNCTION("REGEXREPLACE(A234, ""[^0-9a-zA-Z -.'Ã]"","""")"),"Jean-Pierre Jeunet")</f>
        <v>Jean-Pierre Jeunet</v>
      </c>
      <c r="C234" s="22">
        <v>186.0</v>
      </c>
      <c r="D234" s="23">
        <v>6167817.0</v>
      </c>
      <c r="E234" s="22" t="s">
        <v>1043</v>
      </c>
      <c r="F234" s="9">
        <f t="shared" si="1"/>
        <v>4</v>
      </c>
      <c r="G234" s="22" t="s">
        <v>1044</v>
      </c>
      <c r="H234" s="11" t="str">
        <f>IFERROR(__xludf.DUMMYFUNCTION("REGEXREPLACE(G234, ""[^0-9a-zA-Z .'Ã]"","""")"),"Denis Lavant")</f>
        <v>Denis Lavant</v>
      </c>
      <c r="I234" s="24" t="s">
        <v>1045</v>
      </c>
      <c r="J234" s="22">
        <v>62607.0</v>
      </c>
      <c r="K234" s="22" t="s">
        <v>1046</v>
      </c>
      <c r="L234" s="22">
        <v>239.0</v>
      </c>
      <c r="M234" s="22" t="s">
        <v>658</v>
      </c>
      <c r="N234" s="22" t="s">
        <v>608</v>
      </c>
      <c r="O234" s="23">
        <v>4.7E7</v>
      </c>
      <c r="P234" s="10">
        <f t="shared" si="2"/>
        <v>0</v>
      </c>
      <c r="Q234" s="12">
        <f t="shared" si="3"/>
        <v>40832183</v>
      </c>
      <c r="R234" s="22">
        <v>2004.0</v>
      </c>
      <c r="S234" s="22">
        <v>7.7</v>
      </c>
    </row>
    <row r="235" ht="15.75" customHeight="1">
      <c r="A235" s="29" t="s">
        <v>1047</v>
      </c>
      <c r="B235" s="8" t="str">
        <f>IFERROR(__xludf.DUMMYFUNCTION("REGEXREPLACE(A235, ""[^0-9a-zA-Z .'Ã]"","""")"),"Tyler Perry")</f>
        <v>Tyler Perry</v>
      </c>
      <c r="C235" s="30">
        <v>36.0</v>
      </c>
      <c r="D235" s="31">
        <v>5.1697449E7</v>
      </c>
      <c r="E235" s="30" t="s">
        <v>454</v>
      </c>
      <c r="F235" s="9">
        <f t="shared" si="1"/>
        <v>2</v>
      </c>
      <c r="G235" s="30" t="s">
        <v>1048</v>
      </c>
      <c r="H235" s="11" t="str">
        <f>IFERROR(__xludf.DUMMYFUNCTION("REGEXREPLACE(G235, ""[^0-9a-zA-Z .'Ã]"","""")"),"Eric Mendenhall")</f>
        <v>Eric Mendenhall</v>
      </c>
      <c r="I235" s="32" t="s">
        <v>1049</v>
      </c>
      <c r="J235" s="30">
        <v>8346.0</v>
      </c>
      <c r="K235" s="30" t="s">
        <v>1050</v>
      </c>
      <c r="L235" s="30">
        <v>59.0</v>
      </c>
      <c r="M235" s="30" t="s">
        <v>24</v>
      </c>
      <c r="N235" s="30" t="s">
        <v>25</v>
      </c>
      <c r="O235" s="31">
        <v>1.3E7</v>
      </c>
      <c r="P235" s="10">
        <f t="shared" si="2"/>
        <v>38697449</v>
      </c>
      <c r="Q235" s="12">
        <f t="shared" si="3"/>
        <v>0</v>
      </c>
      <c r="R235" s="30">
        <v>2009.0</v>
      </c>
      <c r="S235" s="30">
        <v>4.1</v>
      </c>
    </row>
    <row r="236" ht="15.75" customHeight="1">
      <c r="A236" s="7" t="s">
        <v>1051</v>
      </c>
      <c r="B236" s="8" t="str">
        <f>IFERROR(__xludf.DUMMYFUNCTION("REGEXREPLACE(A236, ""[^0-9a-zA-Z .'Ã]"","""")"),"Anna Boden")</f>
        <v>Anna Boden</v>
      </c>
      <c r="C236" s="9">
        <v>163.0</v>
      </c>
      <c r="D236" s="10">
        <v>6350058.0</v>
      </c>
      <c r="E236" s="9" t="s">
        <v>159</v>
      </c>
      <c r="F236" s="9">
        <f t="shared" si="1"/>
        <v>3</v>
      </c>
      <c r="G236" s="9" t="s">
        <v>1052</v>
      </c>
      <c r="H236" s="11" t="str">
        <f>IFERROR(__xludf.DUMMYFUNCTION("REGEXREPLACE(G236, ""[^0-9a-zA-Z .'Ã]"","""")"),"ZoÃ Kravitz")</f>
        <v>ZoÃ Kravitz</v>
      </c>
      <c r="I236" s="11" t="s">
        <v>1053</v>
      </c>
      <c r="J236" s="9">
        <v>106098.0</v>
      </c>
      <c r="K236" s="9" t="s">
        <v>1054</v>
      </c>
      <c r="L236" s="9">
        <v>150.0</v>
      </c>
      <c r="M236" s="9" t="s">
        <v>24</v>
      </c>
      <c r="N236" s="9" t="s">
        <v>25</v>
      </c>
      <c r="O236" s="10">
        <v>8000000.0</v>
      </c>
      <c r="P236" s="10">
        <f t="shared" si="2"/>
        <v>0</v>
      </c>
      <c r="Q236" s="12">
        <f t="shared" si="3"/>
        <v>1649942</v>
      </c>
      <c r="R236" s="9">
        <v>2010.0</v>
      </c>
      <c r="S236" s="9">
        <v>7.2</v>
      </c>
    </row>
    <row r="237" ht="15.75" customHeight="1">
      <c r="A237" s="21" t="s">
        <v>1055</v>
      </c>
      <c r="B237" s="8" t="str">
        <f>IFERROR(__xludf.DUMMYFUNCTION("REGEXREPLACE(A237, ""[^0-9a-zA-Z .'Ã]"","""")"),"Jez Butterworth")</f>
        <v>Jez Butterworth</v>
      </c>
      <c r="C237" s="22">
        <v>111.0</v>
      </c>
      <c r="D237" s="23">
        <v>4919896.0</v>
      </c>
      <c r="E237" s="22" t="s">
        <v>589</v>
      </c>
      <c r="F237" s="9">
        <f t="shared" si="1"/>
        <v>3</v>
      </c>
      <c r="G237" s="22" t="s">
        <v>1056</v>
      </c>
      <c r="H237" s="11" t="str">
        <f>IFERROR(__xludf.DUMMYFUNCTION("REGEXREPLACE(G237, ""[^0-9a-zA-Z .'Ã]"","""")"),"Mark Gatiss")</f>
        <v>Mark Gatiss</v>
      </c>
      <c r="I237" s="24" t="s">
        <v>1057</v>
      </c>
      <c r="J237" s="22">
        <v>21530.0</v>
      </c>
      <c r="K237" s="22" t="s">
        <v>1058</v>
      </c>
      <c r="L237" s="22">
        <v>159.0</v>
      </c>
      <c r="M237" s="22" t="s">
        <v>24</v>
      </c>
      <c r="N237" s="22" t="s">
        <v>130</v>
      </c>
      <c r="O237" s="23">
        <v>1.3E7</v>
      </c>
      <c r="P237" s="10">
        <f t="shared" si="2"/>
        <v>0</v>
      </c>
      <c r="Q237" s="12">
        <f t="shared" si="3"/>
        <v>8080104</v>
      </c>
      <c r="R237" s="22">
        <v>2001.0</v>
      </c>
      <c r="S237" s="22">
        <v>6.1</v>
      </c>
    </row>
    <row r="238" ht="15.75" customHeight="1">
      <c r="A238" s="25" t="s">
        <v>1059</v>
      </c>
      <c r="B238" s="8" t="str">
        <f>IFERROR(__xludf.DUMMYFUNCTION("REGEXREPLACE(A238, ""[^0-9a-zA-Z .'Ã]"","""")"),"Alex Zamm")</f>
        <v>Alex Zamm</v>
      </c>
      <c r="C238" s="26">
        <v>12.0</v>
      </c>
      <c r="D238" s="27">
        <v>306715.0</v>
      </c>
      <c r="E238" s="26" t="s">
        <v>137</v>
      </c>
      <c r="F238" s="9">
        <f t="shared" si="1"/>
        <v>1</v>
      </c>
      <c r="G238" s="26" t="s">
        <v>1060</v>
      </c>
      <c r="H238" s="11" t="str">
        <f>IFERROR(__xludf.DUMMYFUNCTION("REGEXREPLACE(G238, ""[^0-9a-zA-Z .'Ã]"","""")"),"Taylor Negron")</f>
        <v>Taylor Negron</v>
      </c>
      <c r="I238" s="28" t="s">
        <v>1061</v>
      </c>
      <c r="J238" s="26">
        <v>5143.0</v>
      </c>
      <c r="K238" s="26" t="s">
        <v>1062</v>
      </c>
      <c r="L238" s="26">
        <v>62.0</v>
      </c>
      <c r="M238" s="26" t="s">
        <v>24</v>
      </c>
      <c r="N238" s="26" t="s">
        <v>25</v>
      </c>
      <c r="O238" s="27">
        <v>1.0E7</v>
      </c>
      <c r="P238" s="10">
        <f t="shared" si="2"/>
        <v>0</v>
      </c>
      <c r="Q238" s="12">
        <f t="shared" si="3"/>
        <v>9693285</v>
      </c>
      <c r="R238" s="26">
        <v>1998.0</v>
      </c>
      <c r="S238" s="26">
        <v>2.3</v>
      </c>
    </row>
    <row r="239" ht="15.75" customHeight="1">
      <c r="A239" s="17" t="s">
        <v>1063</v>
      </c>
      <c r="B239" s="8" t="str">
        <f>IFERROR(__xludf.DUMMYFUNCTION("REGEXREPLACE(A239, ""[^0-9a-zA-Z .'Ã]"","""")"),"Jeff Tremaine")</f>
        <v>Jeff Tremaine</v>
      </c>
      <c r="C239" s="18">
        <v>157.0</v>
      </c>
      <c r="D239" s="19">
        <v>1.0197884E8</v>
      </c>
      <c r="E239" s="18" t="s">
        <v>137</v>
      </c>
      <c r="F239" s="9">
        <f t="shared" si="1"/>
        <v>1</v>
      </c>
      <c r="G239" s="18" t="s">
        <v>1064</v>
      </c>
      <c r="H239" s="11" t="str">
        <f>IFERROR(__xludf.DUMMYFUNCTION("REGEXREPLACE(G239, ""[^0-9a-zA-Z .'Ã]"","""")"),"Jackson Nicoll")</f>
        <v>Jackson Nicoll</v>
      </c>
      <c r="I239" s="20" t="s">
        <v>1065</v>
      </c>
      <c r="J239" s="18">
        <v>77724.0</v>
      </c>
      <c r="K239" s="18" t="s">
        <v>1066</v>
      </c>
      <c r="L239" s="18">
        <v>162.0</v>
      </c>
      <c r="M239" s="18" t="s">
        <v>24</v>
      </c>
      <c r="N239" s="18" t="s">
        <v>25</v>
      </c>
      <c r="O239" s="19">
        <v>1.5E7</v>
      </c>
      <c r="P239" s="10">
        <f t="shared" si="2"/>
        <v>86978840</v>
      </c>
      <c r="Q239" s="12">
        <f t="shared" si="3"/>
        <v>0</v>
      </c>
      <c r="R239" s="18">
        <v>2013.0</v>
      </c>
      <c r="S239" s="18">
        <v>6.6</v>
      </c>
    </row>
    <row r="240" ht="15.75" customHeight="1">
      <c r="A240" s="7" t="s">
        <v>1067</v>
      </c>
      <c r="B240" s="8" t="str">
        <f>IFERROR(__xludf.DUMMYFUNCTION("REGEXREPLACE(A240, ""[^0-9a-zA-Z .'Ã]"","""")"),"Ramaa Mosley")</f>
        <v>Ramaa Mosley</v>
      </c>
      <c r="C240" s="9">
        <v>62.0</v>
      </c>
      <c r="D240" s="10">
        <v>6643.0</v>
      </c>
      <c r="E240" s="9" t="s">
        <v>1068</v>
      </c>
      <c r="F240" s="9">
        <f t="shared" si="1"/>
        <v>3</v>
      </c>
      <c r="G240" s="9" t="s">
        <v>1069</v>
      </c>
      <c r="H240" s="11" t="str">
        <f>IFERROR(__xludf.DUMMYFUNCTION("REGEXREPLACE(G240, ""[^0-9a-zA-Z .'Ã]"","""")"),"Jack McBrayer")</f>
        <v>Jack McBrayer</v>
      </c>
      <c r="I240" s="11" t="s">
        <v>1070</v>
      </c>
      <c r="J240" s="9">
        <v>11965.0</v>
      </c>
      <c r="K240" s="9" t="s">
        <v>1071</v>
      </c>
      <c r="L240" s="9">
        <v>39.0</v>
      </c>
      <c r="M240" s="9" t="s">
        <v>24</v>
      </c>
      <c r="N240" s="9" t="s">
        <v>25</v>
      </c>
      <c r="O240" s="10">
        <v>900000.0</v>
      </c>
      <c r="P240" s="10">
        <f t="shared" si="2"/>
        <v>0</v>
      </c>
      <c r="Q240" s="12">
        <f t="shared" si="3"/>
        <v>893357</v>
      </c>
      <c r="R240" s="9">
        <v>2012.0</v>
      </c>
      <c r="S240" s="9">
        <v>6.4</v>
      </c>
    </row>
    <row r="241" ht="15.75" customHeight="1">
      <c r="A241" s="7" t="s">
        <v>1072</v>
      </c>
      <c r="B241" s="8" t="str">
        <f>IFERROR(__xludf.DUMMYFUNCTION("REGEXREPLACE(A241, ""[^0-9a-zA-Z .'Ã]"","""")"),"David Raynr")</f>
        <v>David Raynr</v>
      </c>
      <c r="C241" s="9">
        <v>50.0</v>
      </c>
      <c r="D241" s="10">
        <v>8735529.0</v>
      </c>
      <c r="E241" s="9" t="s">
        <v>159</v>
      </c>
      <c r="F241" s="9">
        <f t="shared" si="1"/>
        <v>3</v>
      </c>
      <c r="G241" s="9" t="s">
        <v>404</v>
      </c>
      <c r="H241" s="11" t="str">
        <f>IFERROR(__xludf.DUMMYFUNCTION("REGEXREPLACE(G241, ""[^0-9a-zA-Z .'Ã]"","""")"),"James Franco")</f>
        <v>James Franco</v>
      </c>
      <c r="I241" s="11" t="s">
        <v>1073</v>
      </c>
      <c r="J241" s="9">
        <v>8055.0</v>
      </c>
      <c r="K241" s="9" t="s">
        <v>1074</v>
      </c>
      <c r="L241" s="9">
        <v>89.0</v>
      </c>
      <c r="M241" s="9" t="s">
        <v>24</v>
      </c>
      <c r="N241" s="9" t="s">
        <v>25</v>
      </c>
      <c r="O241" s="10">
        <v>1.5E7</v>
      </c>
      <c r="P241" s="10">
        <f t="shared" si="2"/>
        <v>0</v>
      </c>
      <c r="Q241" s="12">
        <f t="shared" si="3"/>
        <v>6264471</v>
      </c>
      <c r="R241" s="9">
        <v>2000.0</v>
      </c>
      <c r="S241" s="9">
        <v>5.5</v>
      </c>
    </row>
    <row r="242" ht="15.75" customHeight="1">
      <c r="A242" s="7" t="s">
        <v>1075</v>
      </c>
      <c r="B242" s="8" t="str">
        <f>IFERROR(__xludf.DUMMYFUNCTION("REGEXREPLACE(A242, ""[^0-9a-zA-Z .'Ã]"","""")"),"Irwin Winkler")</f>
        <v>Irwin Winkler</v>
      </c>
      <c r="C242" s="9">
        <v>55.0</v>
      </c>
      <c r="D242" s="10">
        <v>2.2326247E7</v>
      </c>
      <c r="E242" s="9" t="s">
        <v>232</v>
      </c>
      <c r="F242" s="9">
        <f t="shared" si="1"/>
        <v>2</v>
      </c>
      <c r="G242" s="9" t="s">
        <v>1076</v>
      </c>
      <c r="H242" s="11" t="str">
        <f>IFERROR(__xludf.DUMMYFUNCTION("REGEXREPLACE(G242, ""[^0-9a-zA-Z .'Ã]"","""")"),"Mira Sorvino")</f>
        <v>Mira Sorvino</v>
      </c>
      <c r="I242" s="11" t="s">
        <v>1077</v>
      </c>
      <c r="J242" s="9">
        <v>11232.0</v>
      </c>
      <c r="K242" s="9" t="s">
        <v>1078</v>
      </c>
      <c r="L242" s="9">
        <v>106.0</v>
      </c>
      <c r="M242" s="9" t="s">
        <v>24</v>
      </c>
      <c r="N242" s="9" t="s">
        <v>25</v>
      </c>
      <c r="O242" s="10">
        <v>6.0E7</v>
      </c>
      <c r="P242" s="10">
        <f t="shared" si="2"/>
        <v>0</v>
      </c>
      <c r="Q242" s="12">
        <f t="shared" si="3"/>
        <v>37673753</v>
      </c>
      <c r="R242" s="9">
        <v>1999.0</v>
      </c>
      <c r="S242" s="9">
        <v>5.9</v>
      </c>
    </row>
    <row r="243" ht="15.75" customHeight="1">
      <c r="A243" s="7" t="s">
        <v>1079</v>
      </c>
      <c r="B243" s="8" t="str">
        <f>IFERROR(__xludf.DUMMYFUNCTION("REGEXREPLACE(A243, ""[^0-9a-zA-Z .'Ã]"","""")"),"Peter Sollett")</f>
        <v>Peter Sollett</v>
      </c>
      <c r="C243" s="9">
        <v>133.0</v>
      </c>
      <c r="D243" s="10">
        <v>532988.0</v>
      </c>
      <c r="E243" s="9" t="s">
        <v>887</v>
      </c>
      <c r="F243" s="9">
        <f t="shared" si="1"/>
        <v>3</v>
      </c>
      <c r="G243" s="9" t="s">
        <v>1080</v>
      </c>
      <c r="H243" s="11" t="str">
        <f>IFERROR(__xludf.DUMMYFUNCTION("REGEXREPLACE(G243, ""[^0-9a-zA-Z .'Ã]"","""")"),"Steve Carell")</f>
        <v>Steve Carell</v>
      </c>
      <c r="I243" s="11" t="s">
        <v>1081</v>
      </c>
      <c r="J243" s="9">
        <v>5863.0</v>
      </c>
      <c r="K243" s="9" t="s">
        <v>1082</v>
      </c>
      <c r="L243" s="9">
        <v>25.0</v>
      </c>
      <c r="M243" s="9" t="s">
        <v>24</v>
      </c>
      <c r="N243" s="9" t="s">
        <v>25</v>
      </c>
      <c r="O243" s="10">
        <v>7000000.0</v>
      </c>
      <c r="P243" s="10">
        <f t="shared" si="2"/>
        <v>0</v>
      </c>
      <c r="Q243" s="12">
        <f t="shared" si="3"/>
        <v>6467012</v>
      </c>
      <c r="R243" s="9">
        <v>2015.0</v>
      </c>
      <c r="S243" s="9">
        <v>6.5</v>
      </c>
    </row>
    <row r="244" ht="15.75" customHeight="1">
      <c r="A244" s="7" t="s">
        <v>1083</v>
      </c>
      <c r="B244" s="8" t="str">
        <f>IFERROR(__xludf.DUMMYFUNCTION("REGEXREPLACE(A244, ""[^0-9a-zA-Z .'Ã]"","""")"),"Alex Gibney")</f>
        <v>Alex Gibney</v>
      </c>
      <c r="C244" s="9">
        <v>84.0</v>
      </c>
      <c r="D244" s="10">
        <v>274661.0</v>
      </c>
      <c r="E244" s="9" t="s">
        <v>1084</v>
      </c>
      <c r="F244" s="9">
        <f t="shared" si="1"/>
        <v>3</v>
      </c>
      <c r="G244" s="9" t="s">
        <v>1083</v>
      </c>
      <c r="H244" s="11" t="str">
        <f>IFERROR(__xludf.DUMMYFUNCTION("REGEXREPLACE(G244, ""[^0-9a-zA-Z .'Ã]"","""")"),"Alex Gibney")</f>
        <v>Alex Gibney</v>
      </c>
      <c r="I244" s="11" t="s">
        <v>1085</v>
      </c>
      <c r="J244" s="9">
        <v>10564.0</v>
      </c>
      <c r="K244" s="9" t="s">
        <v>1086</v>
      </c>
      <c r="L244" s="9">
        <v>40.0</v>
      </c>
      <c r="M244" s="9" t="s">
        <v>24</v>
      </c>
      <c r="N244" s="9" t="s">
        <v>25</v>
      </c>
      <c r="O244" s="10">
        <v>1000000.0</v>
      </c>
      <c r="P244" s="10">
        <f t="shared" si="2"/>
        <v>0</v>
      </c>
      <c r="Q244" s="12">
        <f t="shared" si="3"/>
        <v>725339</v>
      </c>
      <c r="R244" s="9">
        <v>2007.0</v>
      </c>
      <c r="S244" s="9">
        <v>7.7</v>
      </c>
    </row>
    <row r="245" ht="15.75" customHeight="1">
      <c r="A245" s="7" t="s">
        <v>1087</v>
      </c>
      <c r="B245" s="8" t="str">
        <f>IFERROR(__xludf.DUMMYFUNCTION("REGEXREPLACE(A245, ""[^0-9a-zA-Z .'Ã]"","""")"),"Jim Sheridan")</f>
        <v>Jim Sheridan</v>
      </c>
      <c r="C245" s="9">
        <v>217.0</v>
      </c>
      <c r="D245" s="10">
        <v>2.8501651E7</v>
      </c>
      <c r="E245" s="9" t="s">
        <v>369</v>
      </c>
      <c r="F245" s="9">
        <f t="shared" si="1"/>
        <v>2</v>
      </c>
      <c r="G245" s="9" t="s">
        <v>1088</v>
      </c>
      <c r="H245" s="11" t="str">
        <f>IFERROR(__xludf.DUMMYFUNCTION("REGEXREPLACE(G245, ""[^0-9a-zA-Z .'Ã]"","""")"),"Natalie Portman")</f>
        <v>Natalie Portman</v>
      </c>
      <c r="I245" s="11" t="s">
        <v>1089</v>
      </c>
      <c r="J245" s="9">
        <v>88035.0</v>
      </c>
      <c r="K245" s="9" t="s">
        <v>1090</v>
      </c>
      <c r="L245" s="9">
        <v>201.0</v>
      </c>
      <c r="M245" s="9" t="s">
        <v>24</v>
      </c>
      <c r="N245" s="9" t="s">
        <v>25</v>
      </c>
      <c r="O245" s="10">
        <v>2.6E7</v>
      </c>
      <c r="P245" s="10">
        <f t="shared" si="2"/>
        <v>2501651</v>
      </c>
      <c r="Q245" s="12">
        <f t="shared" si="3"/>
        <v>0</v>
      </c>
      <c r="R245" s="9">
        <v>2009.0</v>
      </c>
      <c r="S245" s="9">
        <v>7.1</v>
      </c>
    </row>
    <row r="246" ht="15.75" customHeight="1">
      <c r="A246" s="17" t="s">
        <v>1091</v>
      </c>
      <c r="B246" s="8" t="str">
        <f>IFERROR(__xludf.DUMMYFUNCTION("REGEXREPLACE(A246, ""[^0-9a-zA-Z .'Ã]"","""")"),"Brian Levant")</f>
        <v>Brian Levant</v>
      </c>
      <c r="C246" s="18">
        <v>57.0</v>
      </c>
      <c r="D246" s="19">
        <v>3.5231365E7</v>
      </c>
      <c r="E246" s="18" t="s">
        <v>1092</v>
      </c>
      <c r="F246" s="9">
        <f t="shared" si="1"/>
        <v>4</v>
      </c>
      <c r="G246" s="18" t="s">
        <v>1060</v>
      </c>
      <c r="H246" s="11" t="str">
        <f>IFERROR(__xludf.DUMMYFUNCTION("REGEXREPLACE(G246, ""[^0-9a-zA-Z .'Ã]"","""")"),"Taylor Negron")</f>
        <v>Taylor Negron</v>
      </c>
      <c r="I246" s="20" t="s">
        <v>1093</v>
      </c>
      <c r="J246" s="18">
        <v>15517.0</v>
      </c>
      <c r="K246" s="18" t="s">
        <v>1094</v>
      </c>
      <c r="L246" s="18">
        <v>85.0</v>
      </c>
      <c r="M246" s="18" t="s">
        <v>24</v>
      </c>
      <c r="N246" s="18" t="s">
        <v>25</v>
      </c>
      <c r="O246" s="19">
        <v>6.0E7</v>
      </c>
      <c r="P246" s="10">
        <f t="shared" si="2"/>
        <v>0</v>
      </c>
      <c r="Q246" s="12">
        <f t="shared" si="3"/>
        <v>24768635</v>
      </c>
      <c r="R246" s="18">
        <v>2000.0</v>
      </c>
      <c r="S246" s="18">
        <v>3.6</v>
      </c>
    </row>
    <row r="247" ht="15.75" customHeight="1">
      <c r="A247" s="21" t="s">
        <v>1095</v>
      </c>
      <c r="B247" s="8" t="str">
        <f>IFERROR(__xludf.DUMMYFUNCTION("REGEXREPLACE(A247, ""[^0-9a-zA-Z .'Ã]"","""")"),"Renny Harlin")</f>
        <v>Renny Harlin</v>
      </c>
      <c r="C247" s="22">
        <v>142.0</v>
      </c>
      <c r="D247" s="23">
        <v>1.17541E8</v>
      </c>
      <c r="E247" s="22" t="s">
        <v>1096</v>
      </c>
      <c r="F247" s="9">
        <f t="shared" si="1"/>
        <v>2</v>
      </c>
      <c r="G247" s="22" t="s">
        <v>55</v>
      </c>
      <c r="H247" s="11" t="str">
        <f>IFERROR(__xludf.DUMMYFUNCTION("REGEXREPLACE(G247, ""[^0-9a-zA-Z .'Ã]"","""")"),"Bruce Willis")</f>
        <v>Bruce Willis</v>
      </c>
      <c r="I247" s="24" t="s">
        <v>1097</v>
      </c>
      <c r="J247" s="22">
        <v>269858.0</v>
      </c>
      <c r="K247" s="22" t="s">
        <v>1098</v>
      </c>
      <c r="L247" s="22">
        <v>316.0</v>
      </c>
      <c r="M247" s="22" t="s">
        <v>24</v>
      </c>
      <c r="N247" s="22" t="s">
        <v>25</v>
      </c>
      <c r="O247" s="23">
        <v>7.0E7</v>
      </c>
      <c r="P247" s="10">
        <f t="shared" si="2"/>
        <v>47541000</v>
      </c>
      <c r="Q247" s="12">
        <f t="shared" si="3"/>
        <v>0</v>
      </c>
      <c r="R247" s="22">
        <v>1990.0</v>
      </c>
      <c r="S247" s="22">
        <v>7.1</v>
      </c>
    </row>
    <row r="248" ht="15.75" customHeight="1">
      <c r="A248" s="25" t="s">
        <v>413</v>
      </c>
      <c r="B248" s="8" t="str">
        <f>IFERROR(__xludf.DUMMYFUNCTION("REGEXREPLACE(A248, ""[^0-9a-zA-Z .'Ã]"","""")"),"Joe Dante")</f>
        <v>Joe Dante</v>
      </c>
      <c r="C248" s="26">
        <v>183.0</v>
      </c>
      <c r="D248" s="27">
        <v>1.4817E8</v>
      </c>
      <c r="E248" s="26" t="s">
        <v>1099</v>
      </c>
      <c r="F248" s="9">
        <f t="shared" si="1"/>
        <v>3</v>
      </c>
      <c r="G248" s="26" t="s">
        <v>1100</v>
      </c>
      <c r="H248" s="11" t="str">
        <f>IFERROR(__xludf.DUMMYFUNCTION("REGEXREPLACE(G248, ""[^0-9a-zA-Z .'Ã]"","""")"),"Phoebe Cates")</f>
        <v>Phoebe Cates</v>
      </c>
      <c r="I248" s="28" t="s">
        <v>1101</v>
      </c>
      <c r="J248" s="26">
        <v>142293.0</v>
      </c>
      <c r="K248" s="26" t="s">
        <v>1102</v>
      </c>
      <c r="L248" s="26">
        <v>245.0</v>
      </c>
      <c r="M248" s="26" t="s">
        <v>24</v>
      </c>
      <c r="N248" s="26" t="s">
        <v>25</v>
      </c>
      <c r="O248" s="27">
        <v>1.1E7</v>
      </c>
      <c r="P248" s="10">
        <f t="shared" si="2"/>
        <v>137170000</v>
      </c>
      <c r="Q248" s="12">
        <f t="shared" si="3"/>
        <v>0</v>
      </c>
      <c r="R248" s="26">
        <v>1984.0</v>
      </c>
      <c r="S248" s="26">
        <v>7.2</v>
      </c>
    </row>
    <row r="249" ht="15.75" customHeight="1">
      <c r="A249" s="7" t="s">
        <v>1103</v>
      </c>
      <c r="B249" s="8" t="str">
        <f>IFERROR(__xludf.DUMMYFUNCTION("REGEXREPLACE(A249, ""[^0-9a-zA-Z .'Ã]"","""")"),"Lance Hool")</f>
        <v>Lance Hool</v>
      </c>
      <c r="C249" s="9">
        <v>10.0</v>
      </c>
      <c r="D249" s="10">
        <v>229311.0</v>
      </c>
      <c r="E249" s="9" t="s">
        <v>1104</v>
      </c>
      <c r="F249" s="9">
        <f t="shared" si="1"/>
        <v>6</v>
      </c>
      <c r="G249" s="9" t="s">
        <v>1105</v>
      </c>
      <c r="H249" s="11" t="str">
        <f>IFERROR(__xludf.DUMMYFUNCTION("REGEXREPLACE(G249, ""[^0-9a-zA-Z .'Ã]"","""")"),"Tom Berenger")</f>
        <v>Tom Berenger</v>
      </c>
      <c r="I249" s="11" t="s">
        <v>1106</v>
      </c>
      <c r="J249" s="9">
        <v>899.0</v>
      </c>
      <c r="K249" s="9" t="s">
        <v>1107</v>
      </c>
      <c r="L249" s="9">
        <v>42.0</v>
      </c>
      <c r="M249" s="9" t="s">
        <v>24</v>
      </c>
      <c r="N249" s="9" t="s">
        <v>1108</v>
      </c>
      <c r="O249" s="10">
        <v>1.135E7</v>
      </c>
      <c r="P249" s="10">
        <f t="shared" si="2"/>
        <v>0</v>
      </c>
      <c r="Q249" s="12">
        <f t="shared" si="3"/>
        <v>11120689</v>
      </c>
      <c r="R249" s="9">
        <v>1999.0</v>
      </c>
      <c r="S249" s="9">
        <v>6.2</v>
      </c>
    </row>
    <row r="250" ht="15.75" customHeight="1">
      <c r="A250" s="7" t="s">
        <v>73</v>
      </c>
      <c r="B250" s="8" t="str">
        <f>IFERROR(__xludf.DUMMYFUNCTION("REGEXREPLACE(A250, ""[^0-9a-zA-Z .'Ã]"","""")"),"Ridley Scott")</f>
        <v>Ridley Scott</v>
      </c>
      <c r="C250" s="9">
        <v>336.0</v>
      </c>
      <c r="D250" s="10">
        <v>1.696939E7</v>
      </c>
      <c r="E250" s="9" t="s">
        <v>113</v>
      </c>
      <c r="F250" s="9">
        <f t="shared" si="1"/>
        <v>3</v>
      </c>
      <c r="G250" s="9" t="s">
        <v>432</v>
      </c>
      <c r="H250" s="11" t="str">
        <f>IFERROR(__xludf.DUMMYFUNCTION("REGEXREPLACE(G250, ""[^0-9a-zA-Z .'Ã]"","""")"),"Michael Fassbender")</f>
        <v>Michael Fassbender</v>
      </c>
      <c r="I250" s="11" t="s">
        <v>1109</v>
      </c>
      <c r="J250" s="9">
        <v>80861.0</v>
      </c>
      <c r="K250" s="9" t="s">
        <v>1110</v>
      </c>
      <c r="L250" s="9">
        <v>431.0</v>
      </c>
      <c r="M250" s="9" t="s">
        <v>24</v>
      </c>
      <c r="N250" s="9" t="s">
        <v>25</v>
      </c>
      <c r="O250" s="10">
        <v>2.5E7</v>
      </c>
      <c r="P250" s="10">
        <f t="shared" si="2"/>
        <v>0</v>
      </c>
      <c r="Q250" s="12">
        <f t="shared" si="3"/>
        <v>8030610</v>
      </c>
      <c r="R250" s="9">
        <v>2013.0</v>
      </c>
      <c r="S250" s="9">
        <v>5.3</v>
      </c>
    </row>
    <row r="251" ht="15.75" customHeight="1">
      <c r="A251" s="7" t="s">
        <v>1111</v>
      </c>
      <c r="B251" s="8" t="str">
        <f>IFERROR(__xludf.DUMMYFUNCTION("REGEXREPLACE(A251, ""[^0-9a-zA-Z .'Ã]"","""")"),"Jan de Bont")</f>
        <v>Jan de Bont</v>
      </c>
      <c r="C251" s="9">
        <v>79.0</v>
      </c>
      <c r="D251" s="10">
        <v>4.8068396E7</v>
      </c>
      <c r="E251" s="9" t="s">
        <v>824</v>
      </c>
      <c r="F251" s="9">
        <f t="shared" si="1"/>
        <v>4</v>
      </c>
      <c r="G251" s="9" t="s">
        <v>1112</v>
      </c>
      <c r="H251" s="11" t="str">
        <f>IFERROR(__xludf.DUMMYFUNCTION("REGEXREPLACE(G251, ""[^0-9a-zA-Z .'Ã]"","""")"),"Jason Patric")</f>
        <v>Jason Patric</v>
      </c>
      <c r="I251" s="11" t="s">
        <v>1113</v>
      </c>
      <c r="J251" s="9">
        <v>60573.0</v>
      </c>
      <c r="K251" s="9" t="s">
        <v>1114</v>
      </c>
      <c r="L251" s="9">
        <v>248.0</v>
      </c>
      <c r="M251" s="9" t="s">
        <v>24</v>
      </c>
      <c r="N251" s="9" t="s">
        <v>25</v>
      </c>
      <c r="O251" s="10">
        <v>1.6E8</v>
      </c>
      <c r="P251" s="10">
        <f t="shared" si="2"/>
        <v>0</v>
      </c>
      <c r="Q251" s="12">
        <f t="shared" si="3"/>
        <v>111931604</v>
      </c>
      <c r="R251" s="9">
        <v>1997.0</v>
      </c>
      <c r="S251" s="9">
        <v>3.7</v>
      </c>
    </row>
    <row r="252" ht="15.75" customHeight="1">
      <c r="A252" s="7" t="s">
        <v>1115</v>
      </c>
      <c r="B252" s="8" t="str">
        <f>IFERROR(__xludf.DUMMYFUNCTION("REGEXREPLACE(A252, ""[^0-9a-zA-Z .'Ã]"","""")"),"Christopher McQuarrie")</f>
        <v>Christopher McQuarrie</v>
      </c>
      <c r="C252" s="9">
        <v>465.0</v>
      </c>
      <c r="D252" s="10">
        <v>1.95000874E8</v>
      </c>
      <c r="E252" s="9" t="s">
        <v>474</v>
      </c>
      <c r="F252" s="9">
        <f t="shared" si="1"/>
        <v>3</v>
      </c>
      <c r="G252" s="9" t="s">
        <v>220</v>
      </c>
      <c r="H252" s="11" t="str">
        <f>IFERROR(__xludf.DUMMYFUNCTION("REGEXREPLACE(G252, ""[^0-9a-zA-Z .'Ã]"","""")"),"Tom Cruise")</f>
        <v>Tom Cruise</v>
      </c>
      <c r="I252" s="11" t="s">
        <v>1116</v>
      </c>
      <c r="J252" s="9">
        <v>232187.0</v>
      </c>
      <c r="K252" s="9" t="s">
        <v>1117</v>
      </c>
      <c r="L252" s="9">
        <v>440.0</v>
      </c>
      <c r="M252" s="9" t="s">
        <v>24</v>
      </c>
      <c r="N252" s="9" t="s">
        <v>217</v>
      </c>
      <c r="O252" s="10">
        <v>1.5E8</v>
      </c>
      <c r="P252" s="10">
        <f t="shared" si="2"/>
        <v>45000874</v>
      </c>
      <c r="Q252" s="12">
        <f t="shared" si="3"/>
        <v>0</v>
      </c>
      <c r="R252" s="9">
        <v>2015.0</v>
      </c>
      <c r="S252" s="9">
        <v>7.4</v>
      </c>
    </row>
    <row r="253" ht="15.75" customHeight="1">
      <c r="A253" s="7" t="s">
        <v>174</v>
      </c>
      <c r="B253" s="8" t="str">
        <f>IFERROR(__xludf.DUMMYFUNCTION("REGEXREPLACE(A253, ""[^0-9a-zA-Z .'Ã]"","""")"),"Roland Emmerich")</f>
        <v>Roland Emmerich</v>
      </c>
      <c r="C253" s="9">
        <v>286.0</v>
      </c>
      <c r="D253" s="10">
        <v>1.02315545E8</v>
      </c>
      <c r="E253" s="9" t="s">
        <v>185</v>
      </c>
      <c r="F253" s="9">
        <f t="shared" si="1"/>
        <v>3</v>
      </c>
      <c r="G253" s="9" t="s">
        <v>165</v>
      </c>
      <c r="H253" s="11" t="str">
        <f>IFERROR(__xludf.DUMMYFUNCTION("REGEXREPLACE(G253, ""[^0-9a-zA-Z .'Ã]"","""")"),"Vivica A. Fox")</f>
        <v>Vivica A. Fox</v>
      </c>
      <c r="I253" s="11" t="s">
        <v>1118</v>
      </c>
      <c r="J253" s="9">
        <v>58137.0</v>
      </c>
      <c r="K253" s="9" t="s">
        <v>1119</v>
      </c>
      <c r="L253" s="9">
        <v>520.0</v>
      </c>
      <c r="M253" s="9" t="s">
        <v>24</v>
      </c>
      <c r="N253" s="9" t="s">
        <v>25</v>
      </c>
      <c r="O253" s="10">
        <v>1.65E8</v>
      </c>
      <c r="P253" s="10">
        <f t="shared" si="2"/>
        <v>0</v>
      </c>
      <c r="Q253" s="12">
        <f t="shared" si="3"/>
        <v>62684455</v>
      </c>
      <c r="R253" s="9">
        <v>2016.0</v>
      </c>
      <c r="S253" s="9">
        <v>5.5</v>
      </c>
    </row>
    <row r="254" ht="15.75" customHeight="1">
      <c r="A254" s="17" t="s">
        <v>1120</v>
      </c>
      <c r="B254" s="8" t="str">
        <f>IFERROR(__xludf.DUMMYFUNCTION("REGEXREPLACE(A254, ""[^0-9a-zA-Z .'Ã]"","""")"),"Brad Silberling")</f>
        <v>Brad Silberling</v>
      </c>
      <c r="C254" s="18">
        <v>167.0</v>
      </c>
      <c r="D254" s="19">
        <v>4.9392095E7</v>
      </c>
      <c r="E254" s="18" t="s">
        <v>646</v>
      </c>
      <c r="F254" s="9">
        <f t="shared" si="1"/>
        <v>3</v>
      </c>
      <c r="G254" s="18" t="s">
        <v>441</v>
      </c>
      <c r="H254" s="11" t="str">
        <f>IFERROR(__xludf.DUMMYFUNCTION("REGEXREPLACE(G254, ""[^0-9a-zA-Z .'Ã]"","""")"),"Will Ferrell")</f>
        <v>Will Ferrell</v>
      </c>
      <c r="I254" s="20" t="s">
        <v>1121</v>
      </c>
      <c r="J254" s="18">
        <v>52029.0</v>
      </c>
      <c r="K254" s="18" t="s">
        <v>1122</v>
      </c>
      <c r="L254" s="18">
        <v>224.0</v>
      </c>
      <c r="M254" s="18" t="s">
        <v>24</v>
      </c>
      <c r="N254" s="18" t="s">
        <v>25</v>
      </c>
      <c r="O254" s="19">
        <v>1.0E8</v>
      </c>
      <c r="P254" s="10">
        <f t="shared" si="2"/>
        <v>0</v>
      </c>
      <c r="Q254" s="12">
        <f t="shared" si="3"/>
        <v>50607905</v>
      </c>
      <c r="R254" s="18">
        <v>2009.0</v>
      </c>
      <c r="S254" s="18">
        <v>5.4</v>
      </c>
    </row>
    <row r="255" ht="15.75" customHeight="1">
      <c r="A255" s="17" t="s">
        <v>1123</v>
      </c>
      <c r="B255" s="8" t="str">
        <f>IFERROR(__xludf.DUMMYFUNCTION("REGEXREPLACE(A255, ""[^0-9a-zA-Z .'Ã]"","""")"),"Ron Howard")</f>
        <v>Ron Howard</v>
      </c>
      <c r="C255" s="18">
        <v>201.0</v>
      </c>
      <c r="D255" s="19">
        <v>6.1644321E7</v>
      </c>
      <c r="E255" s="18" t="s">
        <v>1124</v>
      </c>
      <c r="F255" s="9">
        <f t="shared" si="1"/>
        <v>3</v>
      </c>
      <c r="G255" s="18" t="s">
        <v>1125</v>
      </c>
      <c r="H255" s="11" t="str">
        <f>IFERROR(__xludf.DUMMYFUNCTION("REGEXREPLACE(G255, ""[^0-9a-zA-Z .'Ã]"","""")"),"Paddy Considine")</f>
        <v>Paddy Considine</v>
      </c>
      <c r="I255" s="20" t="s">
        <v>1126</v>
      </c>
      <c r="J255" s="18">
        <v>148238.0</v>
      </c>
      <c r="K255" s="18" t="s">
        <v>1127</v>
      </c>
      <c r="L255" s="18">
        <v>529.0</v>
      </c>
      <c r="M255" s="18" t="s">
        <v>24</v>
      </c>
      <c r="N255" s="18" t="s">
        <v>25</v>
      </c>
      <c r="O255" s="19">
        <v>8.8E7</v>
      </c>
      <c r="P255" s="10">
        <f t="shared" si="2"/>
        <v>0</v>
      </c>
      <c r="Q255" s="12">
        <f t="shared" si="3"/>
        <v>26355679</v>
      </c>
      <c r="R255" s="18">
        <v>2005.0</v>
      </c>
      <c r="S255" s="18">
        <v>8.0</v>
      </c>
    </row>
    <row r="256" ht="15.75" customHeight="1">
      <c r="A256" s="7" t="s">
        <v>1128</v>
      </c>
      <c r="B256" s="8" t="str">
        <f>IFERROR(__xludf.DUMMYFUNCTION("REGEXREPLACE(A256, ""[^0-9a-zA-Z .'Ã]"","""")"),"Chris Stokes")</f>
        <v>Chris Stokes</v>
      </c>
      <c r="C256" s="9">
        <v>58.0</v>
      </c>
      <c r="D256" s="10">
        <v>4.0066497E7</v>
      </c>
      <c r="E256" s="9" t="s">
        <v>418</v>
      </c>
      <c r="F256" s="9">
        <f t="shared" si="1"/>
        <v>2</v>
      </c>
      <c r="G256" s="9" t="s">
        <v>1129</v>
      </c>
      <c r="H256" s="11" t="str">
        <f>IFERROR(__xludf.DUMMYFUNCTION("REGEXREPLACE(G256, ""[^0-9a-zA-Z .'Ã]"","""")"),"Jennifer Freeman")</f>
        <v>Jennifer Freeman</v>
      </c>
      <c r="I256" s="11" t="s">
        <v>1130</v>
      </c>
      <c r="J256" s="9">
        <v>23671.0</v>
      </c>
      <c r="K256" s="9" t="s">
        <v>1131</v>
      </c>
      <c r="L256" s="9">
        <v>247.0</v>
      </c>
      <c r="M256" s="9" t="s">
        <v>24</v>
      </c>
      <c r="N256" s="9" t="s">
        <v>25</v>
      </c>
      <c r="O256" s="10">
        <v>8000000.0</v>
      </c>
      <c r="P256" s="10">
        <f t="shared" si="2"/>
        <v>32066497</v>
      </c>
      <c r="Q256" s="12">
        <f t="shared" si="3"/>
        <v>0</v>
      </c>
      <c r="R256" s="9">
        <v>2004.0</v>
      </c>
      <c r="S256" s="9">
        <v>3.5</v>
      </c>
    </row>
    <row r="257" ht="15.75" customHeight="1">
      <c r="A257" s="17" t="s">
        <v>1132</v>
      </c>
      <c r="B257" s="8" t="str">
        <f>IFERROR(__xludf.DUMMYFUNCTION("REGEXREPLACE(A257, ""[^0-9a-zA-Z .'Ã]"","""")"),"Martin Weisz")</f>
        <v>Martin Weisz</v>
      </c>
      <c r="C257" s="18">
        <v>161.0</v>
      </c>
      <c r="D257" s="19">
        <v>2.0801344E7</v>
      </c>
      <c r="E257" s="18" t="s">
        <v>148</v>
      </c>
      <c r="F257" s="9">
        <f t="shared" si="1"/>
        <v>1</v>
      </c>
      <c r="G257" s="18" t="s">
        <v>1133</v>
      </c>
      <c r="H257" s="11" t="str">
        <f>IFERROR(__xludf.DUMMYFUNCTION("REGEXREPLACE(G257, ""[^0-9a-zA-Z .'Ã]"","""")"),"Jeff Kober")</f>
        <v>Jeff Kober</v>
      </c>
      <c r="I257" s="20" t="s">
        <v>1134</v>
      </c>
      <c r="J257" s="18">
        <v>49721.0</v>
      </c>
      <c r="K257" s="18" t="s">
        <v>1135</v>
      </c>
      <c r="L257" s="18">
        <v>211.0</v>
      </c>
      <c r="M257" s="18" t="s">
        <v>24</v>
      </c>
      <c r="N257" s="18" t="s">
        <v>25</v>
      </c>
      <c r="O257" s="19">
        <v>1.5E7</v>
      </c>
      <c r="P257" s="10">
        <f t="shared" si="2"/>
        <v>5801344</v>
      </c>
      <c r="Q257" s="12">
        <f t="shared" si="3"/>
        <v>0</v>
      </c>
      <c r="R257" s="18">
        <v>2007.0</v>
      </c>
      <c r="S257" s="18">
        <v>5.1</v>
      </c>
    </row>
    <row r="258" ht="15.75" customHeight="1">
      <c r="A258" s="7" t="s">
        <v>469</v>
      </c>
      <c r="B258" s="8" t="str">
        <f>IFERROR(__xludf.DUMMYFUNCTION("REGEXREPLACE(A258, ""[^0-9a-zA-Z .'Ã]"","""")"),"Wes Anderson")</f>
        <v>Wes Anderson</v>
      </c>
      <c r="C258" s="9">
        <v>335.0</v>
      </c>
      <c r="D258" s="10">
        <v>2.0999103E7</v>
      </c>
      <c r="E258" s="9" t="s">
        <v>1136</v>
      </c>
      <c r="F258" s="9">
        <f t="shared" si="1"/>
        <v>5</v>
      </c>
      <c r="G258" s="9" t="s">
        <v>470</v>
      </c>
      <c r="H258" s="11" t="str">
        <f>IFERROR(__xludf.DUMMYFUNCTION("REGEXREPLACE(G258, ""[^0-9a-zA-Z .'Ã]"","""")"),"Bill Murray")</f>
        <v>Bill Murray</v>
      </c>
      <c r="I258" s="11" t="s">
        <v>1137</v>
      </c>
      <c r="J258" s="9">
        <v>139114.0</v>
      </c>
      <c r="K258" s="9" t="s">
        <v>1138</v>
      </c>
      <c r="L258" s="9">
        <v>245.0</v>
      </c>
      <c r="M258" s="9" t="s">
        <v>24</v>
      </c>
      <c r="N258" s="9" t="s">
        <v>25</v>
      </c>
      <c r="O258" s="10">
        <v>4.0E7</v>
      </c>
      <c r="P258" s="10">
        <f t="shared" si="2"/>
        <v>0</v>
      </c>
      <c r="Q258" s="12">
        <f t="shared" si="3"/>
        <v>19000897</v>
      </c>
      <c r="R258" s="9">
        <v>2009.0</v>
      </c>
      <c r="S258" s="9">
        <v>7.8</v>
      </c>
    </row>
    <row r="259" ht="15.75" customHeight="1">
      <c r="A259" s="7" t="s">
        <v>1139</v>
      </c>
      <c r="B259" s="8" t="str">
        <f>IFERROR(__xludf.DUMMYFUNCTION("REGEXREPLACE(A259, ""[^0-9a-zA-Z .'Ã]"","""")"),"Todd Haynes")</f>
        <v>Todd Haynes</v>
      </c>
      <c r="C259" s="9">
        <v>181.0</v>
      </c>
      <c r="D259" s="10">
        <v>1.5854988E7</v>
      </c>
      <c r="E259" s="9" t="s">
        <v>232</v>
      </c>
      <c r="F259" s="9">
        <f t="shared" si="1"/>
        <v>2</v>
      </c>
      <c r="G259" s="9" t="s">
        <v>45</v>
      </c>
      <c r="H259" s="11" t="str">
        <f>IFERROR(__xludf.DUMMYFUNCTION("REGEXREPLACE(G259, ""[^0-9a-zA-Z .'Ã]"","""")"),"Dennis Quaid")</f>
        <v>Dennis Quaid</v>
      </c>
      <c r="I259" s="11" t="s">
        <v>1140</v>
      </c>
      <c r="J259" s="9">
        <v>36542.0</v>
      </c>
      <c r="K259" s="9" t="s">
        <v>1141</v>
      </c>
      <c r="L259" s="9">
        <v>378.0</v>
      </c>
      <c r="M259" s="9" t="s">
        <v>24</v>
      </c>
      <c r="N259" s="9" t="s">
        <v>25</v>
      </c>
      <c r="O259" s="10">
        <v>1.35E7</v>
      </c>
      <c r="P259" s="10">
        <f t="shared" si="2"/>
        <v>2354988</v>
      </c>
      <c r="Q259" s="12">
        <f t="shared" si="3"/>
        <v>0</v>
      </c>
      <c r="R259" s="9">
        <v>2002.0</v>
      </c>
      <c r="S259" s="9">
        <v>7.4</v>
      </c>
    </row>
    <row r="260" ht="15.75" customHeight="1">
      <c r="A260" s="17" t="s">
        <v>1142</v>
      </c>
      <c r="B260" s="8" t="str">
        <f>IFERROR(__xludf.DUMMYFUNCTION("REGEXREPLACE(A260, ""[^0-9a-zA-Z .'Ã]"","""")"),"David Twohy")</f>
        <v>David Twohy</v>
      </c>
      <c r="C260" s="18">
        <v>207.0</v>
      </c>
      <c r="D260" s="19">
        <v>5.7637485E7</v>
      </c>
      <c r="E260" s="18" t="s">
        <v>794</v>
      </c>
      <c r="F260" s="9">
        <f t="shared" si="1"/>
        <v>4</v>
      </c>
      <c r="G260" s="18" t="s">
        <v>917</v>
      </c>
      <c r="H260" s="11" t="str">
        <f>IFERROR(__xludf.DUMMYFUNCTION("REGEXREPLACE(G260, ""[^0-9a-zA-Z .'Ã]"","""")"),"Vin Diesel")</f>
        <v>Vin Diesel</v>
      </c>
      <c r="I260" s="20" t="s">
        <v>1143</v>
      </c>
      <c r="J260" s="18">
        <v>183909.0</v>
      </c>
      <c r="K260" s="18" t="s">
        <v>1144</v>
      </c>
      <c r="L260" s="18">
        <v>666.0</v>
      </c>
      <c r="M260" s="18" t="s">
        <v>24</v>
      </c>
      <c r="N260" s="18" t="s">
        <v>25</v>
      </c>
      <c r="O260" s="19">
        <v>1.05E8</v>
      </c>
      <c r="P260" s="10">
        <f t="shared" si="2"/>
        <v>0</v>
      </c>
      <c r="Q260" s="12">
        <f t="shared" si="3"/>
        <v>47362515</v>
      </c>
      <c r="R260" s="18">
        <v>2004.0</v>
      </c>
      <c r="S260" s="18">
        <v>6.7</v>
      </c>
    </row>
    <row r="261" ht="15.75" customHeight="1">
      <c r="A261" s="17" t="s">
        <v>1145</v>
      </c>
      <c r="B261" s="8" t="str">
        <f>IFERROR(__xludf.DUMMYFUNCTION("REGEXREPLACE(A261, ""[^0-9a-zA-Z .'Ã]"","""")"),"Michael Martin")</f>
        <v>Michael Martin</v>
      </c>
      <c r="C261" s="18">
        <v>19.0</v>
      </c>
      <c r="D261" s="19">
        <v>1.0305534E7</v>
      </c>
      <c r="E261" s="18" t="s">
        <v>137</v>
      </c>
      <c r="F261" s="9">
        <f t="shared" si="1"/>
        <v>1</v>
      </c>
      <c r="G261" s="18" t="s">
        <v>1146</v>
      </c>
      <c r="H261" s="11" t="str">
        <f>IFERROR(__xludf.DUMMYFUNCTION("REGEXREPLACE(G261, ""[^0-9a-zA-Z .'Ã]"","""")"),"Joe Estevez")</f>
        <v>Joe Estevez</v>
      </c>
      <c r="I261" s="20" t="s">
        <v>1147</v>
      </c>
      <c r="J261" s="18">
        <v>1721.0</v>
      </c>
      <c r="K261" s="18" t="s">
        <v>1148</v>
      </c>
      <c r="L261" s="18">
        <v>38.0</v>
      </c>
      <c r="M261" s="18" t="s">
        <v>24</v>
      </c>
      <c r="N261" s="18" t="s">
        <v>25</v>
      </c>
      <c r="O261" s="19">
        <v>3500000.0</v>
      </c>
      <c r="P261" s="10">
        <f t="shared" si="2"/>
        <v>6805534</v>
      </c>
      <c r="Q261" s="12">
        <f t="shared" si="3"/>
        <v>0</v>
      </c>
      <c r="R261" s="18">
        <v>1998.0</v>
      </c>
      <c r="S261" s="18">
        <v>3.9</v>
      </c>
    </row>
    <row r="262" ht="15.75" customHeight="1">
      <c r="A262" s="7" t="s">
        <v>692</v>
      </c>
      <c r="B262" s="8" t="str">
        <f>IFERROR(__xludf.DUMMYFUNCTION("REGEXREPLACE(A262, ""[^0-9a-zA-Z .'Ã]"","""")"),"Peter Segal")</f>
        <v>Peter Segal</v>
      </c>
      <c r="C262" s="9">
        <v>134.0</v>
      </c>
      <c r="D262" s="10">
        <v>1.58115031E8</v>
      </c>
      <c r="E262" s="9" t="s">
        <v>1149</v>
      </c>
      <c r="F262" s="9">
        <f t="shared" si="1"/>
        <v>3</v>
      </c>
      <c r="G262" s="9" t="s">
        <v>616</v>
      </c>
      <c r="H262" s="11" t="str">
        <f>IFERROR(__xludf.DUMMYFUNCTION("REGEXREPLACE(G262, ""[^0-9a-zA-Z .'Ã]"","""")"),"Adam Sandler")</f>
        <v>Adam Sandler</v>
      </c>
      <c r="I262" s="11" t="s">
        <v>1150</v>
      </c>
      <c r="J262" s="9">
        <v>130070.0</v>
      </c>
      <c r="K262" s="9" t="s">
        <v>1151</v>
      </c>
      <c r="L262" s="9">
        <v>316.0</v>
      </c>
      <c r="M262" s="9" t="s">
        <v>24</v>
      </c>
      <c r="N262" s="9" t="s">
        <v>25</v>
      </c>
      <c r="O262" s="10">
        <v>8.2E7</v>
      </c>
      <c r="P262" s="10">
        <f t="shared" si="2"/>
        <v>76115031</v>
      </c>
      <c r="Q262" s="12">
        <f t="shared" si="3"/>
        <v>0</v>
      </c>
      <c r="R262" s="9">
        <v>2005.0</v>
      </c>
      <c r="S262" s="9">
        <v>6.4</v>
      </c>
    </row>
    <row r="263" ht="15.75" customHeight="1">
      <c r="A263" s="21" t="s">
        <v>1152</v>
      </c>
      <c r="B263" s="8" t="str">
        <f>IFERROR(__xludf.DUMMYFUNCTION("REGEXREPLACE(A263, ""[^0-9a-zA-Z .'Ã]"","""")"),"Scott Stewart")</f>
        <v>Scott Stewart</v>
      </c>
      <c r="C263" s="22">
        <v>226.0</v>
      </c>
      <c r="D263" s="23">
        <v>4.016808E7</v>
      </c>
      <c r="E263" s="22" t="s">
        <v>479</v>
      </c>
      <c r="F263" s="9">
        <f t="shared" si="1"/>
        <v>3</v>
      </c>
      <c r="G263" s="22" t="s">
        <v>45</v>
      </c>
      <c r="H263" s="11" t="str">
        <f>IFERROR(__xludf.DUMMYFUNCTION("REGEXREPLACE(G263, ""[^0-9a-zA-Z .'Ã]"","""")"),"Dennis Quaid")</f>
        <v>Dennis Quaid</v>
      </c>
      <c r="I263" s="24" t="s">
        <v>1153</v>
      </c>
      <c r="J263" s="22">
        <v>80870.0</v>
      </c>
      <c r="K263" s="22" t="s">
        <v>1154</v>
      </c>
      <c r="L263" s="22">
        <v>315.0</v>
      </c>
      <c r="M263" s="22" t="s">
        <v>24</v>
      </c>
      <c r="N263" s="22" t="s">
        <v>25</v>
      </c>
      <c r="O263" s="23">
        <v>2.6E7</v>
      </c>
      <c r="P263" s="10">
        <f t="shared" si="2"/>
        <v>14168080</v>
      </c>
      <c r="Q263" s="12">
        <f t="shared" si="3"/>
        <v>0</v>
      </c>
      <c r="R263" s="22">
        <v>2010.0</v>
      </c>
      <c r="S263" s="22">
        <v>5.2</v>
      </c>
    </row>
    <row r="264" ht="15.75" customHeight="1">
      <c r="A264" s="25" t="s">
        <v>500</v>
      </c>
      <c r="B264" s="8" t="str">
        <f>IFERROR(__xludf.DUMMYFUNCTION("REGEXREPLACE(A264, ""[^0-9a-zA-Z .'Ã]"","""")"),"Brian Helgeland")</f>
        <v>Brian Helgeland</v>
      </c>
      <c r="C264" s="26">
        <v>112.0</v>
      </c>
      <c r="D264" s="27">
        <v>7659747.0</v>
      </c>
      <c r="E264" s="26" t="s">
        <v>1155</v>
      </c>
      <c r="F264" s="9">
        <f t="shared" si="1"/>
        <v>3</v>
      </c>
      <c r="G264" s="26" t="s">
        <v>1156</v>
      </c>
      <c r="H264" s="11" t="str">
        <f>IFERROR(__xludf.DUMMYFUNCTION("REGEXREPLACE(G264, ""[^0-9a-zA-Z .'Ã]"","""")"),"Heath Ledger")</f>
        <v>Heath Ledger</v>
      </c>
      <c r="I264" s="28" t="s">
        <v>1157</v>
      </c>
      <c r="J264" s="26">
        <v>14962.0</v>
      </c>
      <c r="K264" s="26" t="s">
        <v>1158</v>
      </c>
      <c r="L264" s="26">
        <v>204.0</v>
      </c>
      <c r="M264" s="26" t="s">
        <v>24</v>
      </c>
      <c r="N264" s="26" t="s">
        <v>25</v>
      </c>
      <c r="O264" s="27">
        <v>3.8E7</v>
      </c>
      <c r="P264" s="10">
        <f t="shared" si="2"/>
        <v>0</v>
      </c>
      <c r="Q264" s="12">
        <f t="shared" si="3"/>
        <v>30340253</v>
      </c>
      <c r="R264" s="26">
        <v>2003.0</v>
      </c>
      <c r="S264" s="26">
        <v>5.1</v>
      </c>
    </row>
    <row r="265" ht="15.75" customHeight="1">
      <c r="A265" s="21" t="s">
        <v>1159</v>
      </c>
      <c r="B265" s="8" t="str">
        <f>IFERROR(__xludf.DUMMYFUNCTION("REGEXREPLACE(A265, ""[^0-9a-zA-Z .'Ã]"","""")"),"Ken Scott")</f>
        <v>Ken Scott</v>
      </c>
      <c r="C265" s="22">
        <v>168.0</v>
      </c>
      <c r="D265" s="23">
        <v>3.0659817E7</v>
      </c>
      <c r="E265" s="22" t="s">
        <v>454</v>
      </c>
      <c r="F265" s="9">
        <f t="shared" si="1"/>
        <v>2</v>
      </c>
      <c r="G265" s="22" t="s">
        <v>1160</v>
      </c>
      <c r="H265" s="11" t="str">
        <f>IFERROR(__xludf.DUMMYFUNCTION("REGEXREPLACE(G265, ""[^0-9a-zA-Z .'Ã]"","""")"),"Jack Reynor")</f>
        <v>Jack Reynor</v>
      </c>
      <c r="I265" s="24" t="s">
        <v>1161</v>
      </c>
      <c r="J265" s="22">
        <v>59805.0</v>
      </c>
      <c r="K265" s="22" t="s">
        <v>1162</v>
      </c>
      <c r="L265" s="22">
        <v>95.0</v>
      </c>
      <c r="M265" s="22" t="s">
        <v>24</v>
      </c>
      <c r="N265" s="22" t="s">
        <v>25</v>
      </c>
      <c r="O265" s="23">
        <v>2.6E7</v>
      </c>
      <c r="P265" s="10">
        <f t="shared" si="2"/>
        <v>4659817</v>
      </c>
      <c r="Q265" s="12">
        <f t="shared" si="3"/>
        <v>0</v>
      </c>
      <c r="R265" s="22">
        <v>2013.0</v>
      </c>
      <c r="S265" s="22">
        <v>6.4</v>
      </c>
    </row>
    <row r="266" ht="15.75" customHeight="1">
      <c r="A266" s="29" t="s">
        <v>1163</v>
      </c>
      <c r="B266" s="8" t="str">
        <f>IFERROR(__xludf.DUMMYFUNCTION("REGEXREPLACE(A266, ""[^0-9a-zA-Z .'Ã]"","""")"),"Tony Bancroft")</f>
        <v>Tony Bancroft</v>
      </c>
      <c r="C266" s="30">
        <v>143.0</v>
      </c>
      <c r="D266" s="31">
        <v>1.20618403E8</v>
      </c>
      <c r="E266" s="30" t="s">
        <v>1164</v>
      </c>
      <c r="F266" s="9">
        <f t="shared" si="1"/>
        <v>6</v>
      </c>
      <c r="G266" s="30" t="s">
        <v>1165</v>
      </c>
      <c r="H266" s="11" t="str">
        <f>IFERROR(__xludf.DUMMYFUNCTION("REGEXREPLACE(G266, ""[^0-9a-zA-Z .'Ã]"","""")"),"MingNa Wen")</f>
        <v>MingNa Wen</v>
      </c>
      <c r="I266" s="32" t="s">
        <v>1166</v>
      </c>
      <c r="J266" s="30">
        <v>171792.0</v>
      </c>
      <c r="K266" s="30" t="s">
        <v>1167</v>
      </c>
      <c r="L266" s="30">
        <v>222.0</v>
      </c>
      <c r="M266" s="30" t="s">
        <v>24</v>
      </c>
      <c r="N266" s="30" t="s">
        <v>25</v>
      </c>
      <c r="O266" s="31">
        <v>9.0E7</v>
      </c>
      <c r="P266" s="10">
        <f t="shared" si="2"/>
        <v>30618403</v>
      </c>
      <c r="Q266" s="12">
        <f t="shared" si="3"/>
        <v>0</v>
      </c>
      <c r="R266" s="30">
        <v>1998.0</v>
      </c>
      <c r="S266" s="30">
        <v>7.5</v>
      </c>
    </row>
    <row r="267" ht="15.75" customHeight="1">
      <c r="A267" s="21" t="s">
        <v>1168</v>
      </c>
      <c r="B267" s="8" t="str">
        <f>IFERROR(__xludf.DUMMYFUNCTION("REGEXREPLACE(A267, ""[^0-9a-zA-Z .'Ã]"","""")"),"Peter Hewitt")</f>
        <v>Peter Hewitt</v>
      </c>
      <c r="C267" s="22">
        <v>43.0</v>
      </c>
      <c r="D267" s="23">
        <v>3.8037513E7</v>
      </c>
      <c r="E267" s="22" t="s">
        <v>1169</v>
      </c>
      <c r="F267" s="9">
        <f t="shared" si="1"/>
        <v>5</v>
      </c>
      <c r="G267" s="22" t="s">
        <v>1170</v>
      </c>
      <c r="H267" s="11" t="str">
        <f>IFERROR(__xludf.DUMMYFUNCTION("REGEXREPLACE(G267, ""[^0-9a-zA-Z .'Ã]"","""")"),"Keanu Reeves")</f>
        <v>Keanu Reeves</v>
      </c>
      <c r="I267" s="24" t="s">
        <v>1171</v>
      </c>
      <c r="J267" s="22">
        <v>49680.0</v>
      </c>
      <c r="K267" s="22" t="s">
        <v>1172</v>
      </c>
      <c r="L267" s="22">
        <v>117.0</v>
      </c>
      <c r="M267" s="22" t="s">
        <v>24</v>
      </c>
      <c r="N267" s="22" t="s">
        <v>25</v>
      </c>
      <c r="O267" s="23">
        <v>2.0E7</v>
      </c>
      <c r="P267" s="10">
        <f t="shared" si="2"/>
        <v>18037513</v>
      </c>
      <c r="Q267" s="12">
        <f t="shared" si="3"/>
        <v>0</v>
      </c>
      <c r="R267" s="22">
        <v>1991.0</v>
      </c>
      <c r="S267" s="22">
        <v>6.2</v>
      </c>
    </row>
    <row r="268" ht="15.75" customHeight="1">
      <c r="A268" s="25" t="s">
        <v>998</v>
      </c>
      <c r="B268" s="8" t="str">
        <f>IFERROR(__xludf.DUMMYFUNCTION("REGEXREPLACE(A268, ""[^0-9a-zA-Z .'Ã]"","""")"),"Peter Jackson")</f>
        <v>Peter Jackson</v>
      </c>
      <c r="C268" s="26">
        <v>308.0</v>
      </c>
      <c r="D268" s="27">
        <v>4.3982842E7</v>
      </c>
      <c r="E268" s="26" t="s">
        <v>1173</v>
      </c>
      <c r="F268" s="9">
        <f t="shared" si="1"/>
        <v>3</v>
      </c>
      <c r="G268" s="26" t="s">
        <v>1174</v>
      </c>
      <c r="H268" s="11" t="str">
        <f>IFERROR(__xludf.DUMMYFUNCTION("REGEXREPLACE(G268, ""[^0-9a-zA-Z .'Ã]"","""")"),"Michael Imperioli")</f>
        <v>Michael Imperioli</v>
      </c>
      <c r="I268" s="28" t="s">
        <v>1175</v>
      </c>
      <c r="J268" s="26">
        <v>125114.0</v>
      </c>
      <c r="K268" s="26" t="s">
        <v>1176</v>
      </c>
      <c r="L268" s="26">
        <v>593.0</v>
      </c>
      <c r="M268" s="26" t="s">
        <v>24</v>
      </c>
      <c r="N268" s="26" t="s">
        <v>25</v>
      </c>
      <c r="O268" s="27">
        <v>6.5E7</v>
      </c>
      <c r="P268" s="10">
        <f t="shared" si="2"/>
        <v>0</v>
      </c>
      <c r="Q268" s="12">
        <f t="shared" si="3"/>
        <v>21017158</v>
      </c>
      <c r="R268" s="26">
        <v>2009.0</v>
      </c>
      <c r="S268" s="26">
        <v>6.7</v>
      </c>
    </row>
    <row r="269" ht="15.75" customHeight="1">
      <c r="A269" s="7" t="s">
        <v>1115</v>
      </c>
      <c r="B269" s="8" t="str">
        <f>IFERROR(__xludf.DUMMYFUNCTION("REGEXREPLACE(A269, ""[^0-9a-zA-Z .'Ã]"","""")"),"Christopher McQuarrie")</f>
        <v>Christopher McQuarrie</v>
      </c>
      <c r="C269" s="9">
        <v>387.0</v>
      </c>
      <c r="D269" s="10">
        <v>8.0033643E7</v>
      </c>
      <c r="E269" s="9" t="s">
        <v>1177</v>
      </c>
      <c r="F269" s="9">
        <f t="shared" si="1"/>
        <v>4</v>
      </c>
      <c r="G269" s="9" t="s">
        <v>220</v>
      </c>
      <c r="H269" s="11" t="str">
        <f>IFERROR(__xludf.DUMMYFUNCTION("REGEXREPLACE(G269, ""[^0-9a-zA-Z .'Ã]"","""")"),"Tom Cruise")</f>
        <v>Tom Cruise</v>
      </c>
      <c r="I269" s="11" t="s">
        <v>1178</v>
      </c>
      <c r="J269" s="9">
        <v>226570.0</v>
      </c>
      <c r="K269" s="9" t="s">
        <v>1179</v>
      </c>
      <c r="L269" s="9">
        <v>448.0</v>
      </c>
      <c r="M269" s="9" t="s">
        <v>24</v>
      </c>
      <c r="N269" s="9" t="s">
        <v>25</v>
      </c>
      <c r="O269" s="10">
        <v>6.0E7</v>
      </c>
      <c r="P269" s="10">
        <f t="shared" si="2"/>
        <v>20033643</v>
      </c>
      <c r="Q269" s="12">
        <f t="shared" si="3"/>
        <v>0</v>
      </c>
      <c r="R269" s="9">
        <v>2012.0</v>
      </c>
      <c r="S269" s="9">
        <v>7.0</v>
      </c>
    </row>
    <row r="270" ht="15.75" customHeight="1">
      <c r="A270" s="7" t="s">
        <v>1180</v>
      </c>
      <c r="B270" s="8" t="str">
        <f>IFERROR(__xludf.DUMMYFUNCTION("REGEXREPLACE(A270, ""[^0-9a-zA-Z .'Ã]"","""")"),"Christopher Erskin")</f>
        <v>Christopher Erskin</v>
      </c>
      <c r="C270" s="9">
        <v>45.0</v>
      </c>
      <c r="D270" s="10">
        <v>3.1179516E7</v>
      </c>
      <c r="E270" s="9" t="s">
        <v>137</v>
      </c>
      <c r="F270" s="9">
        <f t="shared" si="1"/>
        <v>1</v>
      </c>
      <c r="G270" s="9" t="s">
        <v>1181</v>
      </c>
      <c r="H270" s="11" t="str">
        <f>IFERROR(__xludf.DUMMYFUNCTION("REGEXREPLACE(G270, ""[^0-9a-zA-Z .'Ã]"","""")"),"Vanessa Williams")</f>
        <v>Vanessa Williams</v>
      </c>
      <c r="I270" s="11" t="s">
        <v>1182</v>
      </c>
      <c r="J270" s="9">
        <v>5928.0</v>
      </c>
      <c r="K270" s="9" t="s">
        <v>1183</v>
      </c>
      <c r="L270" s="9">
        <v>49.0</v>
      </c>
      <c r="M270" s="9" t="s">
        <v>24</v>
      </c>
      <c r="N270" s="9" t="s">
        <v>25</v>
      </c>
      <c r="O270" s="10">
        <v>1.2E7</v>
      </c>
      <c r="P270" s="10">
        <f t="shared" si="2"/>
        <v>19179516</v>
      </c>
      <c r="Q270" s="12">
        <f t="shared" si="3"/>
        <v>0</v>
      </c>
      <c r="R270" s="9">
        <v>2004.0</v>
      </c>
      <c r="S270" s="9">
        <v>4.3</v>
      </c>
    </row>
    <row r="271" ht="15.75" customHeight="1">
      <c r="A271" s="17" t="s">
        <v>1184</v>
      </c>
      <c r="B271" s="8" t="str">
        <f>IFERROR(__xludf.DUMMYFUNCTION("REGEXREPLACE(A271, ""[^0-9a-zA-Z .'Ã]"","""")"),"Etan Cohen")</f>
        <v>Etan Cohen</v>
      </c>
      <c r="C271" s="18">
        <v>173.0</v>
      </c>
      <c r="D271" s="19">
        <v>9.0353764E7</v>
      </c>
      <c r="E271" s="18" t="s">
        <v>440</v>
      </c>
      <c r="F271" s="9">
        <f t="shared" si="1"/>
        <v>2</v>
      </c>
      <c r="G271" s="18" t="s">
        <v>441</v>
      </c>
      <c r="H271" s="11" t="str">
        <f>IFERROR(__xludf.DUMMYFUNCTION("REGEXREPLACE(G271, ""[^0-9a-zA-Z .'Ã]"","""")"),"Will Ferrell")</f>
        <v>Will Ferrell</v>
      </c>
      <c r="I271" s="20" t="s">
        <v>1185</v>
      </c>
      <c r="J271" s="18">
        <v>85629.0</v>
      </c>
      <c r="K271" s="18" t="s">
        <v>1186</v>
      </c>
      <c r="L271" s="18">
        <v>144.0</v>
      </c>
      <c r="M271" s="18" t="s">
        <v>24</v>
      </c>
      <c r="N271" s="18" t="s">
        <v>25</v>
      </c>
      <c r="O271" s="19">
        <v>4.0E7</v>
      </c>
      <c r="P271" s="10">
        <f t="shared" si="2"/>
        <v>50353764</v>
      </c>
      <c r="Q271" s="12">
        <f t="shared" si="3"/>
        <v>0</v>
      </c>
      <c r="R271" s="18">
        <v>2015.0</v>
      </c>
      <c r="S271" s="18">
        <v>6.0</v>
      </c>
    </row>
    <row r="272" ht="15.75" customHeight="1">
      <c r="A272" s="17" t="s">
        <v>1187</v>
      </c>
      <c r="B272" s="8" t="str">
        <f>IFERROR(__xludf.DUMMYFUNCTION("REGEXREPLACE(A272, ""[^0-9a-zA-Z .'Ã]"","""")"),"Ang Lee")</f>
        <v>Ang Lee</v>
      </c>
      <c r="C272" s="18">
        <v>69.0</v>
      </c>
      <c r="D272" s="19">
        <v>4.27E7</v>
      </c>
      <c r="E272" s="18" t="s">
        <v>232</v>
      </c>
      <c r="F272" s="9">
        <f t="shared" si="1"/>
        <v>2</v>
      </c>
      <c r="G272" s="18" t="s">
        <v>647</v>
      </c>
      <c r="H272" s="11" t="str">
        <f>IFERROR(__xludf.DUMMYFUNCTION("REGEXREPLACE(G272, ""[^0-9a-zA-Z .'Ã]"","""")"),"Alan Rickman")</f>
        <v>Alan Rickman</v>
      </c>
      <c r="I272" s="20" t="s">
        <v>1188</v>
      </c>
      <c r="J272" s="18">
        <v>78392.0</v>
      </c>
      <c r="K272" s="18" t="s">
        <v>1189</v>
      </c>
      <c r="L272" s="18">
        <v>196.0</v>
      </c>
      <c r="M272" s="18" t="s">
        <v>24</v>
      </c>
      <c r="N272" s="18" t="s">
        <v>25</v>
      </c>
      <c r="O272" s="19">
        <v>1.65E7</v>
      </c>
      <c r="P272" s="10">
        <f t="shared" si="2"/>
        <v>26200000</v>
      </c>
      <c r="Q272" s="12">
        <f t="shared" si="3"/>
        <v>0</v>
      </c>
      <c r="R272" s="18">
        <v>1995.0</v>
      </c>
      <c r="S272" s="18">
        <v>7.7</v>
      </c>
    </row>
    <row r="273" ht="15.75" customHeight="1">
      <c r="A273" s="21" t="s">
        <v>1190</v>
      </c>
      <c r="B273" s="8" t="str">
        <f>IFERROR(__xludf.DUMMYFUNCTION("REGEXREPLACE(A273, ""[^0-9a-zA-Z .'Ã]"","""")"),"Norman Ferguson")</f>
        <v>Norman Ferguson</v>
      </c>
      <c r="C273" s="22">
        <v>105.0</v>
      </c>
      <c r="D273" s="23">
        <v>8.43E7</v>
      </c>
      <c r="E273" s="22" t="s">
        <v>1191</v>
      </c>
      <c r="F273" s="9">
        <f t="shared" si="1"/>
        <v>4</v>
      </c>
      <c r="G273" s="22" t="s">
        <v>1192</v>
      </c>
      <c r="H273" s="11" t="str">
        <f>IFERROR(__xludf.DUMMYFUNCTION("REGEXREPLACE(G273, ""[^0-9a-zA-Z .'Ã]"","""")"),"Mel Blanc")</f>
        <v>Mel Blanc</v>
      </c>
      <c r="I273" s="24" t="s">
        <v>1193</v>
      </c>
      <c r="J273" s="22">
        <v>90360.0</v>
      </c>
      <c r="K273" s="22" t="s">
        <v>1194</v>
      </c>
      <c r="L273" s="22">
        <v>147.0</v>
      </c>
      <c r="M273" s="22" t="s">
        <v>24</v>
      </c>
      <c r="N273" s="22" t="s">
        <v>25</v>
      </c>
      <c r="O273" s="23">
        <v>2600000.0</v>
      </c>
      <c r="P273" s="10">
        <f t="shared" si="2"/>
        <v>81700000</v>
      </c>
      <c r="Q273" s="12">
        <f t="shared" si="3"/>
        <v>0</v>
      </c>
      <c r="R273" s="22">
        <v>1940.0</v>
      </c>
      <c r="S273" s="22">
        <v>7.5</v>
      </c>
    </row>
    <row r="274" ht="15.75" customHeight="1">
      <c r="A274" s="25" t="s">
        <v>1195</v>
      </c>
      <c r="B274" s="8" t="str">
        <f>IFERROR(__xludf.DUMMYFUNCTION("REGEXREPLACE(A274, ""[^0-9a-zA-Z .'Ã]"","""")"),"Jonathan Dayton")</f>
        <v>Jonathan Dayton</v>
      </c>
      <c r="C274" s="26">
        <v>270.0</v>
      </c>
      <c r="D274" s="27">
        <v>5.9889948E7</v>
      </c>
      <c r="E274" s="26" t="s">
        <v>454</v>
      </c>
      <c r="F274" s="9">
        <f t="shared" si="1"/>
        <v>2</v>
      </c>
      <c r="G274" s="26" t="s">
        <v>1080</v>
      </c>
      <c r="H274" s="11" t="str">
        <f>IFERROR(__xludf.DUMMYFUNCTION("REGEXREPLACE(G274, ""[^0-9a-zA-Z .'Ã]"","""")"),"Steve Carell")</f>
        <v>Steve Carell</v>
      </c>
      <c r="I274" s="28" t="s">
        <v>1196</v>
      </c>
      <c r="J274" s="26">
        <v>355810.0</v>
      </c>
      <c r="K274" s="26" t="s">
        <v>1197</v>
      </c>
      <c r="L274" s="26">
        <v>889.0</v>
      </c>
      <c r="M274" s="26" t="s">
        <v>24</v>
      </c>
      <c r="N274" s="26" t="s">
        <v>25</v>
      </c>
      <c r="O274" s="27">
        <v>8000000.0</v>
      </c>
      <c r="P274" s="10">
        <f t="shared" si="2"/>
        <v>51889948</v>
      </c>
      <c r="Q274" s="12">
        <f t="shared" si="3"/>
        <v>0</v>
      </c>
      <c r="R274" s="26">
        <v>2006.0</v>
      </c>
      <c r="S274" s="26">
        <v>7.9</v>
      </c>
    </row>
    <row r="275" ht="15.75" customHeight="1">
      <c r="A275" s="7" t="s">
        <v>1198</v>
      </c>
      <c r="B275" s="8" t="str">
        <f>IFERROR(__xludf.DUMMYFUNCTION("REGEXREPLACE(A275, ""[^0-9a-zA-Z .'Ã]"","""")"),"Tim Johnson")</f>
        <v>Tim Johnson</v>
      </c>
      <c r="C275" s="9">
        <v>165.0</v>
      </c>
      <c r="D275" s="10">
        <v>1.77343675E8</v>
      </c>
      <c r="E275" s="9" t="s">
        <v>414</v>
      </c>
      <c r="F275" s="9">
        <f t="shared" si="1"/>
        <v>6</v>
      </c>
      <c r="G275" s="9" t="s">
        <v>1199</v>
      </c>
      <c r="H275" s="11" t="str">
        <f>IFERROR(__xludf.DUMMYFUNCTION("REGEXREPLACE(G275, ""[^0-9a-zA-Z .'Ã]"","""")"),"Jim Parsons")</f>
        <v>Jim Parsons</v>
      </c>
      <c r="I275" s="11" t="s">
        <v>1200</v>
      </c>
      <c r="J275" s="9">
        <v>70136.0</v>
      </c>
      <c r="K275" s="9" t="s">
        <v>1201</v>
      </c>
      <c r="L275" s="9">
        <v>214.0</v>
      </c>
      <c r="M275" s="9" t="s">
        <v>24</v>
      </c>
      <c r="N275" s="9" t="s">
        <v>25</v>
      </c>
      <c r="O275" s="10">
        <v>1.35E8</v>
      </c>
      <c r="P275" s="10">
        <f t="shared" si="2"/>
        <v>42343675</v>
      </c>
      <c r="Q275" s="12">
        <f t="shared" si="3"/>
        <v>0</v>
      </c>
      <c r="R275" s="9">
        <v>2015.0</v>
      </c>
      <c r="S275" s="9">
        <v>6.7</v>
      </c>
    </row>
    <row r="276" ht="15.75" customHeight="1">
      <c r="A276" s="17" t="s">
        <v>1202</v>
      </c>
      <c r="B276" s="8" t="str">
        <f>IFERROR(__xludf.DUMMYFUNCTION("REGEXREPLACE(A276, ""[^0-9a-zA-Z .'Ã]"","""")"),"Peter Farrelly")</f>
        <v>Peter Farrelly</v>
      </c>
      <c r="C276" s="18">
        <v>84.0</v>
      </c>
      <c r="D276" s="19">
        <v>1.27175354E8</v>
      </c>
      <c r="E276" s="18" t="s">
        <v>137</v>
      </c>
      <c r="F276" s="9">
        <f t="shared" si="1"/>
        <v>1</v>
      </c>
      <c r="G276" s="18" t="s">
        <v>1203</v>
      </c>
      <c r="H276" s="11" t="str">
        <f>IFERROR(__xludf.DUMMYFUNCTION("REGEXREPLACE(G276, ""[^0-9a-zA-Z .'Ã]"","""")"),"Lauren Holly")</f>
        <v>Lauren Holly</v>
      </c>
      <c r="I276" s="20" t="s">
        <v>1204</v>
      </c>
      <c r="J276" s="18">
        <v>288451.0</v>
      </c>
      <c r="K276" s="18" t="s">
        <v>1205</v>
      </c>
      <c r="L276" s="18">
        <v>438.0</v>
      </c>
      <c r="M276" s="18" t="s">
        <v>24</v>
      </c>
      <c r="N276" s="18" t="s">
        <v>25</v>
      </c>
      <c r="O276" s="19">
        <v>1.6E7</v>
      </c>
      <c r="P276" s="10">
        <f t="shared" si="2"/>
        <v>111175354</v>
      </c>
      <c r="Q276" s="12">
        <f t="shared" si="3"/>
        <v>0</v>
      </c>
      <c r="R276" s="18">
        <v>1994.0</v>
      </c>
      <c r="S276" s="18">
        <v>7.3</v>
      </c>
    </row>
    <row r="277" ht="15.75" customHeight="1">
      <c r="A277" s="17" t="s">
        <v>1206</v>
      </c>
      <c r="B277" s="8" t="str">
        <f>IFERROR(__xludf.DUMMYFUNCTION("REGEXREPLACE(A277, ""[^0-9a-zA-Z .'Ã]"","""")"),"Breck Eisner")</f>
        <v>Breck Eisner</v>
      </c>
      <c r="C277" s="18">
        <v>163.0</v>
      </c>
      <c r="D277" s="19">
        <v>6.8642452E7</v>
      </c>
      <c r="E277" s="18" t="s">
        <v>1207</v>
      </c>
      <c r="F277" s="9">
        <f t="shared" si="1"/>
        <v>4</v>
      </c>
      <c r="G277" s="18" t="s">
        <v>80</v>
      </c>
      <c r="H277" s="11" t="str">
        <f>IFERROR(__xludf.DUMMYFUNCTION("REGEXREPLACE(G277, ""[^0-9a-zA-Z .'Ã]"","""")"),"Matthew McConaughey")</f>
        <v>Matthew McConaughey</v>
      </c>
      <c r="I277" s="20" t="s">
        <v>1208</v>
      </c>
      <c r="J277" s="18">
        <v>77673.0</v>
      </c>
      <c r="K277" s="18" t="s">
        <v>1209</v>
      </c>
      <c r="L277" s="18">
        <v>463.0</v>
      </c>
      <c r="M277" s="18" t="s">
        <v>24</v>
      </c>
      <c r="N277" s="18" t="s">
        <v>130</v>
      </c>
      <c r="O277" s="19">
        <v>1.3E8</v>
      </c>
      <c r="P277" s="10">
        <f t="shared" si="2"/>
        <v>0</v>
      </c>
      <c r="Q277" s="12">
        <f t="shared" si="3"/>
        <v>61357548</v>
      </c>
      <c r="R277" s="18">
        <v>2005.0</v>
      </c>
      <c r="S277" s="18">
        <v>6.0</v>
      </c>
    </row>
    <row r="278" ht="15.75" customHeight="1">
      <c r="A278" s="7" t="s">
        <v>1210</v>
      </c>
      <c r="B278" s="8" t="str">
        <f>IFERROR(__xludf.DUMMYFUNCTION("REGEXREPLACE(A278, ""[^0-9a-zA-Z .'Ã]"","""")"),"Josh Schwartz")</f>
        <v>Josh Schwartz</v>
      </c>
      <c r="C278" s="9">
        <v>77.0</v>
      </c>
      <c r="D278" s="10">
        <v>9402410.0</v>
      </c>
      <c r="E278" s="9" t="s">
        <v>693</v>
      </c>
      <c r="F278" s="9">
        <f t="shared" si="1"/>
        <v>2</v>
      </c>
      <c r="G278" s="9" t="s">
        <v>1211</v>
      </c>
      <c r="H278" s="11" t="str">
        <f>IFERROR(__xludf.DUMMYFUNCTION("REGEXREPLACE(G278, ""[^0-9a-zA-Z .'Ã]"","""")"),"Thomas McDonell")</f>
        <v>Thomas McDonell</v>
      </c>
      <c r="I278" s="11" t="s">
        <v>1212</v>
      </c>
      <c r="J278" s="9">
        <v>11233.0</v>
      </c>
      <c r="K278" s="9" t="s">
        <v>1213</v>
      </c>
      <c r="L278" s="9">
        <v>32.0</v>
      </c>
      <c r="M278" s="9" t="s">
        <v>24</v>
      </c>
      <c r="N278" s="9" t="s">
        <v>25</v>
      </c>
      <c r="O278" s="10">
        <v>1.4E7</v>
      </c>
      <c r="P278" s="10">
        <f t="shared" si="2"/>
        <v>0</v>
      </c>
      <c r="Q278" s="12">
        <f t="shared" si="3"/>
        <v>4597590</v>
      </c>
      <c r="R278" s="9">
        <v>2012.0</v>
      </c>
      <c r="S278" s="9">
        <v>5.4</v>
      </c>
    </row>
    <row r="279" ht="15.75" customHeight="1">
      <c r="A279" s="17" t="s">
        <v>1214</v>
      </c>
      <c r="B279" s="8" t="str">
        <f>IFERROR(__xludf.DUMMYFUNCTION("REGEXREPLACE(A279, ""[^0-9a-zA-Z .'Ã]"","""")"),"Peter Atencio")</f>
        <v>Peter Atencio</v>
      </c>
      <c r="C279" s="18">
        <v>129.0</v>
      </c>
      <c r="D279" s="19">
        <v>2.0566327E7</v>
      </c>
      <c r="E279" s="18" t="s">
        <v>968</v>
      </c>
      <c r="F279" s="9">
        <f t="shared" si="1"/>
        <v>2</v>
      </c>
      <c r="G279" s="18" t="s">
        <v>1215</v>
      </c>
      <c r="H279" s="11" t="str">
        <f>IFERROR(__xludf.DUMMYFUNCTION("REGEXREPLACE(G279, ""[^0-9a-zA-Z .'Ã]"","""")"),"Nia Long")</f>
        <v>Nia Long</v>
      </c>
      <c r="I279" s="20" t="s">
        <v>1216</v>
      </c>
      <c r="J279" s="18">
        <v>15385.0</v>
      </c>
      <c r="K279" s="18" t="s">
        <v>1217</v>
      </c>
      <c r="L279" s="18">
        <v>84.0</v>
      </c>
      <c r="M279" s="18" t="s">
        <v>24</v>
      </c>
      <c r="N279" s="18" t="s">
        <v>25</v>
      </c>
      <c r="O279" s="19">
        <v>1.5E7</v>
      </c>
      <c r="P279" s="10">
        <f t="shared" si="2"/>
        <v>5566327</v>
      </c>
      <c r="Q279" s="12">
        <f t="shared" si="3"/>
        <v>0</v>
      </c>
      <c r="R279" s="18">
        <v>2016.0</v>
      </c>
      <c r="S279" s="18">
        <v>6.4</v>
      </c>
    </row>
    <row r="280" ht="15.75" customHeight="1">
      <c r="A280" s="7" t="s">
        <v>536</v>
      </c>
      <c r="B280" s="8" t="str">
        <f>IFERROR(__xludf.DUMMYFUNCTION("REGEXREPLACE(A280, ""[^0-9a-zA-Z .'Ã]"","""")"),"Robert Zemeckis")</f>
        <v>Robert Zemeckis</v>
      </c>
      <c r="C280" s="9">
        <v>49.0</v>
      </c>
      <c r="D280" s="10">
        <v>5.842265E7</v>
      </c>
      <c r="E280" s="9" t="s">
        <v>1099</v>
      </c>
      <c r="F280" s="9">
        <f t="shared" si="1"/>
        <v>3</v>
      </c>
      <c r="G280" s="9" t="s">
        <v>55</v>
      </c>
      <c r="H280" s="11" t="str">
        <f>IFERROR(__xludf.DUMMYFUNCTION("REGEXREPLACE(G280, ""[^0-9a-zA-Z .'Ã]"","""")"),"Bruce Willis")</f>
        <v>Bruce Willis</v>
      </c>
      <c r="I280" s="11" t="s">
        <v>1218</v>
      </c>
      <c r="J280" s="9">
        <v>78974.0</v>
      </c>
      <c r="K280" s="9" t="s">
        <v>1219</v>
      </c>
      <c r="L280" s="9">
        <v>173.0</v>
      </c>
      <c r="M280" s="9" t="s">
        <v>24</v>
      </c>
      <c r="N280" s="9" t="s">
        <v>25</v>
      </c>
      <c r="O280" s="10">
        <v>5.5E7</v>
      </c>
      <c r="P280" s="10">
        <f t="shared" si="2"/>
        <v>3422650</v>
      </c>
      <c r="Q280" s="12">
        <f t="shared" si="3"/>
        <v>0</v>
      </c>
      <c r="R280" s="9">
        <v>1992.0</v>
      </c>
      <c r="S280" s="9">
        <v>6.4</v>
      </c>
    </row>
    <row r="281" ht="15.75" customHeight="1">
      <c r="A281" s="7" t="s">
        <v>1220</v>
      </c>
      <c r="B281" s="8" t="str">
        <f>IFERROR(__xludf.DUMMYFUNCTION("REGEXREPLACE(A281, ""[^0-9a-zA-Z .'Ã]"","""")"),"James Foley")</f>
        <v>James Foley</v>
      </c>
      <c r="C281" s="9">
        <v>119.0</v>
      </c>
      <c r="D281" s="10">
        <v>1.2212417E7</v>
      </c>
      <c r="E281" s="9" t="s">
        <v>316</v>
      </c>
      <c r="F281" s="9">
        <f t="shared" si="1"/>
        <v>2</v>
      </c>
      <c r="G281" s="9" t="s">
        <v>1221</v>
      </c>
      <c r="H281" s="11" t="str">
        <f>IFERROR(__xludf.DUMMYFUNCTION("REGEXREPLACE(G281, ""[^0-9a-zA-Z .'Ã]"","""")"),"Louis Lombardi")</f>
        <v>Louis Lombardi</v>
      </c>
      <c r="I281" s="11" t="s">
        <v>1222</v>
      </c>
      <c r="J281" s="9">
        <v>30643.0</v>
      </c>
      <c r="K281" s="9" t="s">
        <v>1223</v>
      </c>
      <c r="L281" s="9">
        <v>144.0</v>
      </c>
      <c r="M281" s="9" t="s">
        <v>24</v>
      </c>
      <c r="N281" s="9" t="s">
        <v>25</v>
      </c>
      <c r="O281" s="10">
        <v>1.5E7</v>
      </c>
      <c r="P281" s="10">
        <f t="shared" si="2"/>
        <v>0</v>
      </c>
      <c r="Q281" s="12">
        <f t="shared" si="3"/>
        <v>2787583</v>
      </c>
      <c r="R281" s="9">
        <v>2003.0</v>
      </c>
      <c r="S281" s="9">
        <v>6.7</v>
      </c>
    </row>
    <row r="282" ht="15.75" customHeight="1">
      <c r="A282" s="21" t="s">
        <v>1224</v>
      </c>
      <c r="B282" s="8" t="str">
        <f>IFERROR(__xludf.DUMMYFUNCTION("REGEXREPLACE(A282, ""[^0-9a-zA-Z .'Ã]"","""")"),"Norman Jewison")</f>
        <v>Norman Jewison</v>
      </c>
      <c r="C282" s="22">
        <v>15.0</v>
      </c>
      <c r="D282" s="23">
        <v>4357000.0</v>
      </c>
      <c r="E282" s="22" t="s">
        <v>514</v>
      </c>
      <c r="F282" s="9">
        <f t="shared" si="1"/>
        <v>3</v>
      </c>
      <c r="G282" s="22" t="s">
        <v>1225</v>
      </c>
      <c r="H282" s="11" t="str">
        <f>IFERROR(__xludf.DUMMYFUNCTION("REGEXREPLACE(G282, ""[^0-9a-zA-Z .'Ã]"","""")"),"Haley Joel Osment")</f>
        <v>Haley Joel Osment</v>
      </c>
      <c r="I282" s="24" t="s">
        <v>1226</v>
      </c>
      <c r="J282" s="22">
        <v>5176.0</v>
      </c>
      <c r="K282" s="22" t="s">
        <v>1227</v>
      </c>
      <c r="L282" s="22">
        <v>30.0</v>
      </c>
      <c r="M282" s="22" t="s">
        <v>24</v>
      </c>
      <c r="N282" s="22" t="s">
        <v>25</v>
      </c>
      <c r="O282" s="23">
        <v>3.0E7</v>
      </c>
      <c r="P282" s="10">
        <f t="shared" si="2"/>
        <v>0</v>
      </c>
      <c r="Q282" s="12">
        <f t="shared" si="3"/>
        <v>25643000</v>
      </c>
      <c r="R282" s="22">
        <v>1996.0</v>
      </c>
      <c r="S282" s="22">
        <v>5.3</v>
      </c>
    </row>
    <row r="283" ht="15.75" customHeight="1">
      <c r="A283" s="29" t="s">
        <v>305</v>
      </c>
      <c r="B283" s="8" t="str">
        <f>IFERROR(__xludf.DUMMYFUNCTION("REGEXREPLACE(A283, ""[^0-9a-zA-Z .'Ã]"","""")"),"M. Night Shyamalan")</f>
        <v>M. Night Shyamalan</v>
      </c>
      <c r="C283" s="30">
        <v>234.0</v>
      </c>
      <c r="D283" s="31">
        <v>2.93501675E8</v>
      </c>
      <c r="E283" s="30" t="s">
        <v>311</v>
      </c>
      <c r="F283" s="9">
        <f t="shared" si="1"/>
        <v>3</v>
      </c>
      <c r="G283" s="30" t="s">
        <v>55</v>
      </c>
      <c r="H283" s="11" t="str">
        <f>IFERROR(__xludf.DUMMYFUNCTION("REGEXREPLACE(G283, ""[^0-9a-zA-Z .'Ã]"","""")"),"Bruce Willis")</f>
        <v>Bruce Willis</v>
      </c>
      <c r="I283" s="32" t="s">
        <v>1228</v>
      </c>
      <c r="J283" s="30">
        <v>704766.0</v>
      </c>
      <c r="K283" s="30" t="s">
        <v>1229</v>
      </c>
      <c r="L283" s="30">
        <v>2073.0</v>
      </c>
      <c r="M283" s="30" t="s">
        <v>24</v>
      </c>
      <c r="N283" s="30" t="s">
        <v>25</v>
      </c>
      <c r="O283" s="31">
        <v>4.0E7</v>
      </c>
      <c r="P283" s="10">
        <f t="shared" si="2"/>
        <v>253501675</v>
      </c>
      <c r="Q283" s="12">
        <f t="shared" si="3"/>
        <v>0</v>
      </c>
      <c r="R283" s="30">
        <v>1999.0</v>
      </c>
      <c r="S283" s="30">
        <v>8.1</v>
      </c>
    </row>
    <row r="284" ht="15.75" customHeight="1">
      <c r="A284" s="7" t="s">
        <v>1230</v>
      </c>
      <c r="B284" s="8" t="str">
        <f>IFERROR(__xludf.DUMMYFUNCTION("REGEXREPLACE(A284, ""[^0-9a-zA-Z .'Ã]"","""")"),"Rand Ravich")</f>
        <v>Rand Ravich</v>
      </c>
      <c r="C284" s="9">
        <v>107.0</v>
      </c>
      <c r="D284" s="10">
        <v>1.0654581E7</v>
      </c>
      <c r="E284" s="9" t="s">
        <v>1231</v>
      </c>
      <c r="F284" s="9">
        <f t="shared" si="1"/>
        <v>3</v>
      </c>
      <c r="G284" s="9" t="s">
        <v>85</v>
      </c>
      <c r="H284" s="11" t="str">
        <f>IFERROR(__xludf.DUMMYFUNCTION("REGEXREPLACE(G284, ""[^0-9a-zA-Z .'Ã]"","""")"),"Johnny Depp")</f>
        <v>Johnny Depp</v>
      </c>
      <c r="I284" s="11" t="s">
        <v>1232</v>
      </c>
      <c r="J284" s="9">
        <v>45497.0</v>
      </c>
      <c r="K284" s="9" t="s">
        <v>1233</v>
      </c>
      <c r="L284" s="9">
        <v>260.0</v>
      </c>
      <c r="M284" s="9" t="s">
        <v>24</v>
      </c>
      <c r="N284" s="9" t="s">
        <v>25</v>
      </c>
      <c r="O284" s="10">
        <v>3.4E7</v>
      </c>
      <c r="P284" s="10">
        <f t="shared" si="2"/>
        <v>0</v>
      </c>
      <c r="Q284" s="12">
        <f t="shared" si="3"/>
        <v>23345419</v>
      </c>
      <c r="R284" s="9">
        <v>1999.0</v>
      </c>
      <c r="S284" s="9">
        <v>5.3</v>
      </c>
    </row>
    <row r="285" ht="15.75" customHeight="1">
      <c r="A285" s="17" t="s">
        <v>1234</v>
      </c>
      <c r="B285" s="8" t="str">
        <f>IFERROR(__xludf.DUMMYFUNCTION("REGEXREPLACE(A285, ""[^0-9a-zA-Z .'Ã]"","""")"),"Tom Holland")</f>
        <v>Tom Holland</v>
      </c>
      <c r="C285" s="18">
        <v>142.0</v>
      </c>
      <c r="D285" s="19">
        <v>3.3244684E7</v>
      </c>
      <c r="E285" s="18" t="s">
        <v>1235</v>
      </c>
      <c r="F285" s="9">
        <f t="shared" si="1"/>
        <v>2</v>
      </c>
      <c r="G285" s="18" t="s">
        <v>1236</v>
      </c>
      <c r="H285" s="11" t="str">
        <f>IFERROR(__xludf.DUMMYFUNCTION("REGEXREPLACE(G285, ""[^0-9a-zA-Z .'Ã]"","""")"),"Catherine Hicks")</f>
        <v>Catherine Hicks</v>
      </c>
      <c r="I285" s="20" t="s">
        <v>1237</v>
      </c>
      <c r="J285" s="18">
        <v>62038.0</v>
      </c>
      <c r="K285" s="18" t="s">
        <v>1238</v>
      </c>
      <c r="L285" s="18">
        <v>281.0</v>
      </c>
      <c r="M285" s="18" t="s">
        <v>24</v>
      </c>
      <c r="N285" s="18" t="s">
        <v>25</v>
      </c>
      <c r="O285" s="19">
        <v>9000000.0</v>
      </c>
      <c r="P285" s="10">
        <f t="shared" si="2"/>
        <v>24244684</v>
      </c>
      <c r="Q285" s="12">
        <f t="shared" si="3"/>
        <v>0</v>
      </c>
      <c r="R285" s="18">
        <v>1988.0</v>
      </c>
      <c r="S285" s="18">
        <v>6.5</v>
      </c>
    </row>
    <row r="286" ht="15.75" customHeight="1">
      <c r="A286" s="7" t="s">
        <v>583</v>
      </c>
      <c r="B286" s="8" t="str">
        <f>IFERROR(__xludf.DUMMYFUNCTION("REGEXREPLACE(A286, ""[^0-9a-zA-Z .'Ã]"","""")"),"Gus Van Sant")</f>
        <v>Gus Van Sant</v>
      </c>
      <c r="C286" s="9">
        <v>137.0</v>
      </c>
      <c r="D286" s="10">
        <v>5.1768623E7</v>
      </c>
      <c r="E286" s="9" t="s">
        <v>103</v>
      </c>
      <c r="F286" s="9">
        <f t="shared" si="1"/>
        <v>1</v>
      </c>
      <c r="G286" s="9" t="s">
        <v>1239</v>
      </c>
      <c r="H286" s="11" t="str">
        <f>IFERROR(__xludf.DUMMYFUNCTION("REGEXREPLACE(G286, ""[^0-9a-zA-Z .'Ã]"","""")"),"F. Murray Abraham")</f>
        <v>F. Murray Abraham</v>
      </c>
      <c r="I286" s="11" t="s">
        <v>1240</v>
      </c>
      <c r="J286" s="9">
        <v>73006.0</v>
      </c>
      <c r="K286" s="9" t="s">
        <v>1241</v>
      </c>
      <c r="L286" s="9">
        <v>297.0</v>
      </c>
      <c r="M286" s="9" t="s">
        <v>24</v>
      </c>
      <c r="N286" s="9" t="s">
        <v>25</v>
      </c>
      <c r="O286" s="10">
        <v>4.3E7</v>
      </c>
      <c r="P286" s="10">
        <f t="shared" si="2"/>
        <v>8768623</v>
      </c>
      <c r="Q286" s="12">
        <f t="shared" si="3"/>
        <v>0</v>
      </c>
      <c r="R286" s="9">
        <v>2000.0</v>
      </c>
      <c r="S286" s="9">
        <v>7.3</v>
      </c>
    </row>
    <row r="287" ht="15.75" customHeight="1">
      <c r="A287" s="21" t="s">
        <v>1242</v>
      </c>
      <c r="B287" s="8" t="str">
        <f>IFERROR(__xludf.DUMMYFUNCTION("REGEXREPLACE(A287, ""[^0-9a-zA-Z -.'Ã]"","""")"),"Charles Herman-Wurmfeld")</f>
        <v>Charles Herman-Wurmfeld</v>
      </c>
      <c r="C287" s="22">
        <v>73.0</v>
      </c>
      <c r="D287" s="23">
        <v>442638.0</v>
      </c>
      <c r="E287" s="22" t="s">
        <v>829</v>
      </c>
      <c r="F287" s="9">
        <f t="shared" si="1"/>
        <v>3</v>
      </c>
      <c r="G287" s="22" t="s">
        <v>1243</v>
      </c>
      <c r="H287" s="11" t="str">
        <f>IFERROR(__xludf.DUMMYFUNCTION("REGEXREPLACE(G287, ""[^0-9a-zA-Z .'Ã]"","""")"),"John Enos III")</f>
        <v>John Enos III</v>
      </c>
      <c r="I287" s="24" t="s">
        <v>1244</v>
      </c>
      <c r="J287" s="22">
        <v>5489.0</v>
      </c>
      <c r="K287" s="22" t="s">
        <v>1245</v>
      </c>
      <c r="L287" s="22">
        <v>23.0</v>
      </c>
      <c r="M287" s="22" t="s">
        <v>24</v>
      </c>
      <c r="N287" s="22" t="s">
        <v>25</v>
      </c>
      <c r="O287" s="23">
        <v>850000.0</v>
      </c>
      <c r="P287" s="10">
        <f t="shared" si="2"/>
        <v>0</v>
      </c>
      <c r="Q287" s="12">
        <f t="shared" si="3"/>
        <v>407362</v>
      </c>
      <c r="R287" s="22">
        <v>2007.0</v>
      </c>
      <c r="S287" s="22">
        <v>7.3</v>
      </c>
    </row>
    <row r="288" ht="15.75" customHeight="1">
      <c r="A288" s="13" t="s">
        <v>529</v>
      </c>
      <c r="B288" s="8" t="str">
        <f>IFERROR(__xludf.DUMMYFUNCTION("REGEXREPLACE(A288, ""[^0-9a-zA-Z .'Ã]"","""")"),"Joel Schumacher")</f>
        <v>Joel Schumacher</v>
      </c>
      <c r="C288" s="14">
        <v>183.0</v>
      </c>
      <c r="D288" s="15">
        <v>1.07285004E8</v>
      </c>
      <c r="E288" s="14" t="s">
        <v>180</v>
      </c>
      <c r="F288" s="9">
        <f t="shared" si="1"/>
        <v>1</v>
      </c>
      <c r="G288" s="14" t="s">
        <v>181</v>
      </c>
      <c r="H288" s="11" t="str">
        <f>IFERROR(__xludf.DUMMYFUNCTION("REGEXREPLACE(G288, ""[^0-9a-zA-Z .'Ã]"","""")"),"Michael Gough")</f>
        <v>Michael Gough</v>
      </c>
      <c r="I288" s="16" t="s">
        <v>1246</v>
      </c>
      <c r="J288" s="14">
        <v>189855.0</v>
      </c>
      <c r="K288" s="14" t="s">
        <v>1247</v>
      </c>
      <c r="L288" s="14">
        <v>1018.0</v>
      </c>
      <c r="M288" s="14" t="s">
        <v>24</v>
      </c>
      <c r="N288" s="14" t="s">
        <v>25</v>
      </c>
      <c r="O288" s="15">
        <v>1.25E8</v>
      </c>
      <c r="P288" s="10">
        <f t="shared" si="2"/>
        <v>0</v>
      </c>
      <c r="Q288" s="12">
        <f t="shared" si="3"/>
        <v>17714996</v>
      </c>
      <c r="R288" s="14">
        <v>1997.0</v>
      </c>
      <c r="S288" s="14">
        <v>3.7</v>
      </c>
    </row>
    <row r="289" ht="15.75" customHeight="1">
      <c r="A289" s="13" t="s">
        <v>1248</v>
      </c>
      <c r="B289" s="8" t="str">
        <f>IFERROR(__xludf.DUMMYFUNCTION("REGEXREPLACE(A289, ""[^0-9a-zA-Z .'Ã]"","""")"),"Paul Weitz")</f>
        <v>Paul Weitz</v>
      </c>
      <c r="C289" s="14">
        <v>157.0</v>
      </c>
      <c r="D289" s="15">
        <v>4.5489752E7</v>
      </c>
      <c r="E289" s="14" t="s">
        <v>159</v>
      </c>
      <c r="F289" s="9">
        <f t="shared" si="1"/>
        <v>3</v>
      </c>
      <c r="G289" s="14" t="s">
        <v>436</v>
      </c>
      <c r="H289" s="11" t="str">
        <f>IFERROR(__xludf.DUMMYFUNCTION("REGEXREPLACE(G289, ""[^0-9a-zA-Z .'Ã]"","""")"),"Scarlett Johansson")</f>
        <v>Scarlett Johansson</v>
      </c>
      <c r="I289" s="16" t="s">
        <v>1249</v>
      </c>
      <c r="J289" s="14">
        <v>48973.0</v>
      </c>
      <c r="K289" s="14" t="s">
        <v>1250</v>
      </c>
      <c r="L289" s="14">
        <v>214.0</v>
      </c>
      <c r="M289" s="14" t="s">
        <v>24</v>
      </c>
      <c r="N289" s="14" t="s">
        <v>25</v>
      </c>
      <c r="O289" s="15">
        <v>2.6E7</v>
      </c>
      <c r="P289" s="10">
        <f t="shared" si="2"/>
        <v>19489752</v>
      </c>
      <c r="Q289" s="12">
        <f t="shared" si="3"/>
        <v>0</v>
      </c>
      <c r="R289" s="14">
        <v>2004.0</v>
      </c>
      <c r="S289" s="14">
        <v>6.5</v>
      </c>
    </row>
    <row r="290" ht="15.75" customHeight="1">
      <c r="A290" s="25" t="s">
        <v>1251</v>
      </c>
      <c r="B290" s="8" t="str">
        <f>IFERROR(__xludf.DUMMYFUNCTION("REGEXREPLACE(A290, ""[^0-9a-zA-Z .'Ã]"","""")"),"Chris Weitz")</f>
        <v>Chris Weitz</v>
      </c>
      <c r="C290" s="26">
        <v>251.0</v>
      </c>
      <c r="D290" s="27">
        <v>7.0083519E7</v>
      </c>
      <c r="E290" s="26" t="s">
        <v>1252</v>
      </c>
      <c r="F290" s="9">
        <f t="shared" si="1"/>
        <v>3</v>
      </c>
      <c r="G290" s="26" t="s">
        <v>1030</v>
      </c>
      <c r="H290" s="11" t="str">
        <f>IFERROR(__xludf.DUMMYFUNCTION("REGEXREPLACE(G290, ""[^0-9a-zA-Z .'Ã]"","""")"),"Christopher Lee")</f>
        <v>Christopher Lee</v>
      </c>
      <c r="I290" s="28" t="s">
        <v>1253</v>
      </c>
      <c r="J290" s="26">
        <v>149019.0</v>
      </c>
      <c r="K290" s="26" t="s">
        <v>1254</v>
      </c>
      <c r="L290" s="26">
        <v>666.0</v>
      </c>
      <c r="M290" s="26" t="s">
        <v>24</v>
      </c>
      <c r="N290" s="26" t="s">
        <v>25</v>
      </c>
      <c r="O290" s="27">
        <v>1.8E8</v>
      </c>
      <c r="P290" s="10">
        <f t="shared" si="2"/>
        <v>0</v>
      </c>
      <c r="Q290" s="12">
        <f t="shared" si="3"/>
        <v>109916481</v>
      </c>
      <c r="R290" s="26">
        <v>2007.0</v>
      </c>
      <c r="S290" s="26">
        <v>6.1</v>
      </c>
    </row>
    <row r="291" ht="15.75" customHeight="1">
      <c r="A291" s="7" t="s">
        <v>1255</v>
      </c>
      <c r="B291" s="8" t="str">
        <f>IFERROR(__xludf.DUMMYFUNCTION("REGEXREPLACE(A291, ""[^0-9a-zA-Z .'Ã]"","""")"),"Rich Cowan")</f>
        <v>Rich Cowan</v>
      </c>
      <c r="C291" s="9">
        <v>14.0</v>
      </c>
      <c r="D291" s="10">
        <v>609042.0</v>
      </c>
      <c r="E291" s="9" t="s">
        <v>103</v>
      </c>
      <c r="F291" s="9">
        <f t="shared" si="1"/>
        <v>1</v>
      </c>
      <c r="G291" s="9" t="s">
        <v>332</v>
      </c>
      <c r="H291" s="11" t="str">
        <f>IFERROR(__xludf.DUMMYFUNCTION("REGEXREPLACE(G291, ""[^0-9a-zA-Z .'Ã]"","""")"),"Eric Dane")</f>
        <v>Eric Dane</v>
      </c>
      <c r="I291" s="11" t="s">
        <v>1256</v>
      </c>
      <c r="J291" s="9">
        <v>449.0</v>
      </c>
      <c r="K291" s="9" t="s">
        <v>1257</v>
      </c>
      <c r="L291" s="9">
        <v>38.0</v>
      </c>
      <c r="M291" s="9" t="s">
        <v>24</v>
      </c>
      <c r="N291" s="9" t="s">
        <v>25</v>
      </c>
      <c r="O291" s="10">
        <v>1300000.0</v>
      </c>
      <c r="P291" s="10">
        <f t="shared" si="2"/>
        <v>0</v>
      </c>
      <c r="Q291" s="12">
        <f t="shared" si="3"/>
        <v>690958</v>
      </c>
      <c r="R291" s="9">
        <v>1999.0</v>
      </c>
      <c r="S291" s="9">
        <v>6.5</v>
      </c>
    </row>
    <row r="292" ht="15.75" customHeight="1">
      <c r="A292" s="7" t="s">
        <v>1258</v>
      </c>
      <c r="B292" s="8" t="str">
        <f>IFERROR(__xludf.DUMMYFUNCTION("REGEXREPLACE(A292, ""[^0-9a-zA-Z .'Ã]"","""")"),"Craig R. Baxley")</f>
        <v>Craig R. Baxley</v>
      </c>
      <c r="C292" s="9">
        <v>35.0</v>
      </c>
      <c r="D292" s="10">
        <v>2.0257E7</v>
      </c>
      <c r="E292" s="9" t="s">
        <v>790</v>
      </c>
      <c r="F292" s="9">
        <f t="shared" si="1"/>
        <v>4</v>
      </c>
      <c r="G292" s="9" t="s">
        <v>502</v>
      </c>
      <c r="H292" s="11" t="str">
        <f>IFERROR(__xludf.DUMMYFUNCTION("REGEXREPLACE(G292, ""[^0-9a-zA-Z .'Ã]"","""")"),"Bill Duke")</f>
        <v>Bill Duke</v>
      </c>
      <c r="I292" s="11" t="s">
        <v>1259</v>
      </c>
      <c r="J292" s="9">
        <v>7569.0</v>
      </c>
      <c r="K292" s="9" t="s">
        <v>1260</v>
      </c>
      <c r="L292" s="9">
        <v>65.0</v>
      </c>
      <c r="M292" s="9" t="s">
        <v>24</v>
      </c>
      <c r="N292" s="9" t="s">
        <v>25</v>
      </c>
      <c r="O292" s="10">
        <v>7000000.0</v>
      </c>
      <c r="P292" s="10">
        <f t="shared" si="2"/>
        <v>13257000</v>
      </c>
      <c r="Q292" s="12">
        <f t="shared" si="3"/>
        <v>0</v>
      </c>
      <c r="R292" s="9">
        <v>1988.0</v>
      </c>
      <c r="S292" s="9">
        <v>5.2</v>
      </c>
    </row>
    <row r="293" ht="15.75" customHeight="1">
      <c r="A293" s="7" t="s">
        <v>1261</v>
      </c>
      <c r="B293" s="8" t="str">
        <f>IFERROR(__xludf.DUMMYFUNCTION("REGEXREPLACE(A293, ""[^0-9a-zA-Z .'Ã]"","""")"),"Dan Rush")</f>
        <v>Dan Rush</v>
      </c>
      <c r="C293" s="9">
        <v>155.0</v>
      </c>
      <c r="D293" s="10">
        <v>2711210.0</v>
      </c>
      <c r="E293" s="9" t="s">
        <v>454</v>
      </c>
      <c r="F293" s="9">
        <f t="shared" si="1"/>
        <v>2</v>
      </c>
      <c r="G293" s="9" t="s">
        <v>441</v>
      </c>
      <c r="H293" s="11" t="str">
        <f>IFERROR(__xludf.DUMMYFUNCTION("REGEXREPLACE(G293, ""[^0-9a-zA-Z .'Ã]"","""")"),"Will Ferrell")</f>
        <v>Will Ferrell</v>
      </c>
      <c r="I293" s="11" t="s">
        <v>1262</v>
      </c>
      <c r="J293" s="9">
        <v>40305.0</v>
      </c>
      <c r="K293" s="9" t="s">
        <v>1263</v>
      </c>
      <c r="L293" s="9">
        <v>86.0</v>
      </c>
      <c r="M293" s="9" t="s">
        <v>24</v>
      </c>
      <c r="N293" s="9" t="s">
        <v>25</v>
      </c>
      <c r="O293" s="10">
        <v>5000000.0</v>
      </c>
      <c r="P293" s="10">
        <f t="shared" si="2"/>
        <v>0</v>
      </c>
      <c r="Q293" s="12">
        <f t="shared" si="3"/>
        <v>2288790</v>
      </c>
      <c r="R293" s="9">
        <v>2010.0</v>
      </c>
      <c r="S293" s="9">
        <v>6.4</v>
      </c>
    </row>
    <row r="294" ht="15.75" customHeight="1">
      <c r="A294" s="21" t="s">
        <v>1264</v>
      </c>
      <c r="B294" s="8" t="str">
        <f>IFERROR(__xludf.DUMMYFUNCTION("REGEXREPLACE(A294, ""[^0-9a-zA-Z .'Ã]"","""")"),"Russell Mulcahy")</f>
        <v>Russell Mulcahy</v>
      </c>
      <c r="C294" s="22">
        <v>70.0</v>
      </c>
      <c r="D294" s="23">
        <v>3.2055248E7</v>
      </c>
      <c r="E294" s="22" t="s">
        <v>1265</v>
      </c>
      <c r="F294" s="9">
        <f t="shared" si="1"/>
        <v>6</v>
      </c>
      <c r="G294" s="22" t="s">
        <v>1266</v>
      </c>
      <c r="H294" s="11" t="str">
        <f>IFERROR(__xludf.DUMMYFUNCTION("REGEXREPLACE(G294, ""[^0-9a-zA-Z .'Ã]"","""")"),"Jonathan Winters")</f>
        <v>Jonathan Winters</v>
      </c>
      <c r="I294" s="24" t="s">
        <v>1267</v>
      </c>
      <c r="J294" s="22">
        <v>18723.0</v>
      </c>
      <c r="K294" s="22" t="s">
        <v>1268</v>
      </c>
      <c r="L294" s="22">
        <v>146.0</v>
      </c>
      <c r="M294" s="22" t="s">
        <v>24</v>
      </c>
      <c r="N294" s="22" t="s">
        <v>25</v>
      </c>
      <c r="O294" s="23">
        <v>2.5E7</v>
      </c>
      <c r="P294" s="10">
        <f t="shared" si="2"/>
        <v>7055248</v>
      </c>
      <c r="Q294" s="12">
        <f t="shared" si="3"/>
        <v>0</v>
      </c>
      <c r="R294" s="22">
        <v>1994.0</v>
      </c>
      <c r="S294" s="22">
        <v>6.0</v>
      </c>
    </row>
    <row r="295" ht="15.75" customHeight="1">
      <c r="A295" s="25" t="s">
        <v>1269</v>
      </c>
      <c r="B295" s="8" t="str">
        <f>IFERROR(__xludf.DUMMYFUNCTION("REGEXREPLACE(A295, ""[^0-9a-zA-Z .'Ã]"","""")"),"Daniel Algrant")</f>
        <v>Daniel Algrant</v>
      </c>
      <c r="C295" s="26">
        <v>42.0</v>
      </c>
      <c r="D295" s="27">
        <v>121972.0</v>
      </c>
      <c r="E295" s="26" t="s">
        <v>1270</v>
      </c>
      <c r="F295" s="9">
        <f t="shared" si="1"/>
        <v>3</v>
      </c>
      <c r="G295" s="26" t="s">
        <v>317</v>
      </c>
      <c r="H295" s="11" t="str">
        <f>IFERROR(__xludf.DUMMYFUNCTION("REGEXREPLACE(G295, ""[^0-9a-zA-Z .'Ã]"","""")"),"Al Pacino")</f>
        <v>Al Pacino</v>
      </c>
      <c r="I295" s="28" t="s">
        <v>1271</v>
      </c>
      <c r="J295" s="26">
        <v>9868.0</v>
      </c>
      <c r="K295" s="26" t="s">
        <v>1272</v>
      </c>
      <c r="L295" s="26">
        <v>81.0</v>
      </c>
      <c r="M295" s="26" t="s">
        <v>24</v>
      </c>
      <c r="N295" s="26" t="s">
        <v>25</v>
      </c>
      <c r="O295" s="27">
        <v>2.2E7</v>
      </c>
      <c r="P295" s="10">
        <f t="shared" si="2"/>
        <v>0</v>
      </c>
      <c r="Q295" s="12">
        <f t="shared" si="3"/>
        <v>21878028</v>
      </c>
      <c r="R295" s="26">
        <v>2002.0</v>
      </c>
      <c r="S295" s="26">
        <v>5.5</v>
      </c>
    </row>
    <row r="296" ht="15.75" customHeight="1">
      <c r="A296" s="21" t="s">
        <v>1273</v>
      </c>
      <c r="B296" s="8" t="str">
        <f>IFERROR(__xludf.DUMMYFUNCTION("REGEXREPLACE(A296, ""[^0-9a-zA-Z .'Ã]"","""")"),"Cody Cameron")</f>
        <v>Cody Cameron</v>
      </c>
      <c r="C296" s="22">
        <v>169.0</v>
      </c>
      <c r="D296" s="23">
        <v>1.19793567E8</v>
      </c>
      <c r="E296" s="22" t="s">
        <v>1274</v>
      </c>
      <c r="F296" s="9">
        <f t="shared" si="1"/>
        <v>5</v>
      </c>
      <c r="G296" s="22" t="s">
        <v>1275</v>
      </c>
      <c r="H296" s="11" t="str">
        <f>IFERROR(__xludf.DUMMYFUNCTION("REGEXREPLACE(G296, ""[^0-9a-zA-Z .'Ã]"","""")"),"Will Forte")</f>
        <v>Will Forte</v>
      </c>
      <c r="I296" s="24" t="s">
        <v>1276</v>
      </c>
      <c r="J296" s="22">
        <v>64387.0</v>
      </c>
      <c r="K296" s="22" t="s">
        <v>1277</v>
      </c>
      <c r="L296" s="22">
        <v>85.0</v>
      </c>
      <c r="M296" s="22" t="s">
        <v>24</v>
      </c>
      <c r="N296" s="22" t="s">
        <v>25</v>
      </c>
      <c r="O296" s="23">
        <v>7.8E7</v>
      </c>
      <c r="P296" s="10">
        <f t="shared" si="2"/>
        <v>41793567</v>
      </c>
      <c r="Q296" s="12">
        <f t="shared" si="3"/>
        <v>0</v>
      </c>
      <c r="R296" s="22">
        <v>2013.0</v>
      </c>
      <c r="S296" s="22">
        <v>6.5</v>
      </c>
    </row>
    <row r="297" ht="15.75" customHeight="1">
      <c r="A297" s="25" t="s">
        <v>1278</v>
      </c>
      <c r="B297" s="8" t="str">
        <f>IFERROR(__xludf.DUMMYFUNCTION("REGEXREPLACE(A297, ""[^0-9a-zA-Z .'Ã]"","""")"),"Guy Hamilton")</f>
        <v>Guy Hamilton</v>
      </c>
      <c r="C297" s="26">
        <v>120.0</v>
      </c>
      <c r="D297" s="27">
        <v>4.38E7</v>
      </c>
      <c r="E297" s="26" t="s">
        <v>474</v>
      </c>
      <c r="F297" s="9">
        <f t="shared" si="1"/>
        <v>3</v>
      </c>
      <c r="G297" s="26" t="s">
        <v>1279</v>
      </c>
      <c r="H297" s="11" t="str">
        <f>IFERROR(__xludf.DUMMYFUNCTION("REGEXREPLACE(G297, ""[^0-9a-zA-Z .'Ã]"","""")"),"Desmond Llewelyn")</f>
        <v>Desmond Llewelyn</v>
      </c>
      <c r="I297" s="28" t="s">
        <v>1280</v>
      </c>
      <c r="J297" s="26">
        <v>74249.0</v>
      </c>
      <c r="K297" s="26" t="s">
        <v>1281</v>
      </c>
      <c r="L297" s="26">
        <v>276.0</v>
      </c>
      <c r="M297" s="26" t="s">
        <v>24</v>
      </c>
      <c r="N297" s="26" t="s">
        <v>130</v>
      </c>
      <c r="O297" s="27">
        <v>7200000.0</v>
      </c>
      <c r="P297" s="10">
        <f t="shared" si="2"/>
        <v>36600000</v>
      </c>
      <c r="Q297" s="12">
        <f t="shared" si="3"/>
        <v>0</v>
      </c>
      <c r="R297" s="26">
        <v>1971.0</v>
      </c>
      <c r="S297" s="26">
        <v>6.7</v>
      </c>
    </row>
    <row r="298" ht="15.75" customHeight="1">
      <c r="A298" s="17" t="s">
        <v>1282</v>
      </c>
      <c r="B298" s="8" t="str">
        <f>IFERROR(__xludf.DUMMYFUNCTION("REGEXREPLACE(A298, ""[^0-9a-zA-Z .'Ã]"","""")"),"George Lucas")</f>
        <v>George Lucas</v>
      </c>
      <c r="C298" s="18">
        <v>282.0</v>
      </c>
      <c r="D298" s="19">
        <v>4.60935665E8</v>
      </c>
      <c r="E298" s="18" t="s">
        <v>1283</v>
      </c>
      <c r="F298" s="9">
        <f t="shared" si="1"/>
        <v>4</v>
      </c>
      <c r="G298" s="18" t="s">
        <v>637</v>
      </c>
      <c r="H298" s="11" t="str">
        <f>IFERROR(__xludf.DUMMYFUNCTION("REGEXREPLACE(G298, ""[^0-9a-zA-Z .'Ã]"","""")"),"Harrison Ford")</f>
        <v>Harrison Ford</v>
      </c>
      <c r="I298" s="20" t="s">
        <v>1284</v>
      </c>
      <c r="J298" s="18">
        <v>911097.0</v>
      </c>
      <c r="K298" s="18" t="s">
        <v>1285</v>
      </c>
      <c r="L298" s="18">
        <v>1470.0</v>
      </c>
      <c r="M298" s="18" t="s">
        <v>24</v>
      </c>
      <c r="N298" s="18" t="s">
        <v>25</v>
      </c>
      <c r="O298" s="19">
        <v>1.1E7</v>
      </c>
      <c r="P298" s="10">
        <f t="shared" si="2"/>
        <v>449935665</v>
      </c>
      <c r="Q298" s="12">
        <f t="shared" si="3"/>
        <v>0</v>
      </c>
      <c r="R298" s="18">
        <v>1977.0</v>
      </c>
      <c r="S298" s="18">
        <v>8.7</v>
      </c>
    </row>
    <row r="299" ht="15.75" customHeight="1">
      <c r="A299" s="21" t="s">
        <v>444</v>
      </c>
      <c r="B299" s="8" t="str">
        <f>IFERROR(__xludf.DUMMYFUNCTION("REGEXREPLACE(A299, ""[^0-9a-zA-Z .'Ã]"","""")"),"Michael Winterbottom")</f>
        <v>Michael Winterbottom</v>
      </c>
      <c r="C299" s="22">
        <v>122.0</v>
      </c>
      <c r="D299" s="23">
        <v>1247453.0</v>
      </c>
      <c r="E299" s="22" t="s">
        <v>454</v>
      </c>
      <c r="F299" s="9">
        <f t="shared" si="1"/>
        <v>2</v>
      </c>
      <c r="G299" s="22" t="s">
        <v>322</v>
      </c>
      <c r="H299" s="11" t="str">
        <f>IFERROR(__xludf.DUMMYFUNCTION("REGEXREPLACE(G299, ""[^0-9a-zA-Z .'Ã]"","""")"),"Steve Coogan")</f>
        <v>Steve Coogan</v>
      </c>
      <c r="I299" s="24" t="s">
        <v>1286</v>
      </c>
      <c r="J299" s="22">
        <v>11202.0</v>
      </c>
      <c r="K299" s="22" t="s">
        <v>1287</v>
      </c>
      <c r="L299" s="22">
        <v>123.0</v>
      </c>
      <c r="M299" s="22" t="s">
        <v>24</v>
      </c>
      <c r="N299" s="22" t="s">
        <v>130</v>
      </c>
      <c r="O299" s="23">
        <v>2800000.0</v>
      </c>
      <c r="P299" s="10">
        <f t="shared" si="2"/>
        <v>0</v>
      </c>
      <c r="Q299" s="12">
        <f t="shared" si="3"/>
        <v>1552547</v>
      </c>
      <c r="R299" s="22">
        <v>2005.0</v>
      </c>
      <c r="S299" s="22">
        <v>6.8</v>
      </c>
    </row>
    <row r="300" ht="15.75" customHeight="1">
      <c r="A300" s="13" t="s">
        <v>277</v>
      </c>
      <c r="B300" s="8" t="str">
        <f>IFERROR(__xludf.DUMMYFUNCTION("REGEXREPLACE(A300, ""[^0-9a-zA-Z .'Ã]"","""")"),"Rob Cohen")</f>
        <v>Rob Cohen</v>
      </c>
      <c r="C300" s="14">
        <v>145.0</v>
      </c>
      <c r="D300" s="15">
        <v>3.1704416E7</v>
      </c>
      <c r="E300" s="14" t="s">
        <v>794</v>
      </c>
      <c r="F300" s="9">
        <f t="shared" si="1"/>
        <v>4</v>
      </c>
      <c r="G300" s="14" t="s">
        <v>1288</v>
      </c>
      <c r="H300" s="11" t="str">
        <f>IFERROR(__xludf.DUMMYFUNCTION("REGEXREPLACE(G300, ""[^0-9a-zA-Z .'Ã]"","""")"),"Sam Shepard")</f>
        <v>Sam Shepard</v>
      </c>
      <c r="I300" s="16" t="s">
        <v>1289</v>
      </c>
      <c r="J300" s="14">
        <v>45455.0</v>
      </c>
      <c r="K300" s="14" t="s">
        <v>1290</v>
      </c>
      <c r="L300" s="14">
        <v>388.0</v>
      </c>
      <c r="M300" s="14" t="s">
        <v>24</v>
      </c>
      <c r="N300" s="14" t="s">
        <v>25</v>
      </c>
      <c r="O300" s="15">
        <v>1.35E8</v>
      </c>
      <c r="P300" s="10">
        <f t="shared" si="2"/>
        <v>0</v>
      </c>
      <c r="Q300" s="12">
        <f t="shared" si="3"/>
        <v>103295584</v>
      </c>
      <c r="R300" s="14">
        <v>2005.0</v>
      </c>
      <c r="S300" s="14">
        <v>5.0</v>
      </c>
    </row>
    <row r="301" ht="15.75" customHeight="1">
      <c r="A301" s="25" t="s">
        <v>1291</v>
      </c>
      <c r="B301" s="8" t="str">
        <f>IFERROR(__xludf.DUMMYFUNCTION("REGEXREPLACE(A301, ""[^0-9a-zA-Z .'Ã]"","""")"),"John Whitesell")</f>
        <v>John Whitesell</v>
      </c>
      <c r="C301" s="26">
        <v>88.0</v>
      </c>
      <c r="D301" s="27">
        <v>3.7911876E7</v>
      </c>
      <c r="E301" s="26" t="s">
        <v>265</v>
      </c>
      <c r="F301" s="9">
        <f t="shared" si="1"/>
        <v>3</v>
      </c>
      <c r="G301" s="26" t="s">
        <v>1292</v>
      </c>
      <c r="H301" s="11" t="str">
        <f>IFERROR(__xludf.DUMMYFUNCTION("REGEXREPLACE(G301, ""[^0-9a-zA-Z .'Ã]"","""")"),"Brandon T. Jackson")</f>
        <v>Brandon T. Jackson</v>
      </c>
      <c r="I301" s="28" t="s">
        <v>1293</v>
      </c>
      <c r="J301" s="26">
        <v>19671.0</v>
      </c>
      <c r="K301" s="26" t="s">
        <v>1294</v>
      </c>
      <c r="L301" s="26">
        <v>47.0</v>
      </c>
      <c r="M301" s="26" t="s">
        <v>24</v>
      </c>
      <c r="N301" s="26" t="s">
        <v>25</v>
      </c>
      <c r="O301" s="27">
        <v>3.2E7</v>
      </c>
      <c r="P301" s="10">
        <f t="shared" si="2"/>
        <v>5911876</v>
      </c>
      <c r="Q301" s="12">
        <f t="shared" si="3"/>
        <v>0</v>
      </c>
      <c r="R301" s="26">
        <v>2011.0</v>
      </c>
      <c r="S301" s="26">
        <v>4.4</v>
      </c>
    </row>
    <row r="302" ht="15.75" customHeight="1">
      <c r="A302" s="21" t="s">
        <v>38</v>
      </c>
      <c r="B302" s="8" t="str">
        <f>IFERROR(__xludf.DUMMYFUNCTION("REGEXREPLACE(A302, ""[^0-9a-zA-Z .'Ã]"","""")"),"Clint Eastwood")</f>
        <v>Clint Eastwood</v>
      </c>
      <c r="C302" s="22">
        <v>76.0</v>
      </c>
      <c r="D302" s="23">
        <v>5.0007168E7</v>
      </c>
      <c r="E302" s="22" t="s">
        <v>501</v>
      </c>
      <c r="F302" s="9">
        <f t="shared" si="1"/>
        <v>4</v>
      </c>
      <c r="G302" s="22" t="s">
        <v>38</v>
      </c>
      <c r="H302" s="11" t="str">
        <f>IFERROR(__xludf.DUMMYFUNCTION("REGEXREPLACE(G302, ""[^0-9a-zA-Z .'Ã]"","""")"),"Clint Eastwood")</f>
        <v>Clint Eastwood</v>
      </c>
      <c r="I302" s="24" t="s">
        <v>1295</v>
      </c>
      <c r="J302" s="22">
        <v>39529.0</v>
      </c>
      <c r="K302" s="22" t="s">
        <v>1296</v>
      </c>
      <c r="L302" s="22">
        <v>142.0</v>
      </c>
      <c r="M302" s="22" t="s">
        <v>24</v>
      </c>
      <c r="N302" s="22" t="s">
        <v>25</v>
      </c>
      <c r="O302" s="23">
        <v>5.0E7</v>
      </c>
      <c r="P302" s="10">
        <f t="shared" si="2"/>
        <v>7168</v>
      </c>
      <c r="Q302" s="12">
        <f t="shared" si="3"/>
        <v>0</v>
      </c>
      <c r="R302" s="22">
        <v>1997.0</v>
      </c>
      <c r="S302" s="22">
        <v>6.7</v>
      </c>
    </row>
    <row r="303" ht="15.75" customHeight="1">
      <c r="A303" s="29" t="s">
        <v>1297</v>
      </c>
      <c r="B303" s="8" t="str">
        <f>IFERROR(__xludf.DUMMYFUNCTION("REGEXREPLACE(A303, ""[^0-9a-zA-Z .'Ã]"","""")"),"Susanne Bier")</f>
        <v>Susanne Bier</v>
      </c>
      <c r="C303" s="30">
        <v>146.0</v>
      </c>
      <c r="D303" s="31">
        <v>2849142.0</v>
      </c>
      <c r="E303" s="30" t="s">
        <v>103</v>
      </c>
      <c r="F303" s="9">
        <f t="shared" si="1"/>
        <v>1</v>
      </c>
      <c r="G303" s="30" t="s">
        <v>1298</v>
      </c>
      <c r="H303" s="11" t="str">
        <f>IFERROR(__xludf.DUMMYFUNCTION("REGEXREPLACE(G303, ""[^0-9a-zA-Z .'Ã]"","""")"),"Alison Lohman")</f>
        <v>Alison Lohman</v>
      </c>
      <c r="I303" s="32" t="s">
        <v>1299</v>
      </c>
      <c r="J303" s="30">
        <v>24104.0</v>
      </c>
      <c r="K303" s="30" t="s">
        <v>1300</v>
      </c>
      <c r="L303" s="30">
        <v>88.0</v>
      </c>
      <c r="M303" s="30" t="s">
        <v>24</v>
      </c>
      <c r="N303" s="30" t="s">
        <v>25</v>
      </c>
      <c r="O303" s="31">
        <v>1.6E7</v>
      </c>
      <c r="P303" s="10">
        <f t="shared" si="2"/>
        <v>0</v>
      </c>
      <c r="Q303" s="12">
        <f t="shared" si="3"/>
        <v>13150858</v>
      </c>
      <c r="R303" s="30">
        <v>2007.0</v>
      </c>
      <c r="S303" s="30">
        <v>7.2</v>
      </c>
    </row>
    <row r="304" ht="15.75" customHeight="1">
      <c r="A304" s="21" t="s">
        <v>1301</v>
      </c>
      <c r="B304" s="8" t="str">
        <f>IFERROR(__xludf.DUMMYFUNCTION("REGEXREPLACE(A304, ""[^0-9a-zA-Z .'Ã]"","""")"),"Julie Anne Robinson")</f>
        <v>Julie Anne Robinson</v>
      </c>
      <c r="C304" s="22">
        <v>127.0</v>
      </c>
      <c r="D304" s="23">
        <v>2.6404753E7</v>
      </c>
      <c r="E304" s="22" t="s">
        <v>1302</v>
      </c>
      <c r="F304" s="9">
        <f t="shared" si="1"/>
        <v>5</v>
      </c>
      <c r="G304" s="22" t="s">
        <v>1303</v>
      </c>
      <c r="H304" s="11" t="str">
        <f>IFERROR(__xludf.DUMMYFUNCTION("REGEXREPLACE(G304, ""[^0-9a-zA-Z .'Ã]"","""")"),"Fisher Stevens")</f>
        <v>Fisher Stevens</v>
      </c>
      <c r="I304" s="24" t="s">
        <v>1304</v>
      </c>
      <c r="J304" s="22">
        <v>34203.0</v>
      </c>
      <c r="K304" s="22" t="s">
        <v>1305</v>
      </c>
      <c r="L304" s="22">
        <v>169.0</v>
      </c>
      <c r="M304" s="22" t="s">
        <v>24</v>
      </c>
      <c r="N304" s="22" t="s">
        <v>25</v>
      </c>
      <c r="O304" s="23">
        <v>4.0E7</v>
      </c>
      <c r="P304" s="10">
        <f t="shared" si="2"/>
        <v>0</v>
      </c>
      <c r="Q304" s="12">
        <f t="shared" si="3"/>
        <v>13595247</v>
      </c>
      <c r="R304" s="22">
        <v>2012.0</v>
      </c>
      <c r="S304" s="22">
        <v>5.3</v>
      </c>
    </row>
    <row r="305" ht="15.75" customHeight="1">
      <c r="A305" s="25" t="s">
        <v>1306</v>
      </c>
      <c r="B305" s="8" t="str">
        <f>IFERROR(__xludf.DUMMYFUNCTION("REGEXREPLACE(A305, ""[^0-9a-zA-Z .'Ã]"","""")"),"Mabrouk El Mechri")</f>
        <v>Mabrouk El Mechri</v>
      </c>
      <c r="C305" s="26">
        <v>119.0</v>
      </c>
      <c r="D305" s="27">
        <v>3749061.0</v>
      </c>
      <c r="E305" s="26" t="s">
        <v>1096</v>
      </c>
      <c r="F305" s="9">
        <f t="shared" si="1"/>
        <v>2</v>
      </c>
      <c r="G305" s="26" t="s">
        <v>1307</v>
      </c>
      <c r="H305" s="11" t="str">
        <f>IFERROR(__xludf.DUMMYFUNCTION("REGEXREPLACE(G305, ""[^0-9a-zA-Z .'Ã]"","""")"),"Henry Cavill")</f>
        <v>Henry Cavill</v>
      </c>
      <c r="I305" s="28" t="s">
        <v>1308</v>
      </c>
      <c r="J305" s="26">
        <v>28629.0</v>
      </c>
      <c r="K305" s="26" t="s">
        <v>1309</v>
      </c>
      <c r="L305" s="26">
        <v>113.0</v>
      </c>
      <c r="M305" s="26" t="s">
        <v>24</v>
      </c>
      <c r="N305" s="26" t="s">
        <v>25</v>
      </c>
      <c r="O305" s="27">
        <v>2.0E7</v>
      </c>
      <c r="P305" s="10">
        <f t="shared" si="2"/>
        <v>0</v>
      </c>
      <c r="Q305" s="12">
        <f t="shared" si="3"/>
        <v>16250939</v>
      </c>
      <c r="R305" s="26">
        <v>2012.0</v>
      </c>
      <c r="S305" s="26">
        <v>4.9</v>
      </c>
    </row>
    <row r="306" ht="15.75" customHeight="1">
      <c r="A306" s="21" t="s">
        <v>1310</v>
      </c>
      <c r="B306" s="8" t="str">
        <f>IFERROR(__xludf.DUMMYFUNCTION("REGEXREPLACE(A306, ""[^0-9a-zA-Z .'Ã]"","""")"),"Bille Woodruff")</f>
        <v>Bille Woodruff</v>
      </c>
      <c r="C306" s="22">
        <v>97.0</v>
      </c>
      <c r="D306" s="23">
        <v>3.022264E7</v>
      </c>
      <c r="E306" s="22" t="s">
        <v>734</v>
      </c>
      <c r="F306" s="9">
        <f t="shared" si="1"/>
        <v>3</v>
      </c>
      <c r="G306" s="22" t="s">
        <v>1311</v>
      </c>
      <c r="H306" s="11" t="str">
        <f>IFERROR(__xludf.DUMMYFUNCTION("REGEXREPLACE(G306, ""[^0-9a-zA-Z .'Ã]"","""")"),"Christian Monzon")</f>
        <v>Christian Monzon</v>
      </c>
      <c r="I306" s="24" t="s">
        <v>1312</v>
      </c>
      <c r="J306" s="22">
        <v>36666.0</v>
      </c>
      <c r="K306" s="22" t="s">
        <v>1313</v>
      </c>
      <c r="L306" s="22">
        <v>144.0</v>
      </c>
      <c r="M306" s="22" t="s">
        <v>24</v>
      </c>
      <c r="N306" s="22" t="s">
        <v>25</v>
      </c>
      <c r="O306" s="23">
        <v>2.5E7</v>
      </c>
      <c r="P306" s="10">
        <f t="shared" si="2"/>
        <v>5222640</v>
      </c>
      <c r="Q306" s="12">
        <f t="shared" si="3"/>
        <v>0</v>
      </c>
      <c r="R306" s="22">
        <v>2003.0</v>
      </c>
      <c r="S306" s="22">
        <v>5.3</v>
      </c>
    </row>
    <row r="307" ht="15.75" customHeight="1">
      <c r="A307" s="25" t="s">
        <v>1314</v>
      </c>
      <c r="B307" s="8" t="str">
        <f>IFERROR(__xludf.DUMMYFUNCTION("REGEXREPLACE(A307, ""[^0-9a-zA-Z .'Ã]"","""")"),"Bryan Singer")</f>
        <v>Bryan Singer</v>
      </c>
      <c r="C307" s="26">
        <v>162.0</v>
      </c>
      <c r="D307" s="27">
        <v>2.3272306E7</v>
      </c>
      <c r="E307" s="26" t="s">
        <v>435</v>
      </c>
      <c r="F307" s="9">
        <f t="shared" si="1"/>
        <v>4</v>
      </c>
      <c r="G307" s="26" t="s">
        <v>483</v>
      </c>
      <c r="H307" s="11" t="str">
        <f>IFERROR(__xludf.DUMMYFUNCTION("REGEXREPLACE(G307, ""[^0-9a-zA-Z .'Ã]"","""")"),"Kevin Spacey")</f>
        <v>Kevin Spacey</v>
      </c>
      <c r="I307" s="28" t="s">
        <v>1315</v>
      </c>
      <c r="J307" s="26">
        <v>740918.0</v>
      </c>
      <c r="K307" s="26" t="s">
        <v>1316</v>
      </c>
      <c r="L307" s="26">
        <v>1182.0</v>
      </c>
      <c r="M307" s="26" t="s">
        <v>24</v>
      </c>
      <c r="N307" s="26" t="s">
        <v>25</v>
      </c>
      <c r="O307" s="27">
        <v>6000000.0</v>
      </c>
      <c r="P307" s="10">
        <f t="shared" si="2"/>
        <v>17272306</v>
      </c>
      <c r="Q307" s="12">
        <f t="shared" si="3"/>
        <v>0</v>
      </c>
      <c r="R307" s="26">
        <v>1995.0</v>
      </c>
      <c r="S307" s="26">
        <v>8.6</v>
      </c>
    </row>
    <row r="308" ht="15.75" customHeight="1">
      <c r="A308" s="7" t="s">
        <v>635</v>
      </c>
      <c r="B308" s="8" t="str">
        <f>IFERROR(__xludf.DUMMYFUNCTION("REGEXREPLACE(A308, ""[^0-9a-zA-Z .'Ã]"","""")"),"Steven Spielberg")</f>
        <v>Steven Spielberg</v>
      </c>
      <c r="C308" s="9">
        <v>401.0</v>
      </c>
      <c r="D308" s="10">
        <v>2.34277056E8</v>
      </c>
      <c r="E308" s="9" t="s">
        <v>1317</v>
      </c>
      <c r="F308" s="9">
        <f t="shared" si="1"/>
        <v>3</v>
      </c>
      <c r="G308" s="9" t="s">
        <v>220</v>
      </c>
      <c r="H308" s="11" t="str">
        <f>IFERROR(__xludf.DUMMYFUNCTION("REGEXREPLACE(G308, ""[^0-9a-zA-Z .'Ã]"","""")"),"Tom Cruise")</f>
        <v>Tom Cruise</v>
      </c>
      <c r="I308" s="11" t="s">
        <v>1318</v>
      </c>
      <c r="J308" s="9">
        <v>334345.0</v>
      </c>
      <c r="K308" s="9" t="s">
        <v>1319</v>
      </c>
      <c r="L308" s="9">
        <v>2741.0</v>
      </c>
      <c r="M308" s="9" t="s">
        <v>24</v>
      </c>
      <c r="N308" s="9" t="s">
        <v>25</v>
      </c>
      <c r="O308" s="10">
        <v>1.32E8</v>
      </c>
      <c r="P308" s="10">
        <f t="shared" si="2"/>
        <v>102277056</v>
      </c>
      <c r="Q308" s="12">
        <f t="shared" si="3"/>
        <v>0</v>
      </c>
      <c r="R308" s="9">
        <v>2005.0</v>
      </c>
      <c r="S308" s="9">
        <v>6.5</v>
      </c>
    </row>
    <row r="309" ht="15.75" customHeight="1">
      <c r="A309" s="21" t="s">
        <v>1320</v>
      </c>
      <c r="B309" s="8" t="str">
        <f>IFERROR(__xludf.DUMMYFUNCTION("REGEXREPLACE(A309, ""[^0-9a-zA-Z .'Ã]"","""")"),"Tobe Hooper")</f>
        <v>Tobe Hooper</v>
      </c>
      <c r="C309" s="22">
        <v>52.0</v>
      </c>
      <c r="D309" s="23">
        <v>4884663.0</v>
      </c>
      <c r="E309" s="22" t="s">
        <v>1321</v>
      </c>
      <c r="F309" s="9">
        <f t="shared" si="1"/>
        <v>2</v>
      </c>
      <c r="G309" s="22" t="s">
        <v>1322</v>
      </c>
      <c r="H309" s="11" t="str">
        <f>IFERROR(__xludf.DUMMYFUNCTION("REGEXREPLACE(G309, ""[^0-9a-zA-Z .'Ã]"","""")"),"Louise Fletcher")</f>
        <v>Louise Fletcher</v>
      </c>
      <c r="I309" s="24" t="s">
        <v>1323</v>
      </c>
      <c r="J309" s="22">
        <v>5187.0</v>
      </c>
      <c r="K309" s="22" t="s">
        <v>1324</v>
      </c>
      <c r="L309" s="22">
        <v>64.0</v>
      </c>
      <c r="M309" s="22" t="s">
        <v>24</v>
      </c>
      <c r="N309" s="22" t="s">
        <v>25</v>
      </c>
      <c r="O309" s="23">
        <v>1.2E7</v>
      </c>
      <c r="P309" s="10">
        <f t="shared" si="2"/>
        <v>0</v>
      </c>
      <c r="Q309" s="12">
        <f t="shared" si="3"/>
        <v>7115337</v>
      </c>
      <c r="R309" s="22">
        <v>1986.0</v>
      </c>
      <c r="S309" s="22">
        <v>5.5</v>
      </c>
    </row>
    <row r="310" ht="15.75" customHeight="1">
      <c r="A310" s="13" t="s">
        <v>1325</v>
      </c>
      <c r="B310" s="8" t="str">
        <f>IFERROR(__xludf.DUMMYFUNCTION("REGEXREPLACE(A310, ""[^0-9a-zA-Z .'Ã]"","""")"),"Tomas Alfredson")</f>
        <v>Tomas Alfredson</v>
      </c>
      <c r="C310" s="14">
        <v>466.0</v>
      </c>
      <c r="D310" s="15">
        <v>2.4104113E7</v>
      </c>
      <c r="E310" s="14" t="s">
        <v>311</v>
      </c>
      <c r="F310" s="9">
        <f t="shared" si="1"/>
        <v>3</v>
      </c>
      <c r="G310" s="14" t="s">
        <v>558</v>
      </c>
      <c r="H310" s="11" t="str">
        <f>IFERROR(__xludf.DUMMYFUNCTION("REGEXREPLACE(G310, ""[^0-9a-zA-Z .'Ã]"","""")"),"Benedict Cumberbatch")</f>
        <v>Benedict Cumberbatch</v>
      </c>
      <c r="I310" s="16" t="s">
        <v>1326</v>
      </c>
      <c r="J310" s="14">
        <v>149066.0</v>
      </c>
      <c r="K310" s="14" t="s">
        <v>1327</v>
      </c>
      <c r="L310" s="14">
        <v>517.0</v>
      </c>
      <c r="M310" s="14" t="s">
        <v>24</v>
      </c>
      <c r="N310" s="14" t="s">
        <v>608</v>
      </c>
      <c r="O310" s="15">
        <v>2.0E7</v>
      </c>
      <c r="P310" s="10">
        <f t="shared" si="2"/>
        <v>4104113</v>
      </c>
      <c r="Q310" s="12">
        <f t="shared" si="3"/>
        <v>0</v>
      </c>
      <c r="R310" s="14">
        <v>2011.0</v>
      </c>
      <c r="S310" s="14">
        <v>7.1</v>
      </c>
    </row>
    <row r="311" ht="15.75" customHeight="1">
      <c r="A311" s="25" t="s">
        <v>1328</v>
      </c>
      <c r="B311" s="8" t="str">
        <f>IFERROR(__xludf.DUMMYFUNCTION("REGEXREPLACE(A311, ""[^0-9a-zA-Z .'Ã]"","""")"),"Daisy von Scherler Mayer")</f>
        <v>Daisy von Scherler Mayer</v>
      </c>
      <c r="C311" s="26">
        <v>23.0</v>
      </c>
      <c r="D311" s="27">
        <v>8026971.0</v>
      </c>
      <c r="E311" s="26" t="s">
        <v>89</v>
      </c>
      <c r="F311" s="9">
        <f t="shared" si="1"/>
        <v>2</v>
      </c>
      <c r="G311" s="26" t="s">
        <v>1329</v>
      </c>
      <c r="H311" s="11" t="str">
        <f>IFERROR(__xludf.DUMMYFUNCTION("REGEXREPLACE(G311, ""[^0-9a-zA-Z .'Ã]"","""")"),"LL Cool J")</f>
        <v>LL Cool J</v>
      </c>
      <c r="I311" s="28" t="s">
        <v>1330</v>
      </c>
      <c r="J311" s="26">
        <v>1520.0</v>
      </c>
      <c r="K311" s="26" t="s">
        <v>1331</v>
      </c>
      <c r="L311" s="26">
        <v>20.0</v>
      </c>
      <c r="M311" s="26" t="s">
        <v>24</v>
      </c>
      <c r="N311" s="26" t="s">
        <v>25</v>
      </c>
      <c r="O311" s="27">
        <v>1.3E7</v>
      </c>
      <c r="P311" s="10">
        <f t="shared" si="2"/>
        <v>0</v>
      </c>
      <c r="Q311" s="12">
        <f t="shared" si="3"/>
        <v>4973029</v>
      </c>
      <c r="R311" s="26">
        <v>1998.0</v>
      </c>
      <c r="S311" s="26">
        <v>3.8</v>
      </c>
    </row>
    <row r="312" ht="15.75" customHeight="1">
      <c r="A312" s="7" t="s">
        <v>1332</v>
      </c>
      <c r="B312" s="8" t="str">
        <f>IFERROR(__xludf.DUMMYFUNCTION("REGEXREPLACE(A312, ""[^0-9a-zA-Z .'Ã]"","""")"),"Kirk Jones")</f>
        <v>Kirk Jones</v>
      </c>
      <c r="C312" s="9">
        <v>160.0</v>
      </c>
      <c r="D312" s="10">
        <v>8855646.0</v>
      </c>
      <c r="E312" s="9" t="s">
        <v>892</v>
      </c>
      <c r="F312" s="9">
        <f t="shared" si="1"/>
        <v>2</v>
      </c>
      <c r="G312" s="9" t="s">
        <v>883</v>
      </c>
      <c r="H312" s="11" t="str">
        <f>IFERROR(__xludf.DUMMYFUNCTION("REGEXREPLACE(G312, ""[^0-9a-zA-Z .'Ã]"","""")"),"Robert De Niro")</f>
        <v>Robert De Niro</v>
      </c>
      <c r="I312" s="11" t="s">
        <v>1333</v>
      </c>
      <c r="J312" s="9">
        <v>49855.0</v>
      </c>
      <c r="K312" s="9" t="s">
        <v>1334</v>
      </c>
      <c r="L312" s="9">
        <v>117.0</v>
      </c>
      <c r="M312" s="9" t="s">
        <v>24</v>
      </c>
      <c r="N312" s="9" t="s">
        <v>25</v>
      </c>
      <c r="O312" s="10">
        <v>2.1E7</v>
      </c>
      <c r="P312" s="10">
        <f t="shared" si="2"/>
        <v>0</v>
      </c>
      <c r="Q312" s="12">
        <f t="shared" si="3"/>
        <v>12144354</v>
      </c>
      <c r="R312" s="9">
        <v>2009.0</v>
      </c>
      <c r="S312" s="9">
        <v>7.2</v>
      </c>
    </row>
    <row r="313" ht="15.75" customHeight="1">
      <c r="A313" s="17" t="s">
        <v>1335</v>
      </c>
      <c r="B313" s="8" t="str">
        <f>IFERROR(__xludf.DUMMYFUNCTION("REGEXREPLACE(A313, ""[^0-9a-zA-Z .'Ã]"","""")"),"Stanley Kramer")</f>
        <v>Stanley Kramer</v>
      </c>
      <c r="C313" s="18">
        <v>61.0</v>
      </c>
      <c r="D313" s="19">
        <v>4.63E7</v>
      </c>
      <c r="E313" s="18" t="s">
        <v>1336</v>
      </c>
      <c r="F313" s="9">
        <f t="shared" si="1"/>
        <v>4</v>
      </c>
      <c r="G313" s="18" t="s">
        <v>1266</v>
      </c>
      <c r="H313" s="11" t="str">
        <f>IFERROR(__xludf.DUMMYFUNCTION("REGEXREPLACE(G313, ""[^0-9a-zA-Z .'Ã]"","""")"),"Jonathan Winters")</f>
        <v>Jonathan Winters</v>
      </c>
      <c r="I313" s="20" t="s">
        <v>1337</v>
      </c>
      <c r="J313" s="18">
        <v>29323.0</v>
      </c>
      <c r="K313" s="18" t="s">
        <v>1338</v>
      </c>
      <c r="L313" s="18">
        <v>344.0</v>
      </c>
      <c r="M313" s="18" t="s">
        <v>24</v>
      </c>
      <c r="N313" s="18" t="s">
        <v>25</v>
      </c>
      <c r="O313" s="19">
        <v>9400000.0</v>
      </c>
      <c r="P313" s="10">
        <f t="shared" si="2"/>
        <v>36900000</v>
      </c>
      <c r="Q313" s="12">
        <f t="shared" si="3"/>
        <v>0</v>
      </c>
      <c r="R313" s="18">
        <v>1963.0</v>
      </c>
      <c r="S313" s="18">
        <v>7.6</v>
      </c>
    </row>
    <row r="314" ht="15.75" customHeight="1">
      <c r="A314" s="17" t="s">
        <v>1339</v>
      </c>
      <c r="B314" s="8" t="str">
        <f>IFERROR(__xludf.DUMMYFUNCTION("REGEXREPLACE(A314, ""[^0-9a-zA-Z .'Ã]"","""")"),"Richard Kwietniowski")</f>
        <v>Richard Kwietniowski</v>
      </c>
      <c r="C314" s="18">
        <v>82.0</v>
      </c>
      <c r="D314" s="19">
        <v>1011054.0</v>
      </c>
      <c r="E314" s="18" t="s">
        <v>113</v>
      </c>
      <c r="F314" s="9">
        <f t="shared" si="1"/>
        <v>3</v>
      </c>
      <c r="G314" s="18" t="s">
        <v>1340</v>
      </c>
      <c r="H314" s="11" t="str">
        <f>IFERROR(__xludf.DUMMYFUNCTION("REGEXREPLACE(G314, ""[^0-9a-zA-Z .'Ã]"","""")"),"Philip Seymour Hoffman")</f>
        <v>Philip Seymour Hoffman</v>
      </c>
      <c r="I314" s="20" t="s">
        <v>1341</v>
      </c>
      <c r="J314" s="18">
        <v>10585.0</v>
      </c>
      <c r="K314" s="18" t="s">
        <v>1342</v>
      </c>
      <c r="L314" s="18">
        <v>83.0</v>
      </c>
      <c r="M314" s="18" t="s">
        <v>24</v>
      </c>
      <c r="N314" s="18" t="s">
        <v>624</v>
      </c>
      <c r="O314" s="19">
        <v>1.0E7</v>
      </c>
      <c r="P314" s="10">
        <f t="shared" si="2"/>
        <v>0</v>
      </c>
      <c r="Q314" s="12">
        <f t="shared" si="3"/>
        <v>8988946</v>
      </c>
      <c r="R314" s="18">
        <v>2003.0</v>
      </c>
      <c r="S314" s="18">
        <v>7.2</v>
      </c>
    </row>
    <row r="315" ht="15.75" customHeight="1">
      <c r="A315" s="21" t="s">
        <v>1343</v>
      </c>
      <c r="B315" s="8" t="str">
        <f>IFERROR(__xludf.DUMMYFUNCTION("REGEXREPLACE(A315, ""[^0-9a-zA-Z .'Ã]"","""")"),"Joe Nussbaum")</f>
        <v>Joe Nussbaum</v>
      </c>
      <c r="C315" s="22">
        <v>52.0</v>
      </c>
      <c r="D315" s="23">
        <v>8070311.0</v>
      </c>
      <c r="E315" s="22" t="s">
        <v>89</v>
      </c>
      <c r="F315" s="9">
        <f t="shared" si="1"/>
        <v>2</v>
      </c>
      <c r="G315" s="22" t="s">
        <v>1080</v>
      </c>
      <c r="H315" s="11" t="str">
        <f>IFERROR(__xludf.DUMMYFUNCTION("REGEXREPLACE(G315, ""[^0-9a-zA-Z .'Ã]"","""")"),"Steve Carell")</f>
        <v>Steve Carell</v>
      </c>
      <c r="I315" s="24" t="s">
        <v>1344</v>
      </c>
      <c r="J315" s="22">
        <v>12706.0</v>
      </c>
      <c r="K315" s="22" t="s">
        <v>1345</v>
      </c>
      <c r="L315" s="22">
        <v>75.0</v>
      </c>
      <c r="M315" s="22" t="s">
        <v>24</v>
      </c>
      <c r="N315" s="22" t="s">
        <v>25</v>
      </c>
      <c r="O315" s="23">
        <v>1.0E7</v>
      </c>
      <c r="P315" s="10">
        <f t="shared" si="2"/>
        <v>0</v>
      </c>
      <c r="Q315" s="12">
        <f t="shared" si="3"/>
        <v>1929689</v>
      </c>
      <c r="R315" s="22">
        <v>2004.0</v>
      </c>
      <c r="S315" s="22">
        <v>5.3</v>
      </c>
    </row>
    <row r="316" ht="15.75" customHeight="1">
      <c r="A316" s="25" t="s">
        <v>1346</v>
      </c>
      <c r="B316" s="8" t="str">
        <f>IFERROR(__xludf.DUMMYFUNCTION("REGEXREPLACE(A316, ""[^0-9a-zA-Z .'Ã]"","""")"),"Sam Raimi")</f>
        <v>Sam Raimi</v>
      </c>
      <c r="C316" s="26">
        <v>392.0</v>
      </c>
      <c r="D316" s="27">
        <v>3.36530303E8</v>
      </c>
      <c r="E316" s="26" t="s">
        <v>1347</v>
      </c>
      <c r="F316" s="9">
        <f t="shared" si="1"/>
        <v>3</v>
      </c>
      <c r="G316" s="26" t="s">
        <v>878</v>
      </c>
      <c r="H316" s="11" t="str">
        <f>IFERROR(__xludf.DUMMYFUNCTION("REGEXREPLACE(G316, ""[^0-9a-zA-Z .'Ã]"","""")"),"J.K. Simmons")</f>
        <v>J.K. Simmons</v>
      </c>
      <c r="I316" s="28" t="s">
        <v>1348</v>
      </c>
      <c r="J316" s="26">
        <v>383071.0</v>
      </c>
      <c r="K316" s="26" t="s">
        <v>1349</v>
      </c>
      <c r="L316" s="26">
        <v>1902.0</v>
      </c>
      <c r="M316" s="26" t="s">
        <v>24</v>
      </c>
      <c r="N316" s="26" t="s">
        <v>25</v>
      </c>
      <c r="O316" s="27">
        <v>2.58E8</v>
      </c>
      <c r="P316" s="10">
        <f t="shared" si="2"/>
        <v>78530303</v>
      </c>
      <c r="Q316" s="12">
        <f t="shared" si="3"/>
        <v>0</v>
      </c>
      <c r="R316" s="26">
        <v>2007.0</v>
      </c>
      <c r="S316" s="26">
        <v>6.2</v>
      </c>
    </row>
    <row r="317" ht="15.75" customHeight="1">
      <c r="A317" s="7" t="s">
        <v>1350</v>
      </c>
      <c r="B317" s="8" t="str">
        <f>IFERROR(__xludf.DUMMYFUNCTION("REGEXREPLACE(A317, ""[^0-9a-zA-Z .'Ã]"","""")"),"Christopher Nolan")</f>
        <v>Christopher Nolan</v>
      </c>
      <c r="C317" s="9">
        <v>642.0</v>
      </c>
      <c r="D317" s="10">
        <v>2.92568851E8</v>
      </c>
      <c r="E317" s="9" t="s">
        <v>794</v>
      </c>
      <c r="F317" s="9">
        <f t="shared" si="1"/>
        <v>4</v>
      </c>
      <c r="G317" s="9" t="s">
        <v>1351</v>
      </c>
      <c r="H317" s="11" t="str">
        <f>IFERROR(__xludf.DUMMYFUNCTION("REGEXREPLACE(G317, ""[^0-9a-zA-Z .'Ã]"","""")"),"Leonardo DiCaprio")</f>
        <v>Leonardo DiCaprio</v>
      </c>
      <c r="I317" s="11" t="s">
        <v>1352</v>
      </c>
      <c r="J317" s="9">
        <v>1468200.0</v>
      </c>
      <c r="K317" s="9" t="s">
        <v>1353</v>
      </c>
      <c r="L317" s="9">
        <v>2803.0</v>
      </c>
      <c r="M317" s="9" t="s">
        <v>24</v>
      </c>
      <c r="N317" s="9" t="s">
        <v>25</v>
      </c>
      <c r="O317" s="10">
        <v>1.6E8</v>
      </c>
      <c r="P317" s="10">
        <f t="shared" si="2"/>
        <v>132568851</v>
      </c>
      <c r="Q317" s="12">
        <f t="shared" si="3"/>
        <v>0</v>
      </c>
      <c r="R317" s="9">
        <v>2010.0</v>
      </c>
      <c r="S317" s="9">
        <v>8.8</v>
      </c>
    </row>
    <row r="318" ht="15.75" customHeight="1">
      <c r="A318" s="7" t="s">
        <v>1354</v>
      </c>
      <c r="B318" s="8" t="str">
        <f>IFERROR(__xludf.DUMMYFUNCTION("REGEXREPLACE(A318, ""[^0-9a-zA-Z .'Ã]"","""")"),"Jonathan Caouette")</f>
        <v>Jonathan Caouette</v>
      </c>
      <c r="C318" s="9">
        <v>72.0</v>
      </c>
      <c r="D318" s="10">
        <v>592014.0</v>
      </c>
      <c r="E318" s="9" t="s">
        <v>1355</v>
      </c>
      <c r="F318" s="9">
        <f t="shared" si="1"/>
        <v>2</v>
      </c>
      <c r="G318" s="9" t="s">
        <v>1356</v>
      </c>
      <c r="H318" s="11" t="str">
        <f>IFERROR(__xludf.DUMMYFUNCTION("REGEXREPLACE(G318, ""[^0-9a-zA-Z .'Ã]"","""")"),"Greg Ayres")</f>
        <v>Greg Ayres</v>
      </c>
      <c r="I318" s="11" t="s">
        <v>1357</v>
      </c>
      <c r="J318" s="9">
        <v>5709.0</v>
      </c>
      <c r="K318" s="9" t="s">
        <v>1358</v>
      </c>
      <c r="L318" s="9">
        <v>114.0</v>
      </c>
      <c r="M318" s="9" t="s">
        <v>24</v>
      </c>
      <c r="N318" s="9" t="s">
        <v>25</v>
      </c>
      <c r="O318" s="10">
        <v>218.0</v>
      </c>
      <c r="P318" s="10">
        <f t="shared" si="2"/>
        <v>591796</v>
      </c>
      <c r="Q318" s="12">
        <f t="shared" si="3"/>
        <v>0</v>
      </c>
      <c r="R318" s="9">
        <v>2003.0</v>
      </c>
      <c r="S318" s="9">
        <v>7.2</v>
      </c>
    </row>
    <row r="319" ht="15.75" customHeight="1">
      <c r="A319" s="7" t="s">
        <v>1359</v>
      </c>
      <c r="B319" s="8" t="str">
        <f>IFERROR(__xludf.DUMMYFUNCTION("REGEXREPLACE(A319, ""[^0-9a-zA-Z .'Ã]"","""")"),"David F. Sandberg")</f>
        <v>David F. Sandberg</v>
      </c>
      <c r="C319" s="9">
        <v>159.0</v>
      </c>
      <c r="D319" s="10">
        <v>5.6536016E7</v>
      </c>
      <c r="E319" s="9" t="s">
        <v>148</v>
      </c>
      <c r="F319" s="9">
        <f t="shared" si="1"/>
        <v>1</v>
      </c>
      <c r="G319" s="9" t="s">
        <v>1360</v>
      </c>
      <c r="H319" s="11" t="str">
        <f>IFERROR(__xludf.DUMMYFUNCTION("REGEXREPLACE(G319, ""[^0-9a-zA-Z .'Ã]"","""")"),"Billy Burke")</f>
        <v>Billy Burke</v>
      </c>
      <c r="I319" s="11" t="s">
        <v>1361</v>
      </c>
      <c r="J319" s="9">
        <v>13523.0</v>
      </c>
      <c r="K319" s="9" t="s">
        <v>1362</v>
      </c>
      <c r="L319" s="9">
        <v>95.0</v>
      </c>
      <c r="M319" s="9" t="s">
        <v>24</v>
      </c>
      <c r="N319" s="9" t="s">
        <v>25</v>
      </c>
      <c r="O319" s="10">
        <v>4900000.0</v>
      </c>
      <c r="P319" s="10">
        <f t="shared" si="2"/>
        <v>51636016</v>
      </c>
      <c r="Q319" s="12">
        <f t="shared" si="3"/>
        <v>0</v>
      </c>
      <c r="R319" s="9">
        <v>2016.0</v>
      </c>
      <c r="S319" s="9">
        <v>6.9</v>
      </c>
    </row>
    <row r="320" ht="15.75" customHeight="1">
      <c r="A320" s="7" t="s">
        <v>1095</v>
      </c>
      <c r="B320" s="8" t="str">
        <f>IFERROR(__xludf.DUMMYFUNCTION("REGEXREPLACE(A320, ""[^0-9a-zA-Z .'Ã]"","""")"),"Renny Harlin")</f>
        <v>Renny Harlin</v>
      </c>
      <c r="C320" s="9">
        <v>156.0</v>
      </c>
      <c r="D320" s="10">
        <v>1.8821279E7</v>
      </c>
      <c r="E320" s="9" t="s">
        <v>278</v>
      </c>
      <c r="F320" s="9">
        <f t="shared" si="1"/>
        <v>3</v>
      </c>
      <c r="G320" s="9" t="s">
        <v>1363</v>
      </c>
      <c r="H320" s="11" t="str">
        <f>IFERROR(__xludf.DUMMYFUNCTION("REGEXREPLACE(G320, ""[^0-9a-zA-Z .'Ã]"","""")"),"Roxanne McKee")</f>
        <v>Roxanne McKee</v>
      </c>
      <c r="I320" s="11" t="s">
        <v>1364</v>
      </c>
      <c r="J320" s="9">
        <v>44891.0</v>
      </c>
      <c r="K320" s="9" t="s">
        <v>1365</v>
      </c>
      <c r="L320" s="9">
        <v>202.0</v>
      </c>
      <c r="M320" s="9" t="s">
        <v>24</v>
      </c>
      <c r="N320" s="9" t="s">
        <v>25</v>
      </c>
      <c r="O320" s="10">
        <v>7.0E7</v>
      </c>
      <c r="P320" s="10">
        <f t="shared" si="2"/>
        <v>0</v>
      </c>
      <c r="Q320" s="12">
        <f t="shared" si="3"/>
        <v>51178721</v>
      </c>
      <c r="R320" s="9">
        <v>2014.0</v>
      </c>
      <c r="S320" s="9">
        <v>4.2</v>
      </c>
    </row>
    <row r="321" ht="15.75" customHeight="1">
      <c r="A321" s="7" t="s">
        <v>1366</v>
      </c>
      <c r="B321" s="8" t="str">
        <f>IFERROR(__xludf.DUMMYFUNCTION("REGEXREPLACE(A321, ""[^0-9a-zA-Z .'Ã]"","""")"),"Christian Volckman")</f>
        <v>Christian Volckman</v>
      </c>
      <c r="C321" s="9">
        <v>112.0</v>
      </c>
      <c r="D321" s="10">
        <v>63260.0</v>
      </c>
      <c r="E321" s="9" t="s">
        <v>1367</v>
      </c>
      <c r="F321" s="9">
        <f t="shared" si="1"/>
        <v>4</v>
      </c>
      <c r="G321" s="9" t="s">
        <v>1368</v>
      </c>
      <c r="H321" s="11" t="str">
        <f>IFERROR(__xludf.DUMMYFUNCTION("REGEXREPLACE(G321, ""[^0-9a-zA-Z .'Ã]"","""")"),"Romola Garai")</f>
        <v>Romola Garai</v>
      </c>
      <c r="I321" s="11" t="s">
        <v>1369</v>
      </c>
      <c r="J321" s="9">
        <v>14325.0</v>
      </c>
      <c r="K321" s="9" t="s">
        <v>1370</v>
      </c>
      <c r="L321" s="9">
        <v>90.0</v>
      </c>
      <c r="M321" s="9" t="s">
        <v>24</v>
      </c>
      <c r="N321" s="9" t="s">
        <v>608</v>
      </c>
      <c r="O321" s="10">
        <v>1.4E7</v>
      </c>
      <c r="P321" s="10">
        <f t="shared" si="2"/>
        <v>0</v>
      </c>
      <c r="Q321" s="12">
        <f t="shared" si="3"/>
        <v>13936740</v>
      </c>
      <c r="R321" s="9">
        <v>2006.0</v>
      </c>
      <c r="S321" s="9">
        <v>6.7</v>
      </c>
    </row>
    <row r="322" ht="15.75" customHeight="1">
      <c r="A322" s="7" t="s">
        <v>1371</v>
      </c>
      <c r="B322" s="8" t="str">
        <f>IFERROR(__xludf.DUMMYFUNCTION("REGEXREPLACE(A322, ""[^0-9a-zA-Z .'Ã]"","""")"),"J.J. Abrams")</f>
        <v>J.J. Abrams</v>
      </c>
      <c r="C322" s="9">
        <v>310.0</v>
      </c>
      <c r="D322" s="10">
        <v>1.33382309E8</v>
      </c>
      <c r="E322" s="9" t="s">
        <v>474</v>
      </c>
      <c r="F322" s="9">
        <f t="shared" si="1"/>
        <v>3</v>
      </c>
      <c r="G322" s="9" t="s">
        <v>1340</v>
      </c>
      <c r="H322" s="11" t="str">
        <f>IFERROR(__xludf.DUMMYFUNCTION("REGEXREPLACE(G322, ""[^0-9a-zA-Z .'Ã]"","""")"),"Philip Seymour Hoffman")</f>
        <v>Philip Seymour Hoffman</v>
      </c>
      <c r="I322" s="11" t="s">
        <v>1372</v>
      </c>
      <c r="J322" s="9">
        <v>256695.0</v>
      </c>
      <c r="K322" s="9" t="s">
        <v>1373</v>
      </c>
      <c r="L322" s="9">
        <v>871.0</v>
      </c>
      <c r="M322" s="9" t="s">
        <v>24</v>
      </c>
      <c r="N322" s="9" t="s">
        <v>25</v>
      </c>
      <c r="O322" s="10">
        <v>1.5E8</v>
      </c>
      <c r="P322" s="10">
        <f t="shared" si="2"/>
        <v>0</v>
      </c>
      <c r="Q322" s="12">
        <f t="shared" si="3"/>
        <v>16617691</v>
      </c>
      <c r="R322" s="9">
        <v>2006.0</v>
      </c>
      <c r="S322" s="9">
        <v>6.9</v>
      </c>
    </row>
    <row r="323" ht="15.75" customHeight="1">
      <c r="A323" s="21" t="s">
        <v>1374</v>
      </c>
      <c r="B323" s="8" t="str">
        <f>IFERROR(__xludf.DUMMYFUNCTION("REGEXREPLACE(A323, ""[^0-9a-zA-Z .'Ã]"","""")"),"Jason Alexander")</f>
        <v>Jason Alexander</v>
      </c>
      <c r="C323" s="22">
        <v>20.0</v>
      </c>
      <c r="D323" s="23">
        <v>39852.0</v>
      </c>
      <c r="E323" s="22" t="s">
        <v>454</v>
      </c>
      <c r="F323" s="9">
        <f t="shared" si="1"/>
        <v>2</v>
      </c>
      <c r="G323" s="22" t="s">
        <v>1375</v>
      </c>
      <c r="H323" s="11" t="str">
        <f>IFERROR(__xludf.DUMMYFUNCTION("REGEXREPLACE(G323, ""[^0-9a-zA-Z .'Ã]"","""")"),"Gretchen Mol")</f>
        <v>Gretchen Mol</v>
      </c>
      <c r="I323" s="24" t="s">
        <v>1376</v>
      </c>
      <c r="J323" s="22">
        <v>1238.0</v>
      </c>
      <c r="K323" s="22" t="s">
        <v>1377</v>
      </c>
      <c r="L323" s="22">
        <v>25.0</v>
      </c>
      <c r="M323" s="22" t="s">
        <v>24</v>
      </c>
      <c r="N323" s="22" t="s">
        <v>25</v>
      </c>
      <c r="O323" s="23">
        <v>3000000.0</v>
      </c>
      <c r="P323" s="10">
        <f t="shared" si="2"/>
        <v>0</v>
      </c>
      <c r="Q323" s="12">
        <f t="shared" si="3"/>
        <v>2960148</v>
      </c>
      <c r="R323" s="22">
        <v>1999.0</v>
      </c>
      <c r="S323" s="22">
        <v>6.7</v>
      </c>
    </row>
    <row r="324" ht="15.75" customHeight="1">
      <c r="A324" s="29" t="s">
        <v>1378</v>
      </c>
      <c r="B324" s="8" t="str">
        <f>IFERROR(__xludf.DUMMYFUNCTION("REGEXREPLACE(A324, ""[^0-9a-zA-Z .'Ã]"","""")"),"Wes Ball")</f>
        <v>Wes Ball</v>
      </c>
      <c r="C324" s="30">
        <v>297.0</v>
      </c>
      <c r="D324" s="31">
        <v>1.02413606E8</v>
      </c>
      <c r="E324" s="30" t="s">
        <v>409</v>
      </c>
      <c r="F324" s="9">
        <f t="shared" si="1"/>
        <v>4</v>
      </c>
      <c r="G324" s="30" t="s">
        <v>1379</v>
      </c>
      <c r="H324" s="11" t="str">
        <f>IFERROR(__xludf.DUMMYFUNCTION("REGEXREPLACE(G324, ""[^0-9a-zA-Z .'Ã]"","""")"),"Ki Hong Lee")</f>
        <v>Ki Hong Lee</v>
      </c>
      <c r="I324" s="32" t="s">
        <v>1380</v>
      </c>
      <c r="J324" s="30">
        <v>310903.0</v>
      </c>
      <c r="K324" s="30" t="s">
        <v>1381</v>
      </c>
      <c r="L324" s="30">
        <v>524.0</v>
      </c>
      <c r="M324" s="30" t="s">
        <v>24</v>
      </c>
      <c r="N324" s="30" t="s">
        <v>25</v>
      </c>
      <c r="O324" s="31">
        <v>3.4E7</v>
      </c>
      <c r="P324" s="10">
        <f t="shared" si="2"/>
        <v>68413606</v>
      </c>
      <c r="Q324" s="12">
        <f t="shared" si="3"/>
        <v>0</v>
      </c>
      <c r="R324" s="30">
        <v>2014.0</v>
      </c>
      <c r="S324" s="30">
        <v>6.8</v>
      </c>
    </row>
    <row r="325" ht="15.75" customHeight="1">
      <c r="A325" s="7" t="s">
        <v>1382</v>
      </c>
      <c r="B325" s="8" t="str">
        <f>IFERROR(__xludf.DUMMYFUNCTION("REGEXREPLACE(A325, ""[^0-9a-zA-Z .'Ã]"","""")"),"Tom Vaughan")</f>
        <v>Tom Vaughan</v>
      </c>
      <c r="C325" s="9">
        <v>148.0</v>
      </c>
      <c r="D325" s="10">
        <v>8.0276912E7</v>
      </c>
      <c r="E325" s="9" t="s">
        <v>89</v>
      </c>
      <c r="F325" s="9">
        <f t="shared" si="1"/>
        <v>2</v>
      </c>
      <c r="G325" s="9" t="s">
        <v>1383</v>
      </c>
      <c r="H325" s="11" t="str">
        <f>IFERROR(__xludf.DUMMYFUNCTION("REGEXREPLACE(G325, ""[^0-9a-zA-Z .'Ã]"","""")"),"Treat Williams")</f>
        <v>Treat Williams</v>
      </c>
      <c r="I325" s="11" t="s">
        <v>1384</v>
      </c>
      <c r="J325" s="9">
        <v>140740.0</v>
      </c>
      <c r="K325" s="9" t="s">
        <v>1385</v>
      </c>
      <c r="L325" s="9">
        <v>151.0</v>
      </c>
      <c r="M325" s="9" t="s">
        <v>24</v>
      </c>
      <c r="N325" s="9" t="s">
        <v>25</v>
      </c>
      <c r="O325" s="10">
        <v>3.5E7</v>
      </c>
      <c r="P325" s="10">
        <f t="shared" si="2"/>
        <v>45276912</v>
      </c>
      <c r="Q325" s="12">
        <f t="shared" si="3"/>
        <v>0</v>
      </c>
      <c r="R325" s="9">
        <v>2008.0</v>
      </c>
      <c r="S325" s="9">
        <v>6.1</v>
      </c>
    </row>
    <row r="326" ht="15.75" customHeight="1">
      <c r="A326" s="21" t="s">
        <v>1386</v>
      </c>
      <c r="B326" s="8" t="str">
        <f>IFERROR(__xludf.DUMMYFUNCTION("REGEXREPLACE(A326, ""[^0-9a-zA-Z .'Ã]"","""")"),"Jonathan Liebesman")</f>
        <v>Jonathan Liebesman</v>
      </c>
      <c r="C326" s="22">
        <v>348.0</v>
      </c>
      <c r="D326" s="23">
        <v>1.9087124E8</v>
      </c>
      <c r="E326" s="22" t="s">
        <v>1387</v>
      </c>
      <c r="F326" s="9">
        <f t="shared" si="1"/>
        <v>4</v>
      </c>
      <c r="G326" s="22" t="s">
        <v>1388</v>
      </c>
      <c r="H326" s="11" t="str">
        <f>IFERROR(__xludf.DUMMYFUNCTION("REGEXREPLACE(G326, ""[^0-9a-zA-Z .'Ã]"","""")"),"Noel Fisher")</f>
        <v>Noel Fisher</v>
      </c>
      <c r="I326" s="24" t="s">
        <v>1389</v>
      </c>
      <c r="J326" s="22">
        <v>167089.0</v>
      </c>
      <c r="K326" s="22" t="s">
        <v>1390</v>
      </c>
      <c r="L326" s="22">
        <v>491.0</v>
      </c>
      <c r="M326" s="22" t="s">
        <v>24</v>
      </c>
      <c r="N326" s="22" t="s">
        <v>25</v>
      </c>
      <c r="O326" s="23">
        <v>1.25E8</v>
      </c>
      <c r="P326" s="10">
        <f t="shared" si="2"/>
        <v>65871240</v>
      </c>
      <c r="Q326" s="12">
        <f t="shared" si="3"/>
        <v>0</v>
      </c>
      <c r="R326" s="22">
        <v>2014.0</v>
      </c>
      <c r="S326" s="22">
        <v>5.9</v>
      </c>
    </row>
    <row r="327" ht="15.75" customHeight="1">
      <c r="A327" s="13" t="s">
        <v>1391</v>
      </c>
      <c r="B327" s="8" t="str">
        <f>IFERROR(__xludf.DUMMYFUNCTION("REGEXREPLACE(A327, ""[^0-9a-zA-Z .'Ã]"","""")"),"Kevin Reynolds")</f>
        <v>Kevin Reynolds</v>
      </c>
      <c r="C327" s="14">
        <v>91.0</v>
      </c>
      <c r="D327" s="15">
        <v>8.824622E7</v>
      </c>
      <c r="E327" s="14" t="s">
        <v>794</v>
      </c>
      <c r="F327" s="9">
        <f t="shared" si="1"/>
        <v>4</v>
      </c>
      <c r="G327" s="14" t="s">
        <v>1392</v>
      </c>
      <c r="H327" s="11" t="str">
        <f>IFERROR(__xludf.DUMMYFUNCTION("REGEXREPLACE(G327, ""[^0-9a-zA-Z .'Ã]"","""")"),"Jeanne Tripplehorn")</f>
        <v>Jeanne Tripplehorn</v>
      </c>
      <c r="I327" s="16" t="s">
        <v>1393</v>
      </c>
      <c r="J327" s="14">
        <v>144337.0</v>
      </c>
      <c r="K327" s="14" t="s">
        <v>1394</v>
      </c>
      <c r="L327" s="14">
        <v>309.0</v>
      </c>
      <c r="M327" s="14" t="s">
        <v>24</v>
      </c>
      <c r="N327" s="14" t="s">
        <v>25</v>
      </c>
      <c r="O327" s="15">
        <v>1.75E8</v>
      </c>
      <c r="P327" s="10">
        <f t="shared" si="2"/>
        <v>0</v>
      </c>
      <c r="Q327" s="12">
        <f t="shared" si="3"/>
        <v>86753780</v>
      </c>
      <c r="R327" s="14">
        <v>1995.0</v>
      </c>
      <c r="S327" s="14">
        <v>6.1</v>
      </c>
    </row>
    <row r="328" ht="15.75" customHeight="1">
      <c r="A328" s="25" t="s">
        <v>1395</v>
      </c>
      <c r="B328" s="8" t="str">
        <f>IFERROR(__xludf.DUMMYFUNCTION("REGEXREPLACE(A328, ""[^0-9a-zA-Z .'Ã]"","""")"),"Trey Parker")</f>
        <v>Trey Parker</v>
      </c>
      <c r="C328" s="26">
        <v>163.0</v>
      </c>
      <c r="D328" s="27">
        <v>5.2008288E7</v>
      </c>
      <c r="E328" s="26" t="s">
        <v>1396</v>
      </c>
      <c r="F328" s="9">
        <f t="shared" si="1"/>
        <v>4</v>
      </c>
      <c r="G328" s="26" t="s">
        <v>1397</v>
      </c>
      <c r="H328" s="11" t="str">
        <f>IFERROR(__xludf.DUMMYFUNCTION("REGEXREPLACE(G328, ""[^0-9a-zA-Z .'Ã]"","""")"),"Minnie Driver")</f>
        <v>Minnie Driver</v>
      </c>
      <c r="I328" s="28" t="s">
        <v>1398</v>
      </c>
      <c r="J328" s="26">
        <v>162037.0</v>
      </c>
      <c r="K328" s="26" t="s">
        <v>1399</v>
      </c>
      <c r="L328" s="26">
        <v>928.0</v>
      </c>
      <c r="M328" s="26" t="s">
        <v>24</v>
      </c>
      <c r="N328" s="26" t="s">
        <v>25</v>
      </c>
      <c r="O328" s="27">
        <v>2.1E7</v>
      </c>
      <c r="P328" s="10">
        <f t="shared" si="2"/>
        <v>31008288</v>
      </c>
      <c r="Q328" s="12">
        <f t="shared" si="3"/>
        <v>0</v>
      </c>
      <c r="R328" s="26">
        <v>1999.0</v>
      </c>
      <c r="S328" s="26">
        <v>7.8</v>
      </c>
    </row>
    <row r="329" ht="15.75" customHeight="1">
      <c r="A329" s="7" t="s">
        <v>73</v>
      </c>
      <c r="B329" s="8" t="str">
        <f>IFERROR(__xludf.DUMMYFUNCTION("REGEXREPLACE(A329, ""[^0-9a-zA-Z .'Ã]"","""")"),"Ridley Scott")</f>
        <v>Ridley Scott</v>
      </c>
      <c r="C329" s="9">
        <v>37.0</v>
      </c>
      <c r="D329" s="10">
        <v>1.03E7</v>
      </c>
      <c r="E329" s="9" t="s">
        <v>892</v>
      </c>
      <c r="F329" s="9">
        <f t="shared" si="1"/>
        <v>2</v>
      </c>
      <c r="G329" s="9" t="s">
        <v>1400</v>
      </c>
      <c r="H329" s="11" t="str">
        <f>IFERROR(__xludf.DUMMYFUNCTION("REGEXREPLACE(G329, ""[^0-9a-zA-Z .'Ã]"","""")"),"Jeff Bridges")</f>
        <v>Jeff Bridges</v>
      </c>
      <c r="I329" s="11" t="s">
        <v>1401</v>
      </c>
      <c r="J329" s="9">
        <v>17859.0</v>
      </c>
      <c r="K329" s="9" t="s">
        <v>1402</v>
      </c>
      <c r="L329" s="9">
        <v>89.0</v>
      </c>
      <c r="M329" s="9" t="s">
        <v>24</v>
      </c>
      <c r="N329" s="9" t="s">
        <v>25</v>
      </c>
      <c r="O329" s="10">
        <v>3.8E7</v>
      </c>
      <c r="P329" s="10">
        <f t="shared" si="2"/>
        <v>0</v>
      </c>
      <c r="Q329" s="12">
        <f t="shared" si="3"/>
        <v>27700000</v>
      </c>
      <c r="R329" s="9">
        <v>1996.0</v>
      </c>
      <c r="S329" s="9">
        <v>6.6</v>
      </c>
    </row>
    <row r="330" ht="15.75" customHeight="1">
      <c r="A330" s="7" t="s">
        <v>756</v>
      </c>
      <c r="B330" s="8" t="str">
        <f>IFERROR(__xludf.DUMMYFUNCTION("REGEXREPLACE(A330, ""[^0-9a-zA-Z .'Ã]"","""")"),"Adam Shankman")</f>
        <v>Adam Shankman</v>
      </c>
      <c r="C330" s="9">
        <v>360.0</v>
      </c>
      <c r="D330" s="10">
        <v>3.8509342E7</v>
      </c>
      <c r="E330" s="9" t="s">
        <v>1403</v>
      </c>
      <c r="F330" s="9">
        <f t="shared" si="1"/>
        <v>4</v>
      </c>
      <c r="G330" s="9" t="s">
        <v>1404</v>
      </c>
      <c r="H330" s="11" t="str">
        <f>IFERROR(__xludf.DUMMYFUNCTION("REGEXREPLACE(G330, ""[^0-9a-zA-Z .'Ã]"","""")"),"James Martin Kelly")</f>
        <v>James Martin Kelly</v>
      </c>
      <c r="I330" s="11" t="s">
        <v>1405</v>
      </c>
      <c r="J330" s="9">
        <v>61995.0</v>
      </c>
      <c r="K330" s="9" t="s">
        <v>1406</v>
      </c>
      <c r="L330" s="9">
        <v>356.0</v>
      </c>
      <c r="M330" s="9" t="s">
        <v>24</v>
      </c>
      <c r="N330" s="9" t="s">
        <v>25</v>
      </c>
      <c r="O330" s="10">
        <v>7.5E7</v>
      </c>
      <c r="P330" s="10">
        <f t="shared" si="2"/>
        <v>0</v>
      </c>
      <c r="Q330" s="12">
        <f t="shared" si="3"/>
        <v>36490658</v>
      </c>
      <c r="R330" s="9">
        <v>2012.0</v>
      </c>
      <c r="S330" s="9">
        <v>5.9</v>
      </c>
    </row>
    <row r="331" ht="15.75" customHeight="1">
      <c r="A331" s="7" t="s">
        <v>1386</v>
      </c>
      <c r="B331" s="8" t="str">
        <f>IFERROR(__xludf.DUMMYFUNCTION("REGEXREPLACE(A331, ""[^0-9a-zA-Z .'Ã]"","""")"),"Jonathan Liebesman")</f>
        <v>Jonathan Liebesman</v>
      </c>
      <c r="C331" s="9">
        <v>355.0</v>
      </c>
      <c r="D331" s="10">
        <v>8.3552429E7</v>
      </c>
      <c r="E331" s="9" t="s">
        <v>848</v>
      </c>
      <c r="F331" s="9">
        <f t="shared" si="1"/>
        <v>2</v>
      </c>
      <c r="G331" s="9" t="s">
        <v>1388</v>
      </c>
      <c r="H331" s="11" t="str">
        <f>IFERROR(__xludf.DUMMYFUNCTION("REGEXREPLACE(G331, ""[^0-9a-zA-Z .'Ã]"","""")"),"Noel Fisher")</f>
        <v>Noel Fisher</v>
      </c>
      <c r="I331" s="11" t="s">
        <v>1407</v>
      </c>
      <c r="J331" s="9">
        <v>154955.0</v>
      </c>
      <c r="K331" s="9" t="s">
        <v>1408</v>
      </c>
      <c r="L331" s="9">
        <v>800.0</v>
      </c>
      <c r="M331" s="9" t="s">
        <v>24</v>
      </c>
      <c r="N331" s="9" t="s">
        <v>25</v>
      </c>
      <c r="O331" s="10">
        <v>7.0E7</v>
      </c>
      <c r="P331" s="10">
        <f t="shared" si="2"/>
        <v>13552429</v>
      </c>
      <c r="Q331" s="12">
        <f t="shared" si="3"/>
        <v>0</v>
      </c>
      <c r="R331" s="9">
        <v>2011.0</v>
      </c>
      <c r="S331" s="9">
        <v>5.8</v>
      </c>
    </row>
    <row r="332" ht="15.75" customHeight="1">
      <c r="A332" s="7" t="s">
        <v>1409</v>
      </c>
      <c r="B332" s="8" t="str">
        <f>IFERROR(__xludf.DUMMYFUNCTION("REGEXREPLACE(A332, ""[^0-9a-zA-Z .'Ã]"","""")"),"Lewis Gilbert")</f>
        <v>Lewis Gilbert</v>
      </c>
      <c r="C332" s="9">
        <v>112.0</v>
      </c>
      <c r="D332" s="10">
        <v>4.68E7</v>
      </c>
      <c r="E332" s="9" t="s">
        <v>794</v>
      </c>
      <c r="F332" s="9">
        <f t="shared" si="1"/>
        <v>4</v>
      </c>
      <c r="G332" s="9" t="s">
        <v>1410</v>
      </c>
      <c r="H332" s="11" t="str">
        <f>IFERROR(__xludf.DUMMYFUNCTION("REGEXREPLACE(G332, ""[^0-9a-zA-Z .'Ã]"","""")"),"Caroline Munro")</f>
        <v>Caroline Munro</v>
      </c>
      <c r="I332" s="11" t="s">
        <v>1411</v>
      </c>
      <c r="J332" s="9">
        <v>76477.0</v>
      </c>
      <c r="K332" s="9" t="s">
        <v>1412</v>
      </c>
      <c r="L332" s="9">
        <v>275.0</v>
      </c>
      <c r="M332" s="9" t="s">
        <v>24</v>
      </c>
      <c r="N332" s="9" t="s">
        <v>130</v>
      </c>
      <c r="O332" s="10">
        <v>1.4E7</v>
      </c>
      <c r="P332" s="10">
        <f t="shared" si="2"/>
        <v>32800000</v>
      </c>
      <c r="Q332" s="12">
        <f t="shared" si="3"/>
        <v>0</v>
      </c>
      <c r="R332" s="9">
        <v>1977.0</v>
      </c>
      <c r="S332" s="9">
        <v>7.1</v>
      </c>
    </row>
    <row r="333" ht="15.75" customHeight="1">
      <c r="A333" s="17" t="s">
        <v>38</v>
      </c>
      <c r="B333" s="8" t="str">
        <f>IFERROR(__xludf.DUMMYFUNCTION("REGEXREPLACE(A333, ""[^0-9a-zA-Z .'Ã]"","""")"),"Clint Eastwood")</f>
        <v>Clint Eastwood</v>
      </c>
      <c r="C333" s="18">
        <v>43.0</v>
      </c>
      <c r="D333" s="19">
        <v>4.67E7</v>
      </c>
      <c r="E333" s="18" t="s">
        <v>474</v>
      </c>
      <c r="F333" s="9">
        <f t="shared" si="1"/>
        <v>3</v>
      </c>
      <c r="G333" s="18" t="s">
        <v>38</v>
      </c>
      <c r="H333" s="11" t="str">
        <f>IFERROR(__xludf.DUMMYFUNCTION("REGEXREPLACE(G333, ""[^0-9a-zA-Z .'Ã]"","""")"),"Clint Eastwood")</f>
        <v>Clint Eastwood</v>
      </c>
      <c r="I333" s="20" t="s">
        <v>1413</v>
      </c>
      <c r="J333" s="18">
        <v>19832.0</v>
      </c>
      <c r="K333" s="18" t="s">
        <v>1414</v>
      </c>
      <c r="L333" s="18">
        <v>98.0</v>
      </c>
      <c r="M333" s="18" t="s">
        <v>24</v>
      </c>
      <c r="N333" s="18" t="s">
        <v>25</v>
      </c>
      <c r="O333" s="19">
        <v>2.1E7</v>
      </c>
      <c r="P333" s="10">
        <f t="shared" si="2"/>
        <v>25700000</v>
      </c>
      <c r="Q333" s="12">
        <f t="shared" si="3"/>
        <v>0</v>
      </c>
      <c r="R333" s="18">
        <v>1982.0</v>
      </c>
      <c r="S333" s="18">
        <v>5.9</v>
      </c>
    </row>
    <row r="334" ht="15.75" customHeight="1">
      <c r="A334" s="17" t="s">
        <v>1415</v>
      </c>
      <c r="B334" s="8" t="str">
        <f>IFERROR(__xludf.DUMMYFUNCTION("REGEXREPLACE(A334, ""[^0-9a-zA-Z .'Ã]"","""")"),"Robert Altman")</f>
        <v>Robert Altman</v>
      </c>
      <c r="C334" s="18">
        <v>187.0</v>
      </c>
      <c r="D334" s="19">
        <v>4.1300105E7</v>
      </c>
      <c r="E334" s="18" t="s">
        <v>79</v>
      </c>
      <c r="F334" s="9">
        <f t="shared" si="1"/>
        <v>2</v>
      </c>
      <c r="G334" s="18" t="s">
        <v>1416</v>
      </c>
      <c r="H334" s="11" t="str">
        <f>IFERROR(__xludf.DUMMYFUNCTION("REGEXREPLACE(G334, ""[^0-9a-zA-Z .'Ã]"","""")"),"Kristin Scott Thomas")</f>
        <v>Kristin Scott Thomas</v>
      </c>
      <c r="I334" s="20" t="s">
        <v>1417</v>
      </c>
      <c r="J334" s="18">
        <v>65201.0</v>
      </c>
      <c r="K334" s="18" t="s">
        <v>1418</v>
      </c>
      <c r="L334" s="18">
        <v>651.0</v>
      </c>
      <c r="M334" s="18" t="s">
        <v>24</v>
      </c>
      <c r="N334" s="18" t="s">
        <v>130</v>
      </c>
      <c r="O334" s="19">
        <v>1.98E7</v>
      </c>
      <c r="P334" s="10">
        <f t="shared" si="2"/>
        <v>21500105</v>
      </c>
      <c r="Q334" s="12">
        <f t="shared" si="3"/>
        <v>0</v>
      </c>
      <c r="R334" s="18">
        <v>2001.0</v>
      </c>
      <c r="S334" s="18">
        <v>7.3</v>
      </c>
    </row>
    <row r="335" ht="15.75" customHeight="1">
      <c r="A335" s="21" t="s">
        <v>1419</v>
      </c>
      <c r="B335" s="8" t="str">
        <f>IFERROR(__xludf.DUMMYFUNCTION("REGEXREPLACE(A335, ""[^0-9a-zA-Z .'Ã]"","""")"),"Marc Lawrence")</f>
        <v>Marc Lawrence</v>
      </c>
      <c r="C335" s="22">
        <v>118.0</v>
      </c>
      <c r="D335" s="23">
        <v>9.3307796E7</v>
      </c>
      <c r="E335" s="22" t="s">
        <v>89</v>
      </c>
      <c r="F335" s="9">
        <f t="shared" si="1"/>
        <v>2</v>
      </c>
      <c r="G335" s="22" t="s">
        <v>1420</v>
      </c>
      <c r="H335" s="11" t="str">
        <f>IFERROR(__xludf.DUMMYFUNCTION("REGEXREPLACE(G335, ""[^0-9a-zA-Z .'Ã]"","""")"),"Dorian Missick")</f>
        <v>Dorian Missick</v>
      </c>
      <c r="I335" s="24" t="s">
        <v>1421</v>
      </c>
      <c r="J335" s="22">
        <v>85673.0</v>
      </c>
      <c r="K335" s="22" t="s">
        <v>1422</v>
      </c>
      <c r="L335" s="22">
        <v>269.0</v>
      </c>
      <c r="M335" s="22" t="s">
        <v>24</v>
      </c>
      <c r="N335" s="22" t="s">
        <v>25</v>
      </c>
      <c r="O335" s="23">
        <v>6.0E7</v>
      </c>
      <c r="P335" s="10">
        <f t="shared" si="2"/>
        <v>33307796</v>
      </c>
      <c r="Q335" s="12">
        <f t="shared" si="3"/>
        <v>0</v>
      </c>
      <c r="R335" s="22">
        <v>2002.0</v>
      </c>
      <c r="S335" s="22">
        <v>6.1</v>
      </c>
    </row>
    <row r="336" ht="15.75" customHeight="1">
      <c r="A336" s="29" t="s">
        <v>43</v>
      </c>
      <c r="B336" s="8" t="str">
        <f>IFERROR(__xludf.DUMMYFUNCTION("REGEXREPLACE(A336, ""[^0-9a-zA-Z .'Ã]"","""")"),"Gregory Hoblit")</f>
        <v>Gregory Hoblit</v>
      </c>
      <c r="C336" s="30">
        <v>112.0</v>
      </c>
      <c r="D336" s="31">
        <v>1.9076815E7</v>
      </c>
      <c r="E336" s="30" t="s">
        <v>679</v>
      </c>
      <c r="F336" s="9">
        <f t="shared" si="1"/>
        <v>2</v>
      </c>
      <c r="G336" s="30" t="s">
        <v>55</v>
      </c>
      <c r="H336" s="11" t="str">
        <f>IFERROR(__xludf.DUMMYFUNCTION("REGEXREPLACE(G336, ""[^0-9a-zA-Z .'Ã]"","""")"),"Bruce Willis")</f>
        <v>Bruce Willis</v>
      </c>
      <c r="I336" s="32" t="s">
        <v>1423</v>
      </c>
      <c r="J336" s="30">
        <v>43651.0</v>
      </c>
      <c r="K336" s="30" t="s">
        <v>1424</v>
      </c>
      <c r="L336" s="30">
        <v>196.0</v>
      </c>
      <c r="M336" s="30" t="s">
        <v>24</v>
      </c>
      <c r="N336" s="30" t="s">
        <v>25</v>
      </c>
      <c r="O336" s="31">
        <v>6.0E7</v>
      </c>
      <c r="P336" s="10">
        <f t="shared" si="2"/>
        <v>0</v>
      </c>
      <c r="Q336" s="12">
        <f t="shared" si="3"/>
        <v>40923185</v>
      </c>
      <c r="R336" s="30">
        <v>2002.0</v>
      </c>
      <c r="S336" s="30">
        <v>6.3</v>
      </c>
    </row>
    <row r="337" ht="15.75" customHeight="1">
      <c r="A337" s="7" t="s">
        <v>1425</v>
      </c>
      <c r="B337" s="8" t="str">
        <f>IFERROR(__xludf.DUMMYFUNCTION("REGEXREPLACE(A337, ""[^0-9a-zA-Z .'Ã]"","""")"),"David Fincher")</f>
        <v>David Fincher</v>
      </c>
      <c r="C337" s="9">
        <v>315.0</v>
      </c>
      <c r="D337" s="10">
        <v>3.7023395E7</v>
      </c>
      <c r="E337" s="9" t="s">
        <v>103</v>
      </c>
      <c r="F337" s="9">
        <f t="shared" si="1"/>
        <v>1</v>
      </c>
      <c r="G337" s="9" t="s">
        <v>1426</v>
      </c>
      <c r="H337" s="11" t="str">
        <f>IFERROR(__xludf.DUMMYFUNCTION("REGEXREPLACE(G337, ""[^0-9a-zA-Z .'Ã]"","""")"),"Brad Pitt")</f>
        <v>Brad Pitt</v>
      </c>
      <c r="I337" s="11" t="s">
        <v>1427</v>
      </c>
      <c r="J337" s="9">
        <v>1347461.0</v>
      </c>
      <c r="K337" s="9" t="s">
        <v>1428</v>
      </c>
      <c r="L337" s="9">
        <v>2968.0</v>
      </c>
      <c r="M337" s="9" t="s">
        <v>24</v>
      </c>
      <c r="N337" s="9" t="s">
        <v>25</v>
      </c>
      <c r="O337" s="10">
        <v>6.3E7</v>
      </c>
      <c r="P337" s="10">
        <f t="shared" si="2"/>
        <v>0</v>
      </c>
      <c r="Q337" s="12">
        <f t="shared" si="3"/>
        <v>25976605</v>
      </c>
      <c r="R337" s="9">
        <v>1999.0</v>
      </c>
      <c r="S337" s="9">
        <v>8.8</v>
      </c>
    </row>
    <row r="338" ht="15.75" customHeight="1">
      <c r="A338" s="7" t="s">
        <v>1429</v>
      </c>
      <c r="B338" s="8" t="str">
        <f>IFERROR(__xludf.DUMMYFUNCTION("REGEXREPLACE(A338, ""[^0-9a-zA-Z .'Ã]"","""")"),"Ron Underwood")</f>
        <v>Ron Underwood</v>
      </c>
      <c r="C338" s="9">
        <v>132.0</v>
      </c>
      <c r="D338" s="10">
        <v>1.6667084E7</v>
      </c>
      <c r="E338" s="9" t="s">
        <v>1430</v>
      </c>
      <c r="F338" s="9">
        <f t="shared" si="1"/>
        <v>3</v>
      </c>
      <c r="G338" s="9" t="s">
        <v>1431</v>
      </c>
      <c r="H338" s="11" t="str">
        <f>IFERROR(__xludf.DUMMYFUNCTION("REGEXREPLACE(G338, ""[^0-9a-zA-Z .'Ã]"","""")"),"Reba McEntire")</f>
        <v>Reba McEntire</v>
      </c>
      <c r="I338" s="11" t="s">
        <v>1432</v>
      </c>
      <c r="J338" s="9">
        <v>90070.0</v>
      </c>
      <c r="K338" s="9" t="s">
        <v>1433</v>
      </c>
      <c r="L338" s="9">
        <v>248.0</v>
      </c>
      <c r="M338" s="9" t="s">
        <v>24</v>
      </c>
      <c r="N338" s="9" t="s">
        <v>25</v>
      </c>
      <c r="O338" s="10">
        <v>1.1E7</v>
      </c>
      <c r="P338" s="10">
        <f t="shared" si="2"/>
        <v>5667084</v>
      </c>
      <c r="Q338" s="12">
        <f t="shared" si="3"/>
        <v>0</v>
      </c>
      <c r="R338" s="9">
        <v>1990.0</v>
      </c>
      <c r="S338" s="9">
        <v>7.1</v>
      </c>
    </row>
    <row r="339" ht="15.75" customHeight="1">
      <c r="A339" s="7" t="s">
        <v>1248</v>
      </c>
      <c r="B339" s="8" t="str">
        <f>IFERROR(__xludf.DUMMYFUNCTION("REGEXREPLACE(A339, ""[^0-9a-zA-Z .'Ã]"","""")"),"Paul Weitz")</f>
        <v>Paul Weitz</v>
      </c>
      <c r="C339" s="9">
        <v>153.0</v>
      </c>
      <c r="D339" s="10">
        <v>7156725.0</v>
      </c>
      <c r="E339" s="9" t="s">
        <v>321</v>
      </c>
      <c r="F339" s="9">
        <f t="shared" si="1"/>
        <v>2</v>
      </c>
      <c r="G339" s="9" t="s">
        <v>642</v>
      </c>
      <c r="H339" s="11" t="str">
        <f>IFERROR(__xludf.DUMMYFUNCTION("REGEXREPLACE(G339, ""[^0-9a-zA-Z .'Ã]"","""")"),"Judy Greer")</f>
        <v>Judy Greer</v>
      </c>
      <c r="I339" s="11" t="s">
        <v>1434</v>
      </c>
      <c r="J339" s="9">
        <v>22639.0</v>
      </c>
      <c r="K339" s="9" t="s">
        <v>1435</v>
      </c>
      <c r="L339" s="9">
        <v>217.0</v>
      </c>
      <c r="M339" s="9" t="s">
        <v>24</v>
      </c>
      <c r="N339" s="9" t="s">
        <v>25</v>
      </c>
      <c r="O339" s="10">
        <v>1.9E7</v>
      </c>
      <c r="P339" s="10">
        <f t="shared" si="2"/>
        <v>0</v>
      </c>
      <c r="Q339" s="12">
        <f t="shared" si="3"/>
        <v>11843275</v>
      </c>
      <c r="R339" s="9">
        <v>2006.0</v>
      </c>
      <c r="S339" s="9">
        <v>5.5</v>
      </c>
    </row>
    <row r="340" ht="15.75" customHeight="1">
      <c r="A340" s="7" t="s">
        <v>368</v>
      </c>
      <c r="B340" s="8" t="str">
        <f>IFERROR(__xludf.DUMMYFUNCTION("REGEXREPLACE(A340, ""[^0-9a-zA-Z .'Ã]"","""")"),"Jon Turteltaub")</f>
        <v>Jon Turteltaub</v>
      </c>
      <c r="C340" s="9">
        <v>86.0</v>
      </c>
      <c r="D340" s="10">
        <v>6.9688384E7</v>
      </c>
      <c r="E340" s="9" t="s">
        <v>514</v>
      </c>
      <c r="F340" s="9">
        <f t="shared" si="1"/>
        <v>3</v>
      </c>
      <c r="G340" s="9" t="s">
        <v>55</v>
      </c>
      <c r="H340" s="11" t="str">
        <f>IFERROR(__xludf.DUMMYFUNCTION("REGEXREPLACE(G340, ""[^0-9a-zA-Z .'Ã]"","""")"),"Bruce Willis")</f>
        <v>Bruce Willis</v>
      </c>
      <c r="I340" s="11" t="s">
        <v>1436</v>
      </c>
      <c r="J340" s="9">
        <v>34473.0</v>
      </c>
      <c r="K340" s="9" t="s">
        <v>1437</v>
      </c>
      <c r="L340" s="9">
        <v>139.0</v>
      </c>
      <c r="M340" s="9" t="s">
        <v>24</v>
      </c>
      <c r="N340" s="9" t="s">
        <v>25</v>
      </c>
      <c r="O340" s="10">
        <v>6.0E7</v>
      </c>
      <c r="P340" s="10">
        <f t="shared" si="2"/>
        <v>9688384</v>
      </c>
      <c r="Q340" s="12">
        <f t="shared" si="3"/>
        <v>0</v>
      </c>
      <c r="R340" s="9">
        <v>2000.0</v>
      </c>
      <c r="S340" s="9">
        <v>6.1</v>
      </c>
    </row>
    <row r="341" ht="15.75" customHeight="1">
      <c r="A341" s="21" t="s">
        <v>1123</v>
      </c>
      <c r="B341" s="8" t="str">
        <f>IFERROR(__xludf.DUMMYFUNCTION("REGEXREPLACE(A341, ""[^0-9a-zA-Z .'Ã]"","""")"),"Ron Howard")</f>
        <v>Ron Howard</v>
      </c>
      <c r="C341" s="22">
        <v>289.0</v>
      </c>
      <c r="D341" s="23">
        <v>2.4985612E7</v>
      </c>
      <c r="E341" s="22" t="s">
        <v>1438</v>
      </c>
      <c r="F341" s="9">
        <f t="shared" si="1"/>
        <v>6</v>
      </c>
      <c r="G341" s="22" t="s">
        <v>1439</v>
      </c>
      <c r="H341" s="11" t="str">
        <f>IFERROR(__xludf.DUMMYFUNCTION("REGEXREPLACE(G341, ""[^0-9a-zA-Z .'Ã]"","""")"),"Chris Hemsworth")</f>
        <v>Chris Hemsworth</v>
      </c>
      <c r="I341" s="24" t="s">
        <v>1440</v>
      </c>
      <c r="J341" s="22">
        <v>71782.0</v>
      </c>
      <c r="K341" s="22" t="s">
        <v>1441</v>
      </c>
      <c r="L341" s="22">
        <v>161.0</v>
      </c>
      <c r="M341" s="22" t="s">
        <v>24</v>
      </c>
      <c r="N341" s="22" t="s">
        <v>25</v>
      </c>
      <c r="O341" s="23">
        <v>1.0E8</v>
      </c>
      <c r="P341" s="10">
        <f t="shared" si="2"/>
        <v>0</v>
      </c>
      <c r="Q341" s="12">
        <f t="shared" si="3"/>
        <v>75014388</v>
      </c>
      <c r="R341" s="22">
        <v>2015.0</v>
      </c>
      <c r="S341" s="22">
        <v>7.0</v>
      </c>
    </row>
    <row r="342" ht="15.75" customHeight="1">
      <c r="A342" s="29" t="s">
        <v>1442</v>
      </c>
      <c r="B342" s="8" t="str">
        <f>IFERROR(__xludf.DUMMYFUNCTION("REGEXREPLACE(A342, ""[^0-9a-zA-Z .'Ã]"","""")"),"Josh Gordon")</f>
        <v>Josh Gordon</v>
      </c>
      <c r="C342" s="30">
        <v>181.0</v>
      </c>
      <c r="D342" s="31">
        <v>2.7758465E7</v>
      </c>
      <c r="E342" s="30" t="s">
        <v>159</v>
      </c>
      <c r="F342" s="9">
        <f t="shared" si="1"/>
        <v>3</v>
      </c>
      <c r="G342" s="30" t="s">
        <v>1443</v>
      </c>
      <c r="H342" s="11" t="str">
        <f>IFERROR(__xludf.DUMMYFUNCTION("REGEXREPLACE(G342, ""[^0-9a-zA-Z .'Ã]"","""")"),"Caroline Dhavernas")</f>
        <v>Caroline Dhavernas</v>
      </c>
      <c r="I342" s="32" t="s">
        <v>1444</v>
      </c>
      <c r="J342" s="30">
        <v>77987.0</v>
      </c>
      <c r="K342" s="30" t="s">
        <v>1445</v>
      </c>
      <c r="L342" s="30">
        <v>120.0</v>
      </c>
      <c r="M342" s="30" t="s">
        <v>24</v>
      </c>
      <c r="N342" s="30" t="s">
        <v>25</v>
      </c>
      <c r="O342" s="31">
        <v>1.9E7</v>
      </c>
      <c r="P342" s="10">
        <f t="shared" si="2"/>
        <v>8758465</v>
      </c>
      <c r="Q342" s="12">
        <f t="shared" si="3"/>
        <v>0</v>
      </c>
      <c r="R342" s="30">
        <v>2010.0</v>
      </c>
      <c r="S342" s="30">
        <v>6.1</v>
      </c>
    </row>
    <row r="343" ht="15.75" customHeight="1">
      <c r="A343" s="7" t="s">
        <v>174</v>
      </c>
      <c r="B343" s="8" t="str">
        <f>IFERROR(__xludf.DUMMYFUNCTION("REGEXREPLACE(A343, ""[^0-9a-zA-Z .'Ã]"","""")"),"Roland Emmerich")</f>
        <v>Roland Emmerich</v>
      </c>
      <c r="C343" s="9">
        <v>192.0</v>
      </c>
      <c r="D343" s="10">
        <v>1.13330342E8</v>
      </c>
      <c r="E343" s="9" t="s">
        <v>1446</v>
      </c>
      <c r="F343" s="9">
        <f t="shared" si="1"/>
        <v>4</v>
      </c>
      <c r="G343" s="9" t="s">
        <v>1156</v>
      </c>
      <c r="H343" s="11" t="str">
        <f>IFERROR(__xludf.DUMMYFUNCTION("REGEXREPLACE(G343, ""[^0-9a-zA-Z .'Ã]"","""")"),"Heath Ledger")</f>
        <v>Heath Ledger</v>
      </c>
      <c r="I343" s="11" t="s">
        <v>1447</v>
      </c>
      <c r="J343" s="9">
        <v>207613.0</v>
      </c>
      <c r="K343" s="9" t="s">
        <v>1448</v>
      </c>
      <c r="L343" s="9">
        <v>1144.0</v>
      </c>
      <c r="M343" s="9" t="s">
        <v>24</v>
      </c>
      <c r="N343" s="9" t="s">
        <v>25</v>
      </c>
      <c r="O343" s="10">
        <v>1.1E8</v>
      </c>
      <c r="P343" s="10">
        <f t="shared" si="2"/>
        <v>3330342</v>
      </c>
      <c r="Q343" s="12">
        <f t="shared" si="3"/>
        <v>0</v>
      </c>
      <c r="R343" s="9">
        <v>2000.0</v>
      </c>
      <c r="S343" s="9">
        <v>7.1</v>
      </c>
    </row>
    <row r="344" ht="15.75" customHeight="1">
      <c r="A344" s="17" t="s">
        <v>1449</v>
      </c>
      <c r="B344" s="8" t="str">
        <f>IFERROR(__xludf.DUMMYFUNCTION("REGEXREPLACE(A344, ""[^0-9a-zA-Z .'Ã]"","""")"),"Laurent Tirard")</f>
        <v>Laurent Tirard</v>
      </c>
      <c r="C344" s="18">
        <v>78.0</v>
      </c>
      <c r="D344" s="19">
        <v>634277.0</v>
      </c>
      <c r="E344" s="18" t="s">
        <v>1450</v>
      </c>
      <c r="F344" s="9">
        <f t="shared" si="1"/>
        <v>2</v>
      </c>
      <c r="G344" s="18" t="s">
        <v>1451</v>
      </c>
      <c r="H344" s="11" t="str">
        <f>IFERROR(__xludf.DUMMYFUNCTION("REGEXREPLACE(G344, ""[^0-9a-zA-Z .'Ã]"","""")"),"Romain Duris")</f>
        <v>Romain Duris</v>
      </c>
      <c r="I344" s="20" t="s">
        <v>1452</v>
      </c>
      <c r="J344" s="18">
        <v>5166.0</v>
      </c>
      <c r="K344" s="18" t="s">
        <v>1453</v>
      </c>
      <c r="L344" s="18">
        <v>27.0</v>
      </c>
      <c r="M344" s="18" t="s">
        <v>658</v>
      </c>
      <c r="N344" s="18" t="s">
        <v>608</v>
      </c>
      <c r="O344" s="19">
        <v>1.6E7</v>
      </c>
      <c r="P344" s="10">
        <f t="shared" si="2"/>
        <v>0</v>
      </c>
      <c r="Q344" s="12">
        <f t="shared" si="3"/>
        <v>15365723</v>
      </c>
      <c r="R344" s="18">
        <v>2007.0</v>
      </c>
      <c r="S344" s="18">
        <v>7.3</v>
      </c>
    </row>
    <row r="345" ht="15.75" customHeight="1">
      <c r="A345" s="17" t="s">
        <v>1454</v>
      </c>
      <c r="B345" s="8" t="str">
        <f>IFERROR(__xludf.DUMMYFUNCTION("REGEXREPLACE(A345, ""[^0-9a-zA-Z .'Ã]"","""")"),"Tom Shadyac")</f>
        <v>Tom Shadyac</v>
      </c>
      <c r="C345" s="18">
        <v>57.0</v>
      </c>
      <c r="D345" s="19">
        <v>1.28769345E8</v>
      </c>
      <c r="E345" s="18" t="s">
        <v>1455</v>
      </c>
      <c r="F345" s="9">
        <f t="shared" si="1"/>
        <v>3</v>
      </c>
      <c r="G345" s="18" t="s">
        <v>266</v>
      </c>
      <c r="H345" s="11" t="str">
        <f>IFERROR(__xludf.DUMMYFUNCTION("REGEXREPLACE(G345, ""[^0-9a-zA-Z .'Ã]"","""")"),"Jada Pinkett Smith")</f>
        <v>Jada Pinkett Smith</v>
      </c>
      <c r="I345" s="20" t="s">
        <v>1456</v>
      </c>
      <c r="J345" s="18">
        <v>86556.0</v>
      </c>
      <c r="K345" s="18" t="s">
        <v>1457</v>
      </c>
      <c r="L345" s="18">
        <v>99.0</v>
      </c>
      <c r="M345" s="18" t="s">
        <v>24</v>
      </c>
      <c r="N345" s="18" t="s">
        <v>25</v>
      </c>
      <c r="O345" s="19">
        <v>5.4E7</v>
      </c>
      <c r="P345" s="10">
        <f t="shared" si="2"/>
        <v>74769345</v>
      </c>
      <c r="Q345" s="12">
        <f t="shared" si="3"/>
        <v>0</v>
      </c>
      <c r="R345" s="18">
        <v>1996.0</v>
      </c>
      <c r="S345" s="18">
        <v>5.6</v>
      </c>
    </row>
    <row r="346" ht="15.75" customHeight="1">
      <c r="A346" s="17" t="s">
        <v>1458</v>
      </c>
      <c r="B346" s="8" t="str">
        <f>IFERROR(__xludf.DUMMYFUNCTION("REGEXREPLACE(A346, ""[^0-9a-zA-Z .'Ã]"","""")"),"Bobby Farrelly")</f>
        <v>Bobby Farrelly</v>
      </c>
      <c r="C346" s="18">
        <v>123.0</v>
      </c>
      <c r="D346" s="19">
        <v>3.3828318E7</v>
      </c>
      <c r="E346" s="18" t="s">
        <v>137</v>
      </c>
      <c r="F346" s="9">
        <f t="shared" si="1"/>
        <v>1</v>
      </c>
      <c r="G346" s="18" t="s">
        <v>585</v>
      </c>
      <c r="H346" s="11" t="str">
        <f>IFERROR(__xludf.DUMMYFUNCTION("REGEXREPLACE(G346, ""[^0-9a-zA-Z .'Ã]"","""")"),"Matt Damon")</f>
        <v>Matt Damon</v>
      </c>
      <c r="I346" s="20" t="s">
        <v>1459</v>
      </c>
      <c r="J346" s="18">
        <v>44453.0</v>
      </c>
      <c r="K346" s="18" t="s">
        <v>1460</v>
      </c>
      <c r="L346" s="18">
        <v>154.0</v>
      </c>
      <c r="M346" s="18" t="s">
        <v>24</v>
      </c>
      <c r="N346" s="18" t="s">
        <v>25</v>
      </c>
      <c r="O346" s="19">
        <v>5.5E7</v>
      </c>
      <c r="P346" s="10">
        <f t="shared" si="2"/>
        <v>0</v>
      </c>
      <c r="Q346" s="12">
        <f t="shared" si="3"/>
        <v>21171682</v>
      </c>
      <c r="R346" s="18">
        <v>2003.0</v>
      </c>
      <c r="S346" s="18">
        <v>5.8</v>
      </c>
    </row>
    <row r="347" ht="15.75" customHeight="1">
      <c r="A347" s="7" t="s">
        <v>1461</v>
      </c>
      <c r="B347" s="8" t="str">
        <f>IFERROR(__xludf.DUMMYFUNCTION("REGEXREPLACE(A347, ""[^0-9a-zA-Z .'Ã]"","""")"),"Stefan Ruzowitzky")</f>
        <v>Stefan Ruzowitzky</v>
      </c>
      <c r="C347" s="9">
        <v>62.0</v>
      </c>
      <c r="D347" s="10">
        <v>5725.0</v>
      </c>
      <c r="E347" s="9" t="s">
        <v>306</v>
      </c>
      <c r="F347" s="9">
        <f t="shared" si="1"/>
        <v>2</v>
      </c>
      <c r="G347" s="9" t="s">
        <v>1462</v>
      </c>
      <c r="H347" s="11" t="str">
        <f>IFERROR(__xludf.DUMMYFUNCTION("REGEXREPLACE(G347, ""[^0-9a-zA-Z .'Ã]"","""")"),"Benno FÃrmann")</f>
        <v>Benno FÃrmann</v>
      </c>
      <c r="I347" s="11" t="s">
        <v>1463</v>
      </c>
      <c r="J347" s="9">
        <v>10220.0</v>
      </c>
      <c r="K347" s="9" t="s">
        <v>1464</v>
      </c>
      <c r="L347" s="9">
        <v>110.0</v>
      </c>
      <c r="M347" s="9" t="s">
        <v>1042</v>
      </c>
      <c r="N347" s="9" t="s">
        <v>173</v>
      </c>
      <c r="O347" s="10">
        <v>8400000.0</v>
      </c>
      <c r="P347" s="10">
        <f t="shared" si="2"/>
        <v>0</v>
      </c>
      <c r="Q347" s="12">
        <f t="shared" si="3"/>
        <v>8394275</v>
      </c>
      <c r="R347" s="9">
        <v>2000.0</v>
      </c>
      <c r="S347" s="9">
        <v>6.1</v>
      </c>
    </row>
    <row r="348" ht="15.75" customHeight="1">
      <c r="A348" s="21" t="s">
        <v>1465</v>
      </c>
      <c r="B348" s="8" t="str">
        <f>IFERROR(__xludf.DUMMYFUNCTION("REGEXREPLACE(A348, ""[^0-9a-zA-Z .'Ã]"","""")"),"E. Elias Merhige")</f>
        <v>E. Elias Merhige</v>
      </c>
      <c r="C348" s="22">
        <v>196.0</v>
      </c>
      <c r="D348" s="23">
        <v>8279017.0</v>
      </c>
      <c r="E348" s="22" t="s">
        <v>1466</v>
      </c>
      <c r="F348" s="9">
        <f t="shared" si="1"/>
        <v>2</v>
      </c>
      <c r="G348" s="22" t="s">
        <v>1467</v>
      </c>
      <c r="H348" s="11" t="str">
        <f>IFERROR(__xludf.DUMMYFUNCTION("REGEXREPLACE(G348, ""[^0-9a-zA-Z .'Ã]"","""")"),"Eddie Izzard")</f>
        <v>Eddie Izzard</v>
      </c>
      <c r="I348" s="24" t="s">
        <v>1468</v>
      </c>
      <c r="J348" s="22">
        <v>34191.0</v>
      </c>
      <c r="K348" s="22" t="s">
        <v>1469</v>
      </c>
      <c r="L348" s="22">
        <v>339.0</v>
      </c>
      <c r="M348" s="22" t="s">
        <v>24</v>
      </c>
      <c r="N348" s="22" t="s">
        <v>130</v>
      </c>
      <c r="O348" s="23">
        <v>8000000.0</v>
      </c>
      <c r="P348" s="10">
        <f t="shared" si="2"/>
        <v>279017</v>
      </c>
      <c r="Q348" s="12">
        <f t="shared" si="3"/>
        <v>0</v>
      </c>
      <c r="R348" s="22">
        <v>2000.0</v>
      </c>
      <c r="S348" s="22">
        <v>6.9</v>
      </c>
    </row>
    <row r="349" ht="15.75" customHeight="1">
      <c r="A349" s="25" t="s">
        <v>1470</v>
      </c>
      <c r="B349" s="8" t="str">
        <f>IFERROR(__xludf.DUMMYFUNCTION("REGEXREPLACE(A349, ""[^0-9a-zA-Z .'Ã]"","""")"),"Danny Cannon")</f>
        <v>Danny Cannon</v>
      </c>
      <c r="C349" s="26">
        <v>125.0</v>
      </c>
      <c r="D349" s="27">
        <v>3.9989008E7</v>
      </c>
      <c r="E349" s="26" t="s">
        <v>565</v>
      </c>
      <c r="F349" s="9">
        <f t="shared" si="1"/>
        <v>2</v>
      </c>
      <c r="G349" s="26" t="s">
        <v>1471</v>
      </c>
      <c r="H349" s="11" t="str">
        <f>IFERROR(__xludf.DUMMYFUNCTION("REGEXREPLACE(G349, ""[^0-9a-zA-Z .'Ã]"","""")"),"Muse Watson")</f>
        <v>Muse Watson</v>
      </c>
      <c r="I349" s="28" t="s">
        <v>1472</v>
      </c>
      <c r="J349" s="26">
        <v>55398.0</v>
      </c>
      <c r="K349" s="26" t="s">
        <v>1473</v>
      </c>
      <c r="L349" s="26">
        <v>418.0</v>
      </c>
      <c r="M349" s="26" t="s">
        <v>24</v>
      </c>
      <c r="N349" s="26" t="s">
        <v>25</v>
      </c>
      <c r="O349" s="27">
        <v>2.4E7</v>
      </c>
      <c r="P349" s="10">
        <f t="shared" si="2"/>
        <v>15989008</v>
      </c>
      <c r="Q349" s="12">
        <f t="shared" si="3"/>
        <v>0</v>
      </c>
      <c r="R349" s="26">
        <v>1998.0</v>
      </c>
      <c r="S349" s="26">
        <v>4.6</v>
      </c>
    </row>
    <row r="350" ht="15.75" customHeight="1">
      <c r="A350" s="7" t="s">
        <v>1474</v>
      </c>
      <c r="B350" s="8" t="str">
        <f>IFERROR(__xludf.DUMMYFUNCTION("REGEXREPLACE(A350, ""[^0-9a-zA-Z .'Ã]"","""")"),"Guillermo del Toro")</f>
        <v>Guillermo del Toro</v>
      </c>
      <c r="C350" s="9">
        <v>242.0</v>
      </c>
      <c r="D350" s="10">
        <v>5.9035104E7</v>
      </c>
      <c r="E350" s="9" t="s">
        <v>1475</v>
      </c>
      <c r="F350" s="9">
        <f t="shared" si="1"/>
        <v>4</v>
      </c>
      <c r="G350" s="9" t="s">
        <v>1476</v>
      </c>
      <c r="H350" s="11" t="str">
        <f>IFERROR(__xludf.DUMMYFUNCTION("REGEXREPLACE(G350, ""[^0-9a-zA-Z .'Ã]"","""")"),"James Babson")</f>
        <v>James Babson</v>
      </c>
      <c r="I350" s="11" t="s">
        <v>1477</v>
      </c>
      <c r="J350" s="9">
        <v>244566.0</v>
      </c>
      <c r="K350" s="9" t="s">
        <v>1478</v>
      </c>
      <c r="L350" s="9">
        <v>597.0</v>
      </c>
      <c r="M350" s="9" t="s">
        <v>24</v>
      </c>
      <c r="N350" s="9" t="s">
        <v>25</v>
      </c>
      <c r="O350" s="10">
        <v>6.6E7</v>
      </c>
      <c r="P350" s="10">
        <f t="shared" si="2"/>
        <v>0</v>
      </c>
      <c r="Q350" s="12">
        <f t="shared" si="3"/>
        <v>6964896</v>
      </c>
      <c r="R350" s="9">
        <v>2004.0</v>
      </c>
      <c r="S350" s="9">
        <v>6.8</v>
      </c>
    </row>
    <row r="351" ht="15.75" customHeight="1">
      <c r="A351" s="21" t="s">
        <v>73</v>
      </c>
      <c r="B351" s="8" t="str">
        <f>IFERROR(__xludf.DUMMYFUNCTION("REGEXREPLACE(A351, ""[^0-9a-zA-Z .'Ã]"","""")"),"Ridley Scott")</f>
        <v>Ridley Scott</v>
      </c>
      <c r="C351" s="22">
        <v>239.0</v>
      </c>
      <c r="D351" s="23">
        <v>4.7396698E7</v>
      </c>
      <c r="E351" s="22" t="s">
        <v>1479</v>
      </c>
      <c r="F351" s="9">
        <f t="shared" si="1"/>
        <v>5</v>
      </c>
      <c r="G351" s="22" t="s">
        <v>605</v>
      </c>
      <c r="H351" s="11" t="str">
        <f>IFERROR(__xludf.DUMMYFUNCTION("REGEXREPLACE(G351, ""[^0-9a-zA-Z .'Ã]"","""")"),"Liam Neeson")</f>
        <v>Liam Neeson</v>
      </c>
      <c r="I351" s="24" t="s">
        <v>1480</v>
      </c>
      <c r="J351" s="22">
        <v>217373.0</v>
      </c>
      <c r="K351" s="22" t="s">
        <v>1481</v>
      </c>
      <c r="L351" s="22">
        <v>942.0</v>
      </c>
      <c r="M351" s="22" t="s">
        <v>24</v>
      </c>
      <c r="N351" s="22" t="s">
        <v>25</v>
      </c>
      <c r="O351" s="23">
        <v>1.3E8</v>
      </c>
      <c r="P351" s="10">
        <f t="shared" si="2"/>
        <v>0</v>
      </c>
      <c r="Q351" s="12">
        <f t="shared" si="3"/>
        <v>82603302</v>
      </c>
      <c r="R351" s="22">
        <v>2005.0</v>
      </c>
      <c r="S351" s="22">
        <v>7.2</v>
      </c>
    </row>
    <row r="352" ht="15.75" customHeight="1">
      <c r="A352" s="13" t="s">
        <v>1482</v>
      </c>
      <c r="B352" s="8" t="str">
        <f>IFERROR(__xludf.DUMMYFUNCTION("REGEXREPLACE(A352, ""[^0-9a-zA-Z .'Ã]"","""")"),"Roger Donaldson")</f>
        <v>Roger Donaldson</v>
      </c>
      <c r="C352" s="14">
        <v>222.0</v>
      </c>
      <c r="D352" s="15">
        <v>3.0028592E7</v>
      </c>
      <c r="E352" s="14" t="s">
        <v>810</v>
      </c>
      <c r="F352" s="9">
        <f t="shared" si="1"/>
        <v>4</v>
      </c>
      <c r="G352" s="14" t="s">
        <v>815</v>
      </c>
      <c r="H352" s="11" t="str">
        <f>IFERROR(__xludf.DUMMYFUNCTION("REGEXREPLACE(G352, ""[^0-9a-zA-Z .'Ã]"","""")"),"Jason Statham")</f>
        <v>Jason Statham</v>
      </c>
      <c r="I352" s="16" t="s">
        <v>1483</v>
      </c>
      <c r="J352" s="14">
        <v>152247.0</v>
      </c>
      <c r="K352" s="14" t="s">
        <v>1484</v>
      </c>
      <c r="L352" s="14">
        <v>189.0</v>
      </c>
      <c r="M352" s="14" t="s">
        <v>24</v>
      </c>
      <c r="N352" s="14" t="s">
        <v>130</v>
      </c>
      <c r="O352" s="15">
        <v>2.0E7</v>
      </c>
      <c r="P352" s="10">
        <f t="shared" si="2"/>
        <v>10028592</v>
      </c>
      <c r="Q352" s="12">
        <f t="shared" si="3"/>
        <v>0</v>
      </c>
      <c r="R352" s="14">
        <v>2008.0</v>
      </c>
      <c r="S352" s="14">
        <v>7.3</v>
      </c>
    </row>
    <row r="353" ht="15.75" customHeight="1">
      <c r="A353" s="13" t="s">
        <v>1485</v>
      </c>
      <c r="B353" s="8" t="str">
        <f>IFERROR(__xludf.DUMMYFUNCTION("REGEXREPLACE(A353, ""[^0-9a-zA-Z .'Ã]"","""")"),"Mark Steven Johnson")</f>
        <v>Mark Steven Johnson</v>
      </c>
      <c r="C353" s="14">
        <v>60.0</v>
      </c>
      <c r="D353" s="15">
        <v>1.8252684E7</v>
      </c>
      <c r="E353" s="14" t="s">
        <v>1486</v>
      </c>
      <c r="F353" s="9">
        <f t="shared" si="1"/>
        <v>3</v>
      </c>
      <c r="G353" s="14" t="s">
        <v>109</v>
      </c>
      <c r="H353" s="11" t="str">
        <f>IFERROR(__xludf.DUMMYFUNCTION("REGEXREPLACE(G353, ""[^0-9a-zA-Z .'Ã]"","""")"),"Oliver Platt")</f>
        <v>Oliver Platt</v>
      </c>
      <c r="I353" s="16" t="s">
        <v>1487</v>
      </c>
      <c r="J353" s="14">
        <v>18366.0</v>
      </c>
      <c r="K353" s="14" t="s">
        <v>1488</v>
      </c>
      <c r="L353" s="14">
        <v>219.0</v>
      </c>
      <c r="M353" s="14" t="s">
        <v>24</v>
      </c>
      <c r="N353" s="14" t="s">
        <v>25</v>
      </c>
      <c r="O353" s="15">
        <v>3.0E7</v>
      </c>
      <c r="P353" s="10">
        <f t="shared" si="2"/>
        <v>0</v>
      </c>
      <c r="Q353" s="12">
        <f t="shared" si="3"/>
        <v>11747316</v>
      </c>
      <c r="R353" s="14">
        <v>1998.0</v>
      </c>
      <c r="S353" s="14">
        <v>6.9</v>
      </c>
    </row>
    <row r="354" ht="15.75" customHeight="1">
      <c r="A354" s="25" t="s">
        <v>1489</v>
      </c>
      <c r="B354" s="8" t="str">
        <f>IFERROR(__xludf.DUMMYFUNCTION("REGEXREPLACE(A354, ""[^0-9a-zA-Z .'Ã]"","""")"),"John Madden")</f>
        <v>John Madden</v>
      </c>
      <c r="C354" s="26">
        <v>134.0</v>
      </c>
      <c r="D354" s="27">
        <v>1.00241322E8</v>
      </c>
      <c r="E354" s="26" t="s">
        <v>159</v>
      </c>
      <c r="F354" s="9">
        <f t="shared" si="1"/>
        <v>3</v>
      </c>
      <c r="G354" s="26" t="s">
        <v>1490</v>
      </c>
      <c r="H354" s="11" t="str">
        <f>IFERROR(__xludf.DUMMYFUNCTION("REGEXREPLACE(G354, ""[^0-9a-zA-Z .'Ã]"","""")"),"Tom Wilkinson")</f>
        <v>Tom Wilkinson</v>
      </c>
      <c r="I354" s="28" t="s">
        <v>1491</v>
      </c>
      <c r="J354" s="26">
        <v>175524.0</v>
      </c>
      <c r="K354" s="26" t="s">
        <v>1492</v>
      </c>
      <c r="L354" s="26">
        <v>752.0</v>
      </c>
      <c r="M354" s="26" t="s">
        <v>24</v>
      </c>
      <c r="N354" s="26" t="s">
        <v>25</v>
      </c>
      <c r="O354" s="27">
        <v>2.5E7</v>
      </c>
      <c r="P354" s="10">
        <f t="shared" si="2"/>
        <v>75241322</v>
      </c>
      <c r="Q354" s="12">
        <f t="shared" si="3"/>
        <v>0</v>
      </c>
      <c r="R354" s="26">
        <v>1998.0</v>
      </c>
      <c r="S354" s="26">
        <v>7.2</v>
      </c>
    </row>
    <row r="355" ht="15.75" customHeight="1">
      <c r="A355" s="7" t="s">
        <v>1493</v>
      </c>
      <c r="B355" s="8" t="str">
        <f>IFERROR(__xludf.DUMMYFUNCTION("REGEXREPLACE(A355, ""[^0-9a-zA-Z .'Ã]"","""")"),"Debra Granik")</f>
        <v>Debra Granik</v>
      </c>
      <c r="C355" s="9">
        <v>365.0</v>
      </c>
      <c r="D355" s="10">
        <v>6531491.0</v>
      </c>
      <c r="E355" s="9" t="s">
        <v>103</v>
      </c>
      <c r="F355" s="9">
        <f t="shared" si="1"/>
        <v>1</v>
      </c>
      <c r="G355" s="9" t="s">
        <v>1494</v>
      </c>
      <c r="H355" s="11" t="str">
        <f>IFERROR(__xludf.DUMMYFUNCTION("REGEXREPLACE(G355, ""[^0-9a-zA-Z .'Ã]"","""")"),"Jennifer Lawrence")</f>
        <v>Jennifer Lawrence</v>
      </c>
      <c r="I355" s="11" t="s">
        <v>1495</v>
      </c>
      <c r="J355" s="9">
        <v>111658.0</v>
      </c>
      <c r="K355" s="9" t="s">
        <v>1496</v>
      </c>
      <c r="L355" s="9">
        <v>297.0</v>
      </c>
      <c r="M355" s="9" t="s">
        <v>24</v>
      </c>
      <c r="N355" s="9" t="s">
        <v>25</v>
      </c>
      <c r="O355" s="10">
        <v>2000000.0</v>
      </c>
      <c r="P355" s="10">
        <f t="shared" si="2"/>
        <v>4531491</v>
      </c>
      <c r="Q355" s="12">
        <f t="shared" si="3"/>
        <v>0</v>
      </c>
      <c r="R355" s="9">
        <v>2010.0</v>
      </c>
      <c r="S355" s="9">
        <v>7.2</v>
      </c>
    </row>
    <row r="356" ht="15.75" customHeight="1">
      <c r="A356" s="21" t="s">
        <v>1497</v>
      </c>
      <c r="B356" s="8" t="str">
        <f>IFERROR(__xludf.DUMMYFUNCTION("REGEXREPLACE(A356, ""[^0-9a-zA-Z .'Ã]"","""")"),"Henry Selick")</f>
        <v>Henry Selick</v>
      </c>
      <c r="C356" s="22">
        <v>74.0</v>
      </c>
      <c r="D356" s="23">
        <v>5409517.0</v>
      </c>
      <c r="E356" s="22" t="s">
        <v>1498</v>
      </c>
      <c r="F356" s="9">
        <f t="shared" si="1"/>
        <v>3</v>
      </c>
      <c r="G356" s="22" t="s">
        <v>21</v>
      </c>
      <c r="H356" s="11" t="str">
        <f>IFERROR(__xludf.DUMMYFUNCTION("REGEXREPLACE(G356, ""[^0-9a-zA-Z .'Ã]"","""")"),"Brendan Fraser")</f>
        <v>Brendan Fraser</v>
      </c>
      <c r="I356" s="24" t="s">
        <v>1499</v>
      </c>
      <c r="J356" s="22">
        <v>14280.0</v>
      </c>
      <c r="K356" s="22" t="s">
        <v>1500</v>
      </c>
      <c r="L356" s="22">
        <v>171.0</v>
      </c>
      <c r="M356" s="22" t="s">
        <v>24</v>
      </c>
      <c r="N356" s="22" t="s">
        <v>25</v>
      </c>
      <c r="O356" s="23">
        <v>7.5E7</v>
      </c>
      <c r="P356" s="10">
        <f t="shared" si="2"/>
        <v>0</v>
      </c>
      <c r="Q356" s="12">
        <f t="shared" si="3"/>
        <v>69590483</v>
      </c>
      <c r="R356" s="22">
        <v>2001.0</v>
      </c>
      <c r="S356" s="22">
        <v>4.7</v>
      </c>
    </row>
    <row r="357" ht="15.75" customHeight="1">
      <c r="A357" s="25" t="s">
        <v>1501</v>
      </c>
      <c r="B357" s="8" t="str">
        <f>IFERROR(__xludf.DUMMYFUNCTION("REGEXREPLACE(A357, ""[^0-9a-zA-Z .'Ã]"","""")"),"Rob Bowman")</f>
        <v>Rob Bowman</v>
      </c>
      <c r="C357" s="26">
        <v>196.0</v>
      </c>
      <c r="D357" s="27">
        <v>2.4407944E7</v>
      </c>
      <c r="E357" s="26" t="s">
        <v>1502</v>
      </c>
      <c r="F357" s="9">
        <f t="shared" si="1"/>
        <v>4</v>
      </c>
      <c r="G357" s="26" t="s">
        <v>862</v>
      </c>
      <c r="H357" s="11" t="str">
        <f>IFERROR(__xludf.DUMMYFUNCTION("REGEXREPLACE(G357, ""[^0-9a-zA-Z .'Ã]"","""")"),"Jennifer Garner")</f>
        <v>Jennifer Garner</v>
      </c>
      <c r="I357" s="28" t="s">
        <v>1503</v>
      </c>
      <c r="J357" s="26">
        <v>71202.0</v>
      </c>
      <c r="K357" s="26" t="s">
        <v>1504</v>
      </c>
      <c r="L357" s="26">
        <v>380.0</v>
      </c>
      <c r="M357" s="26" t="s">
        <v>24</v>
      </c>
      <c r="N357" s="26" t="s">
        <v>624</v>
      </c>
      <c r="O357" s="27">
        <v>4.3E7</v>
      </c>
      <c r="P357" s="10">
        <f t="shared" si="2"/>
        <v>0</v>
      </c>
      <c r="Q357" s="12">
        <f t="shared" si="3"/>
        <v>18592056</v>
      </c>
      <c r="R357" s="26">
        <v>2005.0</v>
      </c>
      <c r="S357" s="26">
        <v>4.8</v>
      </c>
    </row>
    <row r="358" ht="15.75" customHeight="1">
      <c r="A358" s="7" t="s">
        <v>1505</v>
      </c>
      <c r="B358" s="8" t="str">
        <f>IFERROR(__xludf.DUMMYFUNCTION("REGEXREPLACE(A358, ""[^0-9a-zA-Z .'Ã]"","""")"),"Nanette Burstein")</f>
        <v>Nanette Burstein</v>
      </c>
      <c r="C358" s="9">
        <v>167.0</v>
      </c>
      <c r="D358" s="10">
        <v>1.7797316E7</v>
      </c>
      <c r="E358" s="9" t="s">
        <v>89</v>
      </c>
      <c r="F358" s="9">
        <f t="shared" si="1"/>
        <v>2</v>
      </c>
      <c r="G358" s="9" t="s">
        <v>1506</v>
      </c>
      <c r="H358" s="11" t="str">
        <f>IFERROR(__xludf.DUMMYFUNCTION("REGEXREPLACE(G358, ""[^0-9a-zA-Z .'Ã]"","""")"),"Rob Riggle")</f>
        <v>Rob Riggle</v>
      </c>
      <c r="I358" s="11" t="s">
        <v>1507</v>
      </c>
      <c r="J358" s="9">
        <v>50523.0</v>
      </c>
      <c r="K358" s="9" t="s">
        <v>1508</v>
      </c>
      <c r="L358" s="9">
        <v>113.0</v>
      </c>
      <c r="M358" s="9" t="s">
        <v>24</v>
      </c>
      <c r="N358" s="9" t="s">
        <v>25</v>
      </c>
      <c r="O358" s="10">
        <v>3.2E7</v>
      </c>
      <c r="P358" s="10">
        <f t="shared" si="2"/>
        <v>0</v>
      </c>
      <c r="Q358" s="12">
        <f t="shared" si="3"/>
        <v>14202684</v>
      </c>
      <c r="R358" s="9">
        <v>2010.0</v>
      </c>
      <c r="S358" s="9">
        <v>6.3</v>
      </c>
    </row>
    <row r="359" ht="15.75" customHeight="1">
      <c r="A359" s="21" t="s">
        <v>1509</v>
      </c>
      <c r="B359" s="8" t="str">
        <f>IFERROR(__xludf.DUMMYFUNCTION("REGEXREPLACE(A359, ""[^0-9a-zA-Z .'Ã]"","""")"),"Frederik Du Chau")</f>
        <v>Frederik Du Chau</v>
      </c>
      <c r="C359" s="22">
        <v>34.0</v>
      </c>
      <c r="D359" s="23">
        <v>2.2717758E7</v>
      </c>
      <c r="E359" s="22" t="s">
        <v>1510</v>
      </c>
      <c r="F359" s="9">
        <f t="shared" si="1"/>
        <v>7</v>
      </c>
      <c r="G359" s="22" t="s">
        <v>772</v>
      </c>
      <c r="H359" s="11" t="str">
        <f>IFERROR(__xludf.DUMMYFUNCTION("REGEXREPLACE(G359, ""[^0-9a-zA-Z .'Ã]"","""")"),"Gary Oldman")</f>
        <v>Gary Oldman</v>
      </c>
      <c r="I359" s="24" t="s">
        <v>1511</v>
      </c>
      <c r="J359" s="22">
        <v>11156.0</v>
      </c>
      <c r="K359" s="22" t="s">
        <v>1512</v>
      </c>
      <c r="L359" s="22">
        <v>67.0</v>
      </c>
      <c r="M359" s="22" t="s">
        <v>24</v>
      </c>
      <c r="N359" s="22" t="s">
        <v>25</v>
      </c>
      <c r="O359" s="23">
        <v>4.0E7</v>
      </c>
      <c r="P359" s="10">
        <f t="shared" si="2"/>
        <v>0</v>
      </c>
      <c r="Q359" s="12">
        <f t="shared" si="3"/>
        <v>17282242</v>
      </c>
      <c r="R359" s="22">
        <v>1998.0</v>
      </c>
      <c r="S359" s="22">
        <v>6.2</v>
      </c>
    </row>
    <row r="360" ht="15.75" customHeight="1">
      <c r="A360" s="29" t="s">
        <v>1485</v>
      </c>
      <c r="B360" s="8" t="str">
        <f>IFERROR(__xludf.DUMMYFUNCTION("REGEXREPLACE(A360, ""[^0-9a-zA-Z .'Ã]"","""")"),"Mark Steven Johnson")</f>
        <v>Mark Steven Johnson</v>
      </c>
      <c r="C360" s="30">
        <v>276.0</v>
      </c>
      <c r="D360" s="31">
        <v>1.15802596E8</v>
      </c>
      <c r="E360" s="30" t="s">
        <v>199</v>
      </c>
      <c r="F360" s="9">
        <f t="shared" si="1"/>
        <v>3</v>
      </c>
      <c r="G360" s="30" t="s">
        <v>458</v>
      </c>
      <c r="H360" s="11" t="str">
        <f>IFERROR(__xludf.DUMMYFUNCTION("REGEXREPLACE(G360, ""[^0-9a-zA-Z .'Ã]"","""")"),"Nicolas Cage")</f>
        <v>Nicolas Cage</v>
      </c>
      <c r="I360" s="32" t="s">
        <v>1513</v>
      </c>
      <c r="J360" s="30">
        <v>182661.0</v>
      </c>
      <c r="K360" s="30" t="s">
        <v>1514</v>
      </c>
      <c r="L360" s="30">
        <v>681.0</v>
      </c>
      <c r="M360" s="30" t="s">
        <v>24</v>
      </c>
      <c r="N360" s="30" t="s">
        <v>25</v>
      </c>
      <c r="O360" s="31">
        <v>1.1E8</v>
      </c>
      <c r="P360" s="10">
        <f t="shared" si="2"/>
        <v>5802596</v>
      </c>
      <c r="Q360" s="12">
        <f t="shared" si="3"/>
        <v>0</v>
      </c>
      <c r="R360" s="30">
        <v>2007.0</v>
      </c>
      <c r="S360" s="30">
        <v>5.2</v>
      </c>
    </row>
    <row r="361" ht="15.75" customHeight="1">
      <c r="A361" s="7" t="s">
        <v>1515</v>
      </c>
      <c r="B361" s="8" t="str">
        <f>IFERROR(__xludf.DUMMYFUNCTION("REGEXREPLACE(A361, ""[^0-9a-zA-Z .'Ã]"","""")"),"Marc Forster")</f>
        <v>Marc Forster</v>
      </c>
      <c r="C361" s="9">
        <v>226.0</v>
      </c>
      <c r="D361" s="10">
        <v>5.1676606E7</v>
      </c>
      <c r="E361" s="9" t="s">
        <v>1516</v>
      </c>
      <c r="F361" s="9">
        <f t="shared" si="1"/>
        <v>3</v>
      </c>
      <c r="G361" s="9" t="s">
        <v>85</v>
      </c>
      <c r="H361" s="11" t="str">
        <f>IFERROR(__xludf.DUMMYFUNCTION("REGEXREPLACE(G361, ""[^0-9a-zA-Z .'Ã]"","""")"),"Johnny Depp")</f>
        <v>Johnny Depp</v>
      </c>
      <c r="I361" s="11" t="s">
        <v>1517</v>
      </c>
      <c r="J361" s="9">
        <v>174591.0</v>
      </c>
      <c r="K361" s="9" t="s">
        <v>1518</v>
      </c>
      <c r="L361" s="9">
        <v>632.0</v>
      </c>
      <c r="M361" s="9" t="s">
        <v>24</v>
      </c>
      <c r="N361" s="9" t="s">
        <v>25</v>
      </c>
      <c r="O361" s="10">
        <v>2.5E7</v>
      </c>
      <c r="P361" s="10">
        <f t="shared" si="2"/>
        <v>26676606</v>
      </c>
      <c r="Q361" s="12">
        <f t="shared" si="3"/>
        <v>0</v>
      </c>
      <c r="R361" s="9">
        <v>2004.0</v>
      </c>
      <c r="S361" s="9">
        <v>7.8</v>
      </c>
    </row>
    <row r="362" ht="15.75" customHeight="1">
      <c r="A362" s="17" t="s">
        <v>1519</v>
      </c>
      <c r="B362" s="8" t="str">
        <f>IFERROR(__xludf.DUMMYFUNCTION("REGEXREPLACE(A362, ""[^0-9a-zA-Z .'Ã]"","""")"),"Bruce Campbell")</f>
        <v>Bruce Campbell</v>
      </c>
      <c r="C362" s="18">
        <v>100.0</v>
      </c>
      <c r="D362" s="19">
        <v>173066.0</v>
      </c>
      <c r="E362" s="18" t="s">
        <v>615</v>
      </c>
      <c r="F362" s="9">
        <f t="shared" si="1"/>
        <v>2</v>
      </c>
      <c r="G362" s="18" t="s">
        <v>1520</v>
      </c>
      <c r="H362" s="11" t="str">
        <f>IFERROR(__xludf.DUMMYFUNCTION("REGEXREPLACE(G362, ""[^0-9a-zA-Z .'Ã]"","""")"),"Ted Raimi")</f>
        <v>Ted Raimi</v>
      </c>
      <c r="I362" s="20" t="s">
        <v>1521</v>
      </c>
      <c r="J362" s="18">
        <v>21379.0</v>
      </c>
      <c r="K362" s="18" t="s">
        <v>1522</v>
      </c>
      <c r="L362" s="18">
        <v>88.0</v>
      </c>
      <c r="M362" s="18" t="s">
        <v>24</v>
      </c>
      <c r="N362" s="18" t="s">
        <v>25</v>
      </c>
      <c r="O362" s="19">
        <v>1500000.0</v>
      </c>
      <c r="P362" s="10">
        <f t="shared" si="2"/>
        <v>0</v>
      </c>
      <c r="Q362" s="12">
        <f t="shared" si="3"/>
        <v>1326934</v>
      </c>
      <c r="R362" s="18">
        <v>2007.0</v>
      </c>
      <c r="S362" s="18">
        <v>6.3</v>
      </c>
    </row>
    <row r="363" ht="15.75" customHeight="1">
      <c r="A363" s="17" t="s">
        <v>1523</v>
      </c>
      <c r="B363" s="8" t="str">
        <f>IFERROR(__xludf.DUMMYFUNCTION("REGEXREPLACE(A363, ""[^0-9a-zA-Z .'Ã]"","""")"),"Paul Haggis")</f>
        <v>Paul Haggis</v>
      </c>
      <c r="C363" s="18">
        <v>239.0</v>
      </c>
      <c r="D363" s="19">
        <v>2.1129348E7</v>
      </c>
      <c r="E363" s="18" t="s">
        <v>810</v>
      </c>
      <c r="F363" s="9">
        <f t="shared" si="1"/>
        <v>4</v>
      </c>
      <c r="G363" s="18" t="s">
        <v>378</v>
      </c>
      <c r="H363" s="11" t="str">
        <f>IFERROR(__xludf.DUMMYFUNCTION("REGEXREPLACE(G363, ""[^0-9a-zA-Z .'Ã]"","""")"),"Olivia Wilde")</f>
        <v>Olivia Wilde</v>
      </c>
      <c r="I363" s="20" t="s">
        <v>1524</v>
      </c>
      <c r="J363" s="18">
        <v>146364.0</v>
      </c>
      <c r="K363" s="18" t="s">
        <v>1525</v>
      </c>
      <c r="L363" s="18">
        <v>237.0</v>
      </c>
      <c r="M363" s="18" t="s">
        <v>24</v>
      </c>
      <c r="N363" s="18" t="s">
        <v>25</v>
      </c>
      <c r="O363" s="19">
        <v>3.5E7</v>
      </c>
      <c r="P363" s="10">
        <f t="shared" si="2"/>
        <v>0</v>
      </c>
      <c r="Q363" s="12">
        <f t="shared" si="3"/>
        <v>13870652</v>
      </c>
      <c r="R363" s="18">
        <v>2010.0</v>
      </c>
      <c r="S363" s="18">
        <v>7.4</v>
      </c>
    </row>
    <row r="364" ht="15.75" customHeight="1">
      <c r="A364" s="17" t="s">
        <v>1526</v>
      </c>
      <c r="B364" s="8" t="str">
        <f>IFERROR(__xludf.DUMMYFUNCTION("REGEXREPLACE(A364, ""[^0-9a-zA-Z .'Ã]"","""")"),"Gore Verbinski")</f>
        <v>Gore Verbinski</v>
      </c>
      <c r="C364" s="18">
        <v>271.0</v>
      </c>
      <c r="D364" s="19">
        <v>3.05388685E8</v>
      </c>
      <c r="E364" s="18" t="s">
        <v>278</v>
      </c>
      <c r="F364" s="9">
        <f t="shared" si="1"/>
        <v>3</v>
      </c>
      <c r="G364" s="18" t="s">
        <v>85</v>
      </c>
      <c r="H364" s="11" t="str">
        <f>IFERROR(__xludf.DUMMYFUNCTION("REGEXREPLACE(G364, ""[^0-9a-zA-Z .'Ã]"","""")"),"Johnny Depp")</f>
        <v>Johnny Depp</v>
      </c>
      <c r="I364" s="20" t="s">
        <v>1527</v>
      </c>
      <c r="J364" s="18">
        <v>809474.0</v>
      </c>
      <c r="K364" s="18" t="s">
        <v>1528</v>
      </c>
      <c r="L364" s="18">
        <v>2113.0</v>
      </c>
      <c r="M364" s="18" t="s">
        <v>24</v>
      </c>
      <c r="N364" s="18" t="s">
        <v>25</v>
      </c>
      <c r="O364" s="19">
        <v>1.4E8</v>
      </c>
      <c r="P364" s="10">
        <f t="shared" si="2"/>
        <v>165388685</v>
      </c>
      <c r="Q364" s="12">
        <f t="shared" si="3"/>
        <v>0</v>
      </c>
      <c r="R364" s="18">
        <v>2003.0</v>
      </c>
      <c r="S364" s="18">
        <v>8.1</v>
      </c>
    </row>
    <row r="365" ht="15.75" customHeight="1">
      <c r="A365" s="7" t="s">
        <v>1529</v>
      </c>
      <c r="B365" s="8" t="str">
        <f>IFERROR(__xludf.DUMMYFUNCTION("REGEXREPLACE(A365, ""[^0-9a-zA-Z -.'Ã]"","""")"),"Katsuhiro Ãtomo")</f>
        <v>Katsuhiro Ãtomo</v>
      </c>
      <c r="C365" s="9">
        <v>150.0</v>
      </c>
      <c r="D365" s="10">
        <v>439162.0</v>
      </c>
      <c r="E365" s="9" t="s">
        <v>1530</v>
      </c>
      <c r="F365" s="9">
        <f t="shared" si="1"/>
        <v>3</v>
      </c>
      <c r="G365" s="9" t="s">
        <v>1531</v>
      </c>
      <c r="H365" s="11" t="str">
        <f>IFERROR(__xludf.DUMMYFUNCTION("REGEXREPLACE(G365, ""[^0-9a-zA-Z .'Ã]"","""")"),"Mitsuo Iwata")</f>
        <v>Mitsuo Iwata</v>
      </c>
      <c r="I365" s="11" t="s">
        <v>1532</v>
      </c>
      <c r="J365" s="9">
        <v>106160.0</v>
      </c>
      <c r="K365" s="9" t="s">
        <v>1533</v>
      </c>
      <c r="L365" s="9">
        <v>430.0</v>
      </c>
      <c r="M365" s="9" t="s">
        <v>1534</v>
      </c>
      <c r="N365" s="9" t="s">
        <v>1535</v>
      </c>
      <c r="O365" s="10">
        <v>1.1E9</v>
      </c>
      <c r="P365" s="10">
        <f t="shared" si="2"/>
        <v>0</v>
      </c>
      <c r="Q365" s="12">
        <f t="shared" si="3"/>
        <v>1099560838</v>
      </c>
      <c r="R365" s="9">
        <v>1988.0</v>
      </c>
      <c r="S365" s="9">
        <v>8.1</v>
      </c>
    </row>
    <row r="366" ht="15.75" customHeight="1">
      <c r="A366" s="17" t="s">
        <v>1536</v>
      </c>
      <c r="B366" s="8" t="str">
        <f>IFERROR(__xludf.DUMMYFUNCTION("REGEXREPLACE(A366, ""[^0-9a-zA-Z .'Ã]"","""")"),"Josh Trank")</f>
        <v>Josh Trank</v>
      </c>
      <c r="C366" s="18">
        <v>369.0</v>
      </c>
      <c r="D366" s="19">
        <v>5.6114221E7</v>
      </c>
      <c r="E366" s="18" t="s">
        <v>185</v>
      </c>
      <c r="F366" s="9">
        <f t="shared" si="1"/>
        <v>3</v>
      </c>
      <c r="G366" s="18" t="s">
        <v>1537</v>
      </c>
      <c r="H366" s="11" t="str">
        <f>IFERROR(__xludf.DUMMYFUNCTION("REGEXREPLACE(G366, ""[^0-9a-zA-Z .'Ã]"","""")"),"Tim Blake Nelson")</f>
        <v>Tim Blake Nelson</v>
      </c>
      <c r="I366" s="20" t="s">
        <v>1538</v>
      </c>
      <c r="J366" s="18">
        <v>110486.0</v>
      </c>
      <c r="K366" s="18" t="s">
        <v>1539</v>
      </c>
      <c r="L366" s="18">
        <v>695.0</v>
      </c>
      <c r="M366" s="18" t="s">
        <v>24</v>
      </c>
      <c r="N366" s="18" t="s">
        <v>25</v>
      </c>
      <c r="O366" s="19">
        <v>1.2E8</v>
      </c>
      <c r="P366" s="10">
        <f t="shared" si="2"/>
        <v>0</v>
      </c>
      <c r="Q366" s="12">
        <f t="shared" si="3"/>
        <v>63885779</v>
      </c>
      <c r="R366" s="18">
        <v>2015.0</v>
      </c>
      <c r="S366" s="18">
        <v>4.3</v>
      </c>
    </row>
    <row r="367" ht="15.75" customHeight="1">
      <c r="A367" s="7" t="s">
        <v>163</v>
      </c>
      <c r="B367" s="8" t="str">
        <f>IFERROR(__xludf.DUMMYFUNCTION("REGEXREPLACE(A367, ""[^0-9a-zA-Z .'Ã]"","""")"),"F. Gary Gray")</f>
        <v>F. Gary Gray</v>
      </c>
      <c r="C367" s="9">
        <v>110.0</v>
      </c>
      <c r="D367" s="10">
        <v>2.6183197E7</v>
      </c>
      <c r="E367" s="9" t="s">
        <v>501</v>
      </c>
      <c r="F367" s="9">
        <f t="shared" si="1"/>
        <v>4</v>
      </c>
      <c r="G367" s="9" t="s">
        <v>917</v>
      </c>
      <c r="H367" s="11" t="str">
        <f>IFERROR(__xludf.DUMMYFUNCTION("REGEXREPLACE(G367, ""[^0-9a-zA-Z .'Ã]"","""")"),"Vin Diesel")</f>
        <v>Vin Diesel</v>
      </c>
      <c r="I367" s="11" t="s">
        <v>1540</v>
      </c>
      <c r="J367" s="9">
        <v>38348.0</v>
      </c>
      <c r="K367" s="9" t="s">
        <v>1541</v>
      </c>
      <c r="L367" s="9">
        <v>135.0</v>
      </c>
      <c r="M367" s="9" t="s">
        <v>24</v>
      </c>
      <c r="N367" s="9" t="s">
        <v>25</v>
      </c>
      <c r="O367" s="10">
        <v>3.6E7</v>
      </c>
      <c r="P367" s="10">
        <f t="shared" si="2"/>
        <v>0</v>
      </c>
      <c r="Q367" s="12">
        <f t="shared" si="3"/>
        <v>9816803</v>
      </c>
      <c r="R367" s="9">
        <v>2003.0</v>
      </c>
      <c r="S367" s="9">
        <v>6.1</v>
      </c>
    </row>
    <row r="368" ht="15.75" customHeight="1">
      <c r="A368" s="17" t="s">
        <v>426</v>
      </c>
      <c r="B368" s="8" t="str">
        <f>IFERROR(__xludf.DUMMYFUNCTION("REGEXREPLACE(A368, ""[^0-9a-zA-Z .'Ã]"","""")"),"Martin Campbell")</f>
        <v>Martin Campbell</v>
      </c>
      <c r="C368" s="18">
        <v>400.0</v>
      </c>
      <c r="D368" s="19">
        <v>1.67007184E8</v>
      </c>
      <c r="E368" s="18" t="s">
        <v>474</v>
      </c>
      <c r="F368" s="9">
        <f t="shared" si="1"/>
        <v>3</v>
      </c>
      <c r="G368" s="18" t="s">
        <v>1542</v>
      </c>
      <c r="H368" s="11" t="str">
        <f>IFERROR(__xludf.DUMMYFUNCTION("REGEXREPLACE(G368, ""[^0-9a-zA-Z .'Ã]"","""")"),"Eva Green")</f>
        <v>Eva Green</v>
      </c>
      <c r="I368" s="20" t="s">
        <v>1543</v>
      </c>
      <c r="J368" s="18">
        <v>470483.0</v>
      </c>
      <c r="K368" s="18" t="s">
        <v>1544</v>
      </c>
      <c r="L368" s="18">
        <v>2301.0</v>
      </c>
      <c r="M368" s="18" t="s">
        <v>24</v>
      </c>
      <c r="N368" s="18" t="s">
        <v>130</v>
      </c>
      <c r="O368" s="19">
        <v>1.5E8</v>
      </c>
      <c r="P368" s="10">
        <f t="shared" si="2"/>
        <v>17007184</v>
      </c>
      <c r="Q368" s="12">
        <f t="shared" si="3"/>
        <v>0</v>
      </c>
      <c r="R368" s="18">
        <v>2006.0</v>
      </c>
      <c r="S368" s="18">
        <v>8.0</v>
      </c>
    </row>
    <row r="369" ht="15.75" customHeight="1">
      <c r="A369" s="17" t="s">
        <v>1545</v>
      </c>
      <c r="B369" s="8" t="str">
        <f>IFERROR(__xludf.DUMMYFUNCTION("REGEXREPLACE(A369, ""[^0-9a-zA-Z .'Ã]"","""")"),"Mick Jackson")</f>
        <v>Mick Jackson</v>
      </c>
      <c r="C369" s="18">
        <v>84.0</v>
      </c>
      <c r="D369" s="19">
        <v>4.7474112E7</v>
      </c>
      <c r="E369" s="18" t="s">
        <v>1546</v>
      </c>
      <c r="F369" s="9">
        <f t="shared" si="1"/>
        <v>4</v>
      </c>
      <c r="G369" s="18" t="s">
        <v>590</v>
      </c>
      <c r="H369" s="11" t="str">
        <f>IFERROR(__xludf.DUMMYFUNCTION("REGEXREPLACE(G369, ""[^0-9a-zA-Z .'Ã]"","""")"),"Don Cheadle")</f>
        <v>Don Cheadle</v>
      </c>
      <c r="I369" s="20" t="s">
        <v>1547</v>
      </c>
      <c r="J369" s="18">
        <v>58227.0</v>
      </c>
      <c r="K369" s="18" t="s">
        <v>1548</v>
      </c>
      <c r="L369" s="18">
        <v>181.0</v>
      </c>
      <c r="M369" s="18" t="s">
        <v>24</v>
      </c>
      <c r="N369" s="18" t="s">
        <v>25</v>
      </c>
      <c r="O369" s="19">
        <v>9.0E7</v>
      </c>
      <c r="P369" s="10">
        <f t="shared" si="2"/>
        <v>0</v>
      </c>
      <c r="Q369" s="12">
        <f t="shared" si="3"/>
        <v>42525888</v>
      </c>
      <c r="R369" s="18">
        <v>1997.0</v>
      </c>
      <c r="S369" s="18">
        <v>5.4</v>
      </c>
    </row>
    <row r="370" ht="15.75" customHeight="1">
      <c r="A370" s="7" t="s">
        <v>1549</v>
      </c>
      <c r="B370" s="8" t="str">
        <f>IFERROR(__xludf.DUMMYFUNCTION("REGEXREPLACE(A370, ""[^0-9a-zA-Z .'Ã]"","""")"),"Richard Glatzer")</f>
        <v>Richard Glatzer</v>
      </c>
      <c r="C370" s="9">
        <v>69.0</v>
      </c>
      <c r="D370" s="10">
        <v>1689999.0</v>
      </c>
      <c r="E370" s="9" t="s">
        <v>103</v>
      </c>
      <c r="F370" s="9">
        <f t="shared" si="1"/>
        <v>1</v>
      </c>
      <c r="G370" s="9" t="s">
        <v>1550</v>
      </c>
      <c r="H370" s="11" t="str">
        <f>IFERROR(__xludf.DUMMYFUNCTION("REGEXREPLACE(G370, ""[^0-9a-zA-Z .'Ã]"","""")"),"Emily Rios")</f>
        <v>Emily Rios</v>
      </c>
      <c r="I370" s="11" t="s">
        <v>1551</v>
      </c>
      <c r="J370" s="9">
        <v>3675.0</v>
      </c>
      <c r="K370" s="9" t="s">
        <v>1552</v>
      </c>
      <c r="L370" s="9">
        <v>48.0</v>
      </c>
      <c r="M370" s="9" t="s">
        <v>1553</v>
      </c>
      <c r="N370" s="9" t="s">
        <v>25</v>
      </c>
      <c r="O370" s="10">
        <v>400000.0</v>
      </c>
      <c r="P370" s="10">
        <f t="shared" si="2"/>
        <v>1289999</v>
      </c>
      <c r="Q370" s="12">
        <f t="shared" si="3"/>
        <v>0</v>
      </c>
      <c r="R370" s="9">
        <v>2006.0</v>
      </c>
      <c r="S370" s="9">
        <v>7.1</v>
      </c>
    </row>
    <row r="371" ht="15.75" customHeight="1">
      <c r="A371" s="7" t="s">
        <v>1554</v>
      </c>
      <c r="B371" s="8" t="str">
        <f>IFERROR(__xludf.DUMMYFUNCTION("REGEXREPLACE(A371, ""[^0-9a-zA-Z .'Ã]"","""")"),"Andrzej Bartkowiak")</f>
        <v>Andrzej Bartkowiak</v>
      </c>
      <c r="C371" s="9">
        <v>109.0</v>
      </c>
      <c r="D371" s="10">
        <v>3.4604054E7</v>
      </c>
      <c r="E371" s="9" t="s">
        <v>501</v>
      </c>
      <c r="F371" s="9">
        <f t="shared" si="1"/>
        <v>4</v>
      </c>
      <c r="G371" s="9" t="s">
        <v>1555</v>
      </c>
      <c r="H371" s="11" t="str">
        <f>IFERROR(__xludf.DUMMYFUNCTION("REGEXREPLACE(G371, ""[^0-9a-zA-Z .'Ã]"","""")"),"Jet Li")</f>
        <v>Jet Li</v>
      </c>
      <c r="I371" s="11" t="s">
        <v>1556</v>
      </c>
      <c r="J371" s="9">
        <v>34942.0</v>
      </c>
      <c r="K371" s="9" t="s">
        <v>1557</v>
      </c>
      <c r="L371" s="9">
        <v>185.0</v>
      </c>
      <c r="M371" s="9" t="s">
        <v>24</v>
      </c>
      <c r="N371" s="9" t="s">
        <v>25</v>
      </c>
      <c r="O371" s="10">
        <v>3.0E7</v>
      </c>
      <c r="P371" s="10">
        <f t="shared" si="2"/>
        <v>4604054</v>
      </c>
      <c r="Q371" s="12">
        <f t="shared" si="3"/>
        <v>0</v>
      </c>
      <c r="R371" s="9">
        <v>2003.0</v>
      </c>
      <c r="S371" s="9">
        <v>5.8</v>
      </c>
    </row>
    <row r="372" ht="15.75" customHeight="1">
      <c r="A372" s="7" t="s">
        <v>1558</v>
      </c>
      <c r="B372" s="8" t="str">
        <f>IFERROR(__xludf.DUMMYFUNCTION("REGEXREPLACE(A372, ""[^0-9a-zA-Z .'Ã]"","""")"),"McG")</f>
        <v>McG</v>
      </c>
      <c r="C372" s="9">
        <v>102.0</v>
      </c>
      <c r="D372" s="10">
        <v>1.0068588E8</v>
      </c>
      <c r="E372" s="9" t="s">
        <v>1336</v>
      </c>
      <c r="F372" s="9">
        <f t="shared" si="1"/>
        <v>4</v>
      </c>
      <c r="G372" s="9" t="s">
        <v>1559</v>
      </c>
      <c r="H372" s="11" t="str">
        <f>IFERROR(__xludf.DUMMYFUNCTION("REGEXREPLACE(G372, ""[^0-9a-zA-Z .'Ã]"","""")"),"Demi Moore")</f>
        <v>Demi Moore</v>
      </c>
      <c r="I372" s="11" t="s">
        <v>1560</v>
      </c>
      <c r="J372" s="9">
        <v>100821.0</v>
      </c>
      <c r="K372" s="9" t="s">
        <v>1561</v>
      </c>
      <c r="L372" s="9">
        <v>554.0</v>
      </c>
      <c r="M372" s="9" t="s">
        <v>24</v>
      </c>
      <c r="N372" s="9" t="s">
        <v>25</v>
      </c>
      <c r="O372" s="10">
        <v>1.2E8</v>
      </c>
      <c r="P372" s="10">
        <f t="shared" si="2"/>
        <v>0</v>
      </c>
      <c r="Q372" s="12">
        <f t="shared" si="3"/>
        <v>19314120</v>
      </c>
      <c r="R372" s="9">
        <v>2003.0</v>
      </c>
      <c r="S372" s="9">
        <v>4.8</v>
      </c>
    </row>
    <row r="373" ht="15.75" customHeight="1">
      <c r="A373" s="7" t="s">
        <v>1562</v>
      </c>
      <c r="B373" s="8" t="str">
        <f>IFERROR(__xludf.DUMMYFUNCTION("REGEXREPLACE(A373, ""[^0-9a-zA-Z .'Ã]"","""")"),"David S. Goyer")</f>
        <v>David S. Goyer</v>
      </c>
      <c r="C373" s="9">
        <v>178.0</v>
      </c>
      <c r="D373" s="10">
        <v>4.2638165E7</v>
      </c>
      <c r="E373" s="9" t="s">
        <v>1563</v>
      </c>
      <c r="F373" s="9">
        <f t="shared" si="1"/>
        <v>5</v>
      </c>
      <c r="G373" s="9" t="s">
        <v>772</v>
      </c>
      <c r="H373" s="11" t="str">
        <f>IFERROR(__xludf.DUMMYFUNCTION("REGEXREPLACE(G373, ""[^0-9a-zA-Z .'Ã]"","""")"),"Gary Oldman")</f>
        <v>Gary Oldman</v>
      </c>
      <c r="I373" s="11" t="s">
        <v>1564</v>
      </c>
      <c r="J373" s="9">
        <v>42182.0</v>
      </c>
      <c r="K373" s="9" t="s">
        <v>1565</v>
      </c>
      <c r="L373" s="9">
        <v>230.0</v>
      </c>
      <c r="M373" s="9" t="s">
        <v>24</v>
      </c>
      <c r="N373" s="9" t="s">
        <v>25</v>
      </c>
      <c r="O373" s="10">
        <v>1.6E7</v>
      </c>
      <c r="P373" s="10">
        <f t="shared" si="2"/>
        <v>26638165</v>
      </c>
      <c r="Q373" s="12">
        <f t="shared" si="3"/>
        <v>0</v>
      </c>
      <c r="R373" s="9">
        <v>2009.0</v>
      </c>
      <c r="S373" s="9">
        <v>4.8</v>
      </c>
    </row>
    <row r="374" ht="15.75" customHeight="1">
      <c r="A374" s="17" t="s">
        <v>635</v>
      </c>
      <c r="B374" s="8" t="str">
        <f>IFERROR(__xludf.DUMMYFUNCTION("REGEXREPLACE(A374, ""[^0-9a-zA-Z .'Ã]"","""")"),"Steven Spielberg")</f>
        <v>Steven Spielberg</v>
      </c>
      <c r="C374" s="18">
        <v>171.0</v>
      </c>
      <c r="D374" s="19">
        <v>1.283E8</v>
      </c>
      <c r="E374" s="18" t="s">
        <v>882</v>
      </c>
      <c r="F374" s="9">
        <f t="shared" si="1"/>
        <v>2</v>
      </c>
      <c r="G374" s="18" t="s">
        <v>1566</v>
      </c>
      <c r="H374" s="11" t="str">
        <f>IFERROR(__xludf.DUMMYFUNCTION("REGEXREPLACE(G374, ""[^0-9a-zA-Z .'Ã]"","""")"),"Bob Balaban")</f>
        <v>Bob Balaban</v>
      </c>
      <c r="I374" s="20" t="s">
        <v>1567</v>
      </c>
      <c r="J374" s="18">
        <v>139288.0</v>
      </c>
      <c r="K374" s="18" t="s">
        <v>1568</v>
      </c>
      <c r="L374" s="18">
        <v>339.0</v>
      </c>
      <c r="M374" s="18" t="s">
        <v>24</v>
      </c>
      <c r="N374" s="18" t="s">
        <v>25</v>
      </c>
      <c r="O374" s="19">
        <v>1.940087E7</v>
      </c>
      <c r="P374" s="10">
        <f t="shared" si="2"/>
        <v>108899130</v>
      </c>
      <c r="Q374" s="12">
        <f t="shared" si="3"/>
        <v>0</v>
      </c>
      <c r="R374" s="18">
        <v>1977.0</v>
      </c>
      <c r="S374" s="18">
        <v>7.7</v>
      </c>
    </row>
    <row r="375" ht="15.75" customHeight="1">
      <c r="A375" s="17" t="s">
        <v>1569</v>
      </c>
      <c r="B375" s="8" t="str">
        <f>IFERROR(__xludf.DUMMYFUNCTION("REGEXREPLACE(A375, ""[^0-9a-zA-Z .'Ã]"","""")"),"Tom Tykwer")</f>
        <v>Tom Tykwer</v>
      </c>
      <c r="C375" s="18">
        <v>181.0</v>
      </c>
      <c r="D375" s="19">
        <v>7267324.0</v>
      </c>
      <c r="E375" s="18" t="s">
        <v>54</v>
      </c>
      <c r="F375" s="9">
        <f t="shared" si="1"/>
        <v>2</v>
      </c>
      <c r="G375" s="18" t="s">
        <v>1570</v>
      </c>
      <c r="H375" s="11" t="str">
        <f>IFERROR(__xludf.DUMMYFUNCTION("REGEXREPLACE(G375, ""[^0-9a-zA-Z .'Ã]"","""")"),"Moritz Bleibtreu")</f>
        <v>Moritz Bleibtreu</v>
      </c>
      <c r="I375" s="20" t="s">
        <v>1571</v>
      </c>
      <c r="J375" s="18">
        <v>161471.0</v>
      </c>
      <c r="K375" s="18" t="s">
        <v>1572</v>
      </c>
      <c r="L375" s="18">
        <v>709.0</v>
      </c>
      <c r="M375" s="18" t="s">
        <v>1042</v>
      </c>
      <c r="N375" s="18" t="s">
        <v>173</v>
      </c>
      <c r="O375" s="19">
        <v>3500000.0</v>
      </c>
      <c r="P375" s="10">
        <f t="shared" si="2"/>
        <v>3767324</v>
      </c>
      <c r="Q375" s="12">
        <f t="shared" si="3"/>
        <v>0</v>
      </c>
      <c r="R375" s="18">
        <v>1998.0</v>
      </c>
      <c r="S375" s="18">
        <v>7.8</v>
      </c>
    </row>
    <row r="376" ht="15.75" customHeight="1">
      <c r="A376" s="21" t="s">
        <v>1573</v>
      </c>
      <c r="B376" s="8" t="str">
        <f>IFERROR(__xludf.DUMMYFUNCTION("REGEXREPLACE(A376, ""[^0-9a-zA-Z .'Ã]"","""")"),"Ethan Coen")</f>
        <v>Ethan Coen</v>
      </c>
      <c r="C376" s="22">
        <v>423.0</v>
      </c>
      <c r="D376" s="23">
        <v>2.9997095E7</v>
      </c>
      <c r="E376" s="22" t="s">
        <v>1574</v>
      </c>
      <c r="F376" s="9">
        <f t="shared" si="1"/>
        <v>2</v>
      </c>
      <c r="G376" s="22" t="s">
        <v>436</v>
      </c>
      <c r="H376" s="11" t="str">
        <f>IFERROR(__xludf.DUMMYFUNCTION("REGEXREPLACE(G376, ""[^0-9a-zA-Z .'Ã]"","""")"),"Scarlett Johansson")</f>
        <v>Scarlett Johansson</v>
      </c>
      <c r="I376" s="24" t="s">
        <v>1575</v>
      </c>
      <c r="J376" s="22">
        <v>60926.0</v>
      </c>
      <c r="K376" s="22" t="s">
        <v>1576</v>
      </c>
      <c r="L376" s="22">
        <v>302.0</v>
      </c>
      <c r="M376" s="22" t="s">
        <v>24</v>
      </c>
      <c r="N376" s="22" t="s">
        <v>130</v>
      </c>
      <c r="O376" s="23">
        <v>2.2E7</v>
      </c>
      <c r="P376" s="10">
        <f t="shared" si="2"/>
        <v>7997095</v>
      </c>
      <c r="Q376" s="12">
        <f t="shared" si="3"/>
        <v>0</v>
      </c>
      <c r="R376" s="22">
        <v>2016.0</v>
      </c>
      <c r="S376" s="22">
        <v>6.4</v>
      </c>
    </row>
    <row r="377" ht="15.75" customHeight="1">
      <c r="A377" s="13" t="s">
        <v>1577</v>
      </c>
      <c r="B377" s="8" t="str">
        <f>IFERROR(__xludf.DUMMYFUNCTION("REGEXREPLACE(A377, ""[^0-9a-zA-Z .'Ã]"","""")"),"Gillian Armstrong")</f>
        <v>Gillian Armstrong</v>
      </c>
      <c r="C377" s="14">
        <v>27.0</v>
      </c>
      <c r="D377" s="15">
        <v>5.00033E7</v>
      </c>
      <c r="E377" s="14" t="s">
        <v>1578</v>
      </c>
      <c r="F377" s="9">
        <f t="shared" si="1"/>
        <v>3</v>
      </c>
      <c r="G377" s="14" t="s">
        <v>1579</v>
      </c>
      <c r="H377" s="11" t="str">
        <f>IFERROR(__xludf.DUMMYFUNCTION("REGEXREPLACE(G377, ""[^0-9a-zA-Z .'Ã]"","""")"),"Christian Bale")</f>
        <v>Christian Bale</v>
      </c>
      <c r="I377" s="16" t="s">
        <v>1580</v>
      </c>
      <c r="J377" s="14">
        <v>36624.0</v>
      </c>
      <c r="K377" s="14" t="s">
        <v>1581</v>
      </c>
      <c r="L377" s="14">
        <v>132.0</v>
      </c>
      <c r="M377" s="14" t="s">
        <v>24</v>
      </c>
      <c r="N377" s="14" t="s">
        <v>25</v>
      </c>
      <c r="O377" s="15">
        <v>1.5E7</v>
      </c>
      <c r="P377" s="10">
        <f t="shared" si="2"/>
        <v>35003300</v>
      </c>
      <c r="Q377" s="12">
        <f t="shared" si="3"/>
        <v>0</v>
      </c>
      <c r="R377" s="14">
        <v>1994.0</v>
      </c>
      <c r="S377" s="14">
        <v>7.3</v>
      </c>
    </row>
    <row r="378" ht="15.75" customHeight="1">
      <c r="A378" s="13" t="s">
        <v>1582</v>
      </c>
      <c r="B378" s="8" t="str">
        <f>IFERROR(__xludf.DUMMYFUNCTION("REGEXREPLACE(A378, ""[^0-9a-zA-Z .'Ã]"","""")"),"Zach Braff")</f>
        <v>Zach Braff</v>
      </c>
      <c r="C378" s="14">
        <v>149.0</v>
      </c>
      <c r="D378" s="15">
        <v>3588432.0</v>
      </c>
      <c r="E378" s="14" t="s">
        <v>454</v>
      </c>
      <c r="F378" s="9">
        <f t="shared" si="1"/>
        <v>2</v>
      </c>
      <c r="G378" s="14" t="s">
        <v>1199</v>
      </c>
      <c r="H378" s="11" t="str">
        <f>IFERROR(__xludf.DUMMYFUNCTION("REGEXREPLACE(G378, ""[^0-9a-zA-Z .'Ã]"","""")"),"Jim Parsons")</f>
        <v>Jim Parsons</v>
      </c>
      <c r="I378" s="16" t="s">
        <v>1583</v>
      </c>
      <c r="J378" s="14">
        <v>29341.0</v>
      </c>
      <c r="K378" s="14" t="s">
        <v>1584</v>
      </c>
      <c r="L378" s="14">
        <v>93.0</v>
      </c>
      <c r="M378" s="14" t="s">
        <v>24</v>
      </c>
      <c r="N378" s="14" t="s">
        <v>25</v>
      </c>
      <c r="O378" s="15">
        <v>6000000.0</v>
      </c>
      <c r="P378" s="10">
        <f t="shared" si="2"/>
        <v>0</v>
      </c>
      <c r="Q378" s="12">
        <f t="shared" si="3"/>
        <v>2411568</v>
      </c>
      <c r="R378" s="14">
        <v>2014.0</v>
      </c>
      <c r="S378" s="14">
        <v>6.7</v>
      </c>
    </row>
    <row r="379" ht="15.75" customHeight="1">
      <c r="A379" s="29" t="s">
        <v>1386</v>
      </c>
      <c r="B379" s="8" t="str">
        <f>IFERROR(__xludf.DUMMYFUNCTION("REGEXREPLACE(A379, ""[^0-9a-zA-Z .'Ã]"","""")"),"Jonathan Liebesman")</f>
        <v>Jonathan Liebesman</v>
      </c>
      <c r="C379" s="30">
        <v>196.0</v>
      </c>
      <c r="D379" s="31">
        <v>3.9511038E7</v>
      </c>
      <c r="E379" s="30" t="s">
        <v>148</v>
      </c>
      <c r="F379" s="9">
        <f t="shared" si="1"/>
        <v>1</v>
      </c>
      <c r="G379" s="30" t="s">
        <v>1585</v>
      </c>
      <c r="H379" s="11" t="str">
        <f>IFERROR(__xludf.DUMMYFUNCTION("REGEXREPLACE(G379, ""[^0-9a-zA-Z .'Ã]"","""")"),"Matt Bomer")</f>
        <v>Matt Bomer</v>
      </c>
      <c r="I379" s="32" t="s">
        <v>1586</v>
      </c>
      <c r="J379" s="30">
        <v>56269.0</v>
      </c>
      <c r="K379" s="30" t="s">
        <v>1587</v>
      </c>
      <c r="L379" s="30">
        <v>366.0</v>
      </c>
      <c r="M379" s="30" t="s">
        <v>24</v>
      </c>
      <c r="N379" s="30" t="s">
        <v>25</v>
      </c>
      <c r="O379" s="31">
        <v>1.6E7</v>
      </c>
      <c r="P379" s="10">
        <f t="shared" si="2"/>
        <v>23511038</v>
      </c>
      <c r="Q379" s="12">
        <f t="shared" si="3"/>
        <v>0</v>
      </c>
      <c r="R379" s="30">
        <v>2006.0</v>
      </c>
      <c r="S379" s="30">
        <v>5.9</v>
      </c>
    </row>
    <row r="380" ht="15.75" customHeight="1">
      <c r="A380" s="21" t="s">
        <v>1588</v>
      </c>
      <c r="B380" s="8" t="str">
        <f>IFERROR(__xludf.DUMMYFUNCTION("REGEXREPLACE(A380, ""[^0-9a-zA-Z .'Ã]"","""")"),"Frank Oz")</f>
        <v>Frank Oz</v>
      </c>
      <c r="C380" s="22">
        <v>83.0</v>
      </c>
      <c r="D380" s="23">
        <v>6.3826569E7</v>
      </c>
      <c r="E380" s="22" t="s">
        <v>137</v>
      </c>
      <c r="F380" s="9">
        <f t="shared" si="1"/>
        <v>1</v>
      </c>
      <c r="G380" s="22" t="s">
        <v>191</v>
      </c>
      <c r="H380" s="11" t="str">
        <f>IFERROR(__xludf.DUMMYFUNCTION("REGEXREPLACE(G380, ""[^0-9a-zA-Z .'Ã]"","""")"),"Tom Selleck")</f>
        <v>Tom Selleck</v>
      </c>
      <c r="I380" s="24" t="s">
        <v>1589</v>
      </c>
      <c r="J380" s="22">
        <v>32416.0</v>
      </c>
      <c r="K380" s="22" t="s">
        <v>1590</v>
      </c>
      <c r="L380" s="22">
        <v>138.0</v>
      </c>
      <c r="M380" s="22" t="s">
        <v>24</v>
      </c>
      <c r="N380" s="22" t="s">
        <v>25</v>
      </c>
      <c r="O380" s="23">
        <v>3.5E7</v>
      </c>
      <c r="P380" s="10">
        <f t="shared" si="2"/>
        <v>28826569</v>
      </c>
      <c r="Q380" s="12">
        <f t="shared" si="3"/>
        <v>0</v>
      </c>
      <c r="R380" s="22">
        <v>1997.0</v>
      </c>
      <c r="S380" s="22">
        <v>6.3</v>
      </c>
    </row>
    <row r="381" ht="15.75" customHeight="1">
      <c r="A381" s="29" t="s">
        <v>1591</v>
      </c>
      <c r="B381" s="8" t="str">
        <f>IFERROR(__xludf.DUMMYFUNCTION("REGEXREPLACE(A381, ""[^0-9a-zA-Z .'Ã]"","""")"),"Gary Fleder")</f>
        <v>Gary Fleder</v>
      </c>
      <c r="C381" s="30">
        <v>83.0</v>
      </c>
      <c r="D381" s="31">
        <v>6114237.0</v>
      </c>
      <c r="E381" s="30" t="s">
        <v>1592</v>
      </c>
      <c r="F381" s="9">
        <f t="shared" si="1"/>
        <v>4</v>
      </c>
      <c r="G381" s="30" t="s">
        <v>1593</v>
      </c>
      <c r="H381" s="11" t="str">
        <f>IFERROR(__xludf.DUMMYFUNCTION("REGEXREPLACE(G381, ""[^0-9a-zA-Z .'Ã]"","""")"),"Gary Dourdan")</f>
        <v>Gary Dourdan</v>
      </c>
      <c r="I381" s="32" t="s">
        <v>1594</v>
      </c>
      <c r="J381" s="30">
        <v>19986.0</v>
      </c>
      <c r="K381" s="30" t="s">
        <v>1595</v>
      </c>
      <c r="L381" s="30">
        <v>207.0</v>
      </c>
      <c r="M381" s="30" t="s">
        <v>24</v>
      </c>
      <c r="N381" s="30" t="s">
        <v>25</v>
      </c>
      <c r="O381" s="31">
        <v>4.0E7</v>
      </c>
      <c r="P381" s="10">
        <f t="shared" si="2"/>
        <v>0</v>
      </c>
      <c r="Q381" s="12">
        <f t="shared" si="3"/>
        <v>33885763</v>
      </c>
      <c r="R381" s="30">
        <v>2001.0</v>
      </c>
      <c r="S381" s="30">
        <v>6.2</v>
      </c>
    </row>
    <row r="382" ht="15.75" customHeight="1">
      <c r="A382" s="17" t="s">
        <v>73</v>
      </c>
      <c r="B382" s="8" t="str">
        <f>IFERROR(__xludf.DUMMYFUNCTION("REGEXREPLACE(A382, ""[^0-9a-zA-Z .'Ã]"","""")"),"Ridley Scott")</f>
        <v>Ridley Scott</v>
      </c>
      <c r="C382" s="18">
        <v>147.0</v>
      </c>
      <c r="D382" s="19">
        <v>7458269.0</v>
      </c>
      <c r="E382" s="18" t="s">
        <v>159</v>
      </c>
      <c r="F382" s="9">
        <f t="shared" si="1"/>
        <v>3</v>
      </c>
      <c r="G382" s="18" t="s">
        <v>1596</v>
      </c>
      <c r="H382" s="11" t="str">
        <f>IFERROR(__xludf.DUMMYFUNCTION("REGEXREPLACE(G382, ""[^0-9a-zA-Z .'Ã]"","""")"),"Archie Panjabi")</f>
        <v>Archie Panjabi</v>
      </c>
      <c r="I382" s="20" t="s">
        <v>1597</v>
      </c>
      <c r="J382" s="18">
        <v>70698.0</v>
      </c>
      <c r="K382" s="18" t="s">
        <v>1598</v>
      </c>
      <c r="L382" s="18">
        <v>196.0</v>
      </c>
      <c r="M382" s="18" t="s">
        <v>24</v>
      </c>
      <c r="N382" s="18" t="s">
        <v>25</v>
      </c>
      <c r="O382" s="19">
        <v>3.5E7</v>
      </c>
      <c r="P382" s="10">
        <f t="shared" si="2"/>
        <v>0</v>
      </c>
      <c r="Q382" s="12">
        <f t="shared" si="3"/>
        <v>27541731</v>
      </c>
      <c r="R382" s="18">
        <v>2006.0</v>
      </c>
      <c r="S382" s="18">
        <v>6.9</v>
      </c>
    </row>
    <row r="383" ht="15.75" customHeight="1">
      <c r="A383" s="21" t="s">
        <v>1599</v>
      </c>
      <c r="B383" s="8" t="str">
        <f>IFERROR(__xludf.DUMMYFUNCTION("REGEXREPLACE(A383, ""[^0-9a-zA-Z .'Ã]"","""")"),"Vincent Gallo")</f>
        <v>Vincent Gallo</v>
      </c>
      <c r="C383" s="22">
        <v>106.0</v>
      </c>
      <c r="D383" s="23">
        <v>2365931.0</v>
      </c>
      <c r="E383" s="22" t="s">
        <v>1600</v>
      </c>
      <c r="F383" s="9">
        <f t="shared" si="1"/>
        <v>4</v>
      </c>
      <c r="G383" s="22" t="s">
        <v>1601</v>
      </c>
      <c r="H383" s="11" t="str">
        <f>IFERROR(__xludf.DUMMYFUNCTION("REGEXREPLACE(G383, ""[^0-9a-zA-Z .'Ã]"","""")"),"Anjelica Huston")</f>
        <v>Anjelica Huston</v>
      </c>
      <c r="I383" s="24" t="s">
        <v>1602</v>
      </c>
      <c r="J383" s="22">
        <v>36657.0</v>
      </c>
      <c r="K383" s="22" t="s">
        <v>1603</v>
      </c>
      <c r="L383" s="22">
        <v>318.0</v>
      </c>
      <c r="M383" s="22" t="s">
        <v>24</v>
      </c>
      <c r="N383" s="22" t="s">
        <v>25</v>
      </c>
      <c r="O383" s="23">
        <v>1500000.0</v>
      </c>
      <c r="P383" s="10">
        <f t="shared" si="2"/>
        <v>865931</v>
      </c>
      <c r="Q383" s="12">
        <f t="shared" si="3"/>
        <v>0</v>
      </c>
      <c r="R383" s="22">
        <v>1998.0</v>
      </c>
      <c r="S383" s="22">
        <v>7.5</v>
      </c>
    </row>
    <row r="384" ht="15.75" customHeight="1">
      <c r="A384" s="29" t="s">
        <v>1604</v>
      </c>
      <c r="B384" s="8" t="str">
        <f>IFERROR(__xludf.DUMMYFUNCTION("REGEXREPLACE(A384, ""[^0-9a-zA-Z .'Ã]"","""")"),"S.R. Bindler")</f>
        <v>S.R. Bindler</v>
      </c>
      <c r="C384" s="30">
        <v>26.0</v>
      </c>
      <c r="D384" s="31">
        <v>36497.0</v>
      </c>
      <c r="E384" s="30" t="s">
        <v>137</v>
      </c>
      <c r="F384" s="9">
        <f t="shared" si="1"/>
        <v>1</v>
      </c>
      <c r="G384" s="30" t="s">
        <v>80</v>
      </c>
      <c r="H384" s="11" t="str">
        <f>IFERROR(__xludf.DUMMYFUNCTION("REGEXREPLACE(G384, ""[^0-9a-zA-Z .'Ã]"","""")"),"Matthew McConaughey")</f>
        <v>Matthew McConaughey</v>
      </c>
      <c r="I384" s="32" t="s">
        <v>1605</v>
      </c>
      <c r="J384" s="30">
        <v>7367.0</v>
      </c>
      <c r="K384" s="30" t="s">
        <v>1606</v>
      </c>
      <c r="L384" s="30">
        <v>37.0</v>
      </c>
      <c r="M384" s="30" t="s">
        <v>24</v>
      </c>
      <c r="N384" s="30" t="s">
        <v>25</v>
      </c>
      <c r="O384" s="31">
        <v>6000000.0</v>
      </c>
      <c r="P384" s="10">
        <f t="shared" si="2"/>
        <v>0</v>
      </c>
      <c r="Q384" s="12">
        <f t="shared" si="3"/>
        <v>5963503</v>
      </c>
      <c r="R384" s="30">
        <v>2008.0</v>
      </c>
      <c r="S384" s="30">
        <v>4.7</v>
      </c>
    </row>
    <row r="385" ht="15.75" customHeight="1">
      <c r="A385" s="21" t="s">
        <v>881</v>
      </c>
      <c r="B385" s="8" t="str">
        <f>IFERROR(__xludf.DUMMYFUNCTION("REGEXREPLACE(A385, ""[^0-9a-zA-Z .'Ã]"","""")"),"Terry Gilliam")</f>
        <v>Terry Gilliam</v>
      </c>
      <c r="C385" s="22">
        <v>233.0</v>
      </c>
      <c r="D385" s="23">
        <v>3.7899638E7</v>
      </c>
      <c r="E385" s="22" t="s">
        <v>1607</v>
      </c>
      <c r="F385" s="9">
        <f t="shared" si="1"/>
        <v>5</v>
      </c>
      <c r="G385" s="22" t="s">
        <v>585</v>
      </c>
      <c r="H385" s="11" t="str">
        <f>IFERROR(__xludf.DUMMYFUNCTION("REGEXREPLACE(G385, ""[^0-9a-zA-Z .'Ã]"","""")"),"Matt Damon")</f>
        <v>Matt Damon</v>
      </c>
      <c r="I385" s="24" t="s">
        <v>1608</v>
      </c>
      <c r="J385" s="22">
        <v>98472.0</v>
      </c>
      <c r="K385" s="22" t="s">
        <v>1609</v>
      </c>
      <c r="L385" s="22">
        <v>492.0</v>
      </c>
      <c r="M385" s="22" t="s">
        <v>24</v>
      </c>
      <c r="N385" s="22" t="s">
        <v>25</v>
      </c>
      <c r="O385" s="23">
        <v>8.8E7</v>
      </c>
      <c r="P385" s="10">
        <f t="shared" si="2"/>
        <v>0</v>
      </c>
      <c r="Q385" s="12">
        <f t="shared" si="3"/>
        <v>50100362</v>
      </c>
      <c r="R385" s="22">
        <v>2005.0</v>
      </c>
      <c r="S385" s="22">
        <v>5.9</v>
      </c>
    </row>
    <row r="386" ht="15.75" customHeight="1">
      <c r="A386" s="29" t="s">
        <v>1610</v>
      </c>
      <c r="B386" s="8" t="str">
        <f>IFERROR(__xludf.DUMMYFUNCTION("REGEXREPLACE(A386, ""[^0-9a-zA-Z .'Ã]"","""")"),"Peter Cattaneo")</f>
        <v>Peter Cattaneo</v>
      </c>
      <c r="C386" s="30">
        <v>47.0</v>
      </c>
      <c r="D386" s="31">
        <v>54606.0</v>
      </c>
      <c r="E386" s="30" t="s">
        <v>241</v>
      </c>
      <c r="F386" s="9">
        <f t="shared" si="1"/>
        <v>3</v>
      </c>
      <c r="G386" s="30" t="s">
        <v>1611</v>
      </c>
      <c r="H386" s="11" t="str">
        <f>IFERROR(__xludf.DUMMYFUNCTION("REGEXREPLACE(G386, ""[^0-9a-zA-Z .'Ã]"","""")"),"James Nesbitt")</f>
        <v>James Nesbitt</v>
      </c>
      <c r="I386" s="32" t="s">
        <v>1612</v>
      </c>
      <c r="J386" s="30">
        <v>1940.0</v>
      </c>
      <c r="K386" s="30" t="s">
        <v>1613</v>
      </c>
      <c r="L386" s="30">
        <v>34.0</v>
      </c>
      <c r="M386" s="30" t="s">
        <v>24</v>
      </c>
      <c r="N386" s="30" t="s">
        <v>130</v>
      </c>
      <c r="O386" s="31">
        <v>6000000.0</v>
      </c>
      <c r="P386" s="10">
        <f t="shared" si="2"/>
        <v>0</v>
      </c>
      <c r="Q386" s="12">
        <f t="shared" si="3"/>
        <v>5945394</v>
      </c>
      <c r="R386" s="30">
        <v>2001.0</v>
      </c>
      <c r="S386" s="30">
        <v>6.2</v>
      </c>
    </row>
    <row r="387" ht="15.75" customHeight="1">
      <c r="A387" s="21" t="s">
        <v>1614</v>
      </c>
      <c r="B387" s="8" t="str">
        <f>IFERROR(__xludf.DUMMYFUNCTION("REGEXREPLACE(A387, ""[^0-9a-zA-Z .'Ã]"","""")"),"Richard Williams")</f>
        <v>Richard Williams</v>
      </c>
      <c r="C387" s="22">
        <v>10.0</v>
      </c>
      <c r="D387" s="23">
        <v>669276.0</v>
      </c>
      <c r="E387" s="22" t="s">
        <v>1615</v>
      </c>
      <c r="F387" s="9">
        <f t="shared" si="1"/>
        <v>5</v>
      </c>
      <c r="G387" s="22" t="s">
        <v>1616</v>
      </c>
      <c r="H387" s="11" t="str">
        <f>IFERROR(__xludf.DUMMYFUNCTION("REGEXREPLACE(G387, ""[^0-9a-zA-Z .'Ã]"","""")"),"Donald Pleasence")</f>
        <v>Donald Pleasence</v>
      </c>
      <c r="I387" s="24" t="s">
        <v>1617</v>
      </c>
      <c r="J387" s="22">
        <v>2541.0</v>
      </c>
      <c r="K387" s="22" t="s">
        <v>1618</v>
      </c>
      <c r="L387" s="22">
        <v>47.0</v>
      </c>
      <c r="M387" s="22" t="s">
        <v>24</v>
      </c>
      <c r="N387" s="22" t="s">
        <v>130</v>
      </c>
      <c r="O387" s="23">
        <v>2.8E7</v>
      </c>
      <c r="P387" s="10">
        <f t="shared" si="2"/>
        <v>0</v>
      </c>
      <c r="Q387" s="12">
        <f t="shared" si="3"/>
        <v>27330724</v>
      </c>
      <c r="R387" s="22">
        <v>1993.0</v>
      </c>
      <c r="S387" s="22">
        <v>7.2</v>
      </c>
    </row>
    <row r="388" ht="15.75" customHeight="1">
      <c r="A388" s="13" t="s">
        <v>1619</v>
      </c>
      <c r="B388" s="8" t="str">
        <f>IFERROR(__xludf.DUMMYFUNCTION("REGEXREPLACE(A388, ""[^0-9a-zA-Z .'Ã]"","""")"),"Allison Anders")</f>
        <v>Allison Anders</v>
      </c>
      <c r="C388" s="14">
        <v>29.0</v>
      </c>
      <c r="D388" s="15">
        <v>177840.0</v>
      </c>
      <c r="E388" s="14" t="s">
        <v>321</v>
      </c>
      <c r="F388" s="9">
        <f t="shared" si="1"/>
        <v>2</v>
      </c>
      <c r="G388" s="14" t="s">
        <v>1620</v>
      </c>
      <c r="H388" s="11" t="str">
        <f>IFERROR(__xludf.DUMMYFUNCTION("REGEXREPLACE(G388, ""[^0-9a-zA-Z .'Ã]"","""")"),"Ally Sheedy")</f>
        <v>Ally Sheedy</v>
      </c>
      <c r="I388" s="16" t="s">
        <v>1621</v>
      </c>
      <c r="J388" s="14">
        <v>708.0</v>
      </c>
      <c r="K388" s="14" t="s">
        <v>1622</v>
      </c>
      <c r="L388" s="14">
        <v>22.0</v>
      </c>
      <c r="M388" s="14" t="s">
        <v>24</v>
      </c>
      <c r="N388" s="14" t="s">
        <v>130</v>
      </c>
      <c r="O388" s="15">
        <v>250000.0</v>
      </c>
      <c r="P388" s="10">
        <f t="shared" si="2"/>
        <v>0</v>
      </c>
      <c r="Q388" s="12">
        <f t="shared" si="3"/>
        <v>72160</v>
      </c>
      <c r="R388" s="14">
        <v>1999.0</v>
      </c>
      <c r="S388" s="14">
        <v>6.1</v>
      </c>
    </row>
    <row r="389" ht="15.75" customHeight="1">
      <c r="A389" s="25" t="s">
        <v>805</v>
      </c>
      <c r="B389" s="8" t="str">
        <f>IFERROR(__xludf.DUMMYFUNCTION("REGEXREPLACE(A389, ""[^0-9a-zA-Z .'Ã]"","""")"),"Rod Lurie")</f>
        <v>Rod Lurie</v>
      </c>
      <c r="C389" s="26">
        <v>29.0</v>
      </c>
      <c r="D389" s="27">
        <v>144583.0</v>
      </c>
      <c r="E389" s="26" t="s">
        <v>369</v>
      </c>
      <c r="F389" s="9">
        <f t="shared" si="1"/>
        <v>2</v>
      </c>
      <c r="G389" s="26" t="s">
        <v>1623</v>
      </c>
      <c r="H389" s="11" t="str">
        <f>IFERROR(__xludf.DUMMYFUNCTION("REGEXREPLACE(G389, ""[^0-9a-zA-Z .'Ã]"","""")"),"Kevin Pollak")</f>
        <v>Kevin Pollak</v>
      </c>
      <c r="I389" s="28" t="s">
        <v>1624</v>
      </c>
      <c r="J389" s="26">
        <v>2256.0</v>
      </c>
      <c r="K389" s="26" t="s">
        <v>1625</v>
      </c>
      <c r="L389" s="26">
        <v>79.0</v>
      </c>
      <c r="M389" s="26" t="s">
        <v>24</v>
      </c>
      <c r="N389" s="26" t="s">
        <v>608</v>
      </c>
      <c r="O389" s="27">
        <v>800000.0</v>
      </c>
      <c r="P389" s="10">
        <f t="shared" si="2"/>
        <v>0</v>
      </c>
      <c r="Q389" s="12">
        <f t="shared" si="3"/>
        <v>655417</v>
      </c>
      <c r="R389" s="26">
        <v>1999.0</v>
      </c>
      <c r="S389" s="26">
        <v>6.5</v>
      </c>
    </row>
    <row r="390" ht="15.75" customHeight="1">
      <c r="A390" s="17" t="s">
        <v>1626</v>
      </c>
      <c r="B390" s="8" t="str">
        <f>IFERROR(__xludf.DUMMYFUNCTION("REGEXREPLACE(A390, ""[^0-9a-zA-Z -.'Ã]"","""")"),"Matt Bettinelli-Olpin")</f>
        <v>Matt Bettinelli-Olpin</v>
      </c>
      <c r="C390" s="18">
        <v>137.0</v>
      </c>
      <c r="D390" s="19">
        <v>1.5818967E7</v>
      </c>
      <c r="E390" s="18" t="s">
        <v>565</v>
      </c>
      <c r="F390" s="9">
        <f t="shared" si="1"/>
        <v>2</v>
      </c>
      <c r="G390" s="18" t="s">
        <v>1627</v>
      </c>
      <c r="H390" s="11" t="str">
        <f>IFERROR(__xludf.DUMMYFUNCTION("REGEXREPLACE(G390, ""[^0-9a-zA-Z .'Ã]"","""")"),"Zach Gilford")</f>
        <v>Zach Gilford</v>
      </c>
      <c r="I390" s="20" t="s">
        <v>1628</v>
      </c>
      <c r="J390" s="18">
        <v>13913.0</v>
      </c>
      <c r="K390" s="18" t="s">
        <v>1629</v>
      </c>
      <c r="L390" s="18">
        <v>120.0</v>
      </c>
      <c r="M390" s="18" t="s">
        <v>24</v>
      </c>
      <c r="N390" s="18" t="s">
        <v>25</v>
      </c>
      <c r="O390" s="19">
        <v>7000000.0</v>
      </c>
      <c r="P390" s="10">
        <f t="shared" si="2"/>
        <v>8818967</v>
      </c>
      <c r="Q390" s="12">
        <f t="shared" si="3"/>
        <v>0</v>
      </c>
      <c r="R390" s="18">
        <v>2014.0</v>
      </c>
      <c r="S390" s="18">
        <v>4.0</v>
      </c>
    </row>
    <row r="391" ht="15.75" customHeight="1">
      <c r="A391" s="21" t="s">
        <v>1630</v>
      </c>
      <c r="B391" s="8" t="str">
        <f>IFERROR(__xludf.DUMMYFUNCTION("REGEXREPLACE(A391, ""[^0-9a-zA-Z .'Ã]"","""")"),"Joss Whedon")</f>
        <v>Joss Whedon</v>
      </c>
      <c r="C391" s="22">
        <v>635.0</v>
      </c>
      <c r="D391" s="23">
        <v>4.58991599E8</v>
      </c>
      <c r="E391" s="22" t="s">
        <v>185</v>
      </c>
      <c r="F391" s="9">
        <f t="shared" si="1"/>
        <v>3</v>
      </c>
      <c r="G391" s="22" t="s">
        <v>1439</v>
      </c>
      <c r="H391" s="11" t="str">
        <f>IFERROR(__xludf.DUMMYFUNCTION("REGEXREPLACE(G391, ""[^0-9a-zA-Z .'Ã]"","""")"),"Chris Hemsworth")</f>
        <v>Chris Hemsworth</v>
      </c>
      <c r="I391" s="24" t="s">
        <v>1631</v>
      </c>
      <c r="J391" s="22">
        <v>462669.0</v>
      </c>
      <c r="K391" s="22" t="s">
        <v>1632</v>
      </c>
      <c r="L391" s="22">
        <v>1117.0</v>
      </c>
      <c r="M391" s="22" t="s">
        <v>24</v>
      </c>
      <c r="N391" s="22" t="s">
        <v>25</v>
      </c>
      <c r="O391" s="23">
        <v>2.5E8</v>
      </c>
      <c r="P391" s="10">
        <f t="shared" si="2"/>
        <v>208991599</v>
      </c>
      <c r="Q391" s="12">
        <f t="shared" si="3"/>
        <v>0</v>
      </c>
      <c r="R391" s="22">
        <v>2015.0</v>
      </c>
      <c r="S391" s="22">
        <v>7.5</v>
      </c>
    </row>
    <row r="392" ht="15.75" customHeight="1">
      <c r="A392" s="29" t="s">
        <v>500</v>
      </c>
      <c r="B392" s="8" t="str">
        <f>IFERROR(__xludf.DUMMYFUNCTION("REGEXREPLACE(A392, ""[^0-9a-zA-Z .'Ã]"","""")"),"Brian Helgeland")</f>
        <v>Brian Helgeland</v>
      </c>
      <c r="C392" s="30">
        <v>260.0</v>
      </c>
      <c r="D392" s="31">
        <v>1865774.0</v>
      </c>
      <c r="E392" s="30" t="s">
        <v>1633</v>
      </c>
      <c r="F392" s="9">
        <f t="shared" si="1"/>
        <v>5</v>
      </c>
      <c r="G392" s="30" t="s">
        <v>1634</v>
      </c>
      <c r="H392" s="11" t="str">
        <f>IFERROR(__xludf.DUMMYFUNCTION("REGEXREPLACE(G392, ""[^0-9a-zA-Z .'Ã]"","""")"),"Tom Hardy")</f>
        <v>Tom Hardy</v>
      </c>
      <c r="I392" s="32" t="s">
        <v>1635</v>
      </c>
      <c r="J392" s="30">
        <v>87682.0</v>
      </c>
      <c r="K392" s="30" t="s">
        <v>1636</v>
      </c>
      <c r="L392" s="30">
        <v>174.0</v>
      </c>
      <c r="M392" s="30" t="s">
        <v>24</v>
      </c>
      <c r="N392" s="30" t="s">
        <v>130</v>
      </c>
      <c r="O392" s="31">
        <v>3.0E7</v>
      </c>
      <c r="P392" s="10">
        <f t="shared" si="2"/>
        <v>0</v>
      </c>
      <c r="Q392" s="12">
        <f t="shared" si="3"/>
        <v>28134226</v>
      </c>
      <c r="R392" s="30">
        <v>2015.0</v>
      </c>
      <c r="S392" s="30">
        <v>7.0</v>
      </c>
    </row>
    <row r="393" ht="15.75" customHeight="1">
      <c r="A393" s="7" t="s">
        <v>1637</v>
      </c>
      <c r="B393" s="8" t="str">
        <f>IFERROR(__xludf.DUMMYFUNCTION("REGEXREPLACE(A393, ""[^0-9a-zA-Z .'Ã]"","""")"),"Jun Falkenstein")</f>
        <v>Jun Falkenstein</v>
      </c>
      <c r="C393" s="9">
        <v>89.0</v>
      </c>
      <c r="D393" s="10">
        <v>4.5542421E7</v>
      </c>
      <c r="E393" s="9" t="s">
        <v>1638</v>
      </c>
      <c r="F393" s="9">
        <f t="shared" si="1"/>
        <v>5</v>
      </c>
      <c r="G393" s="9" t="s">
        <v>1639</v>
      </c>
      <c r="H393" s="11" t="str">
        <f>IFERROR(__xludf.DUMMYFUNCTION("REGEXREPLACE(G393, ""[^0-9a-zA-Z .'Ã]"","""")"),"Kath Soucie")</f>
        <v>Kath Soucie</v>
      </c>
      <c r="I393" s="11" t="s">
        <v>1640</v>
      </c>
      <c r="J393" s="9">
        <v>13319.0</v>
      </c>
      <c r="K393" s="9" t="s">
        <v>1641</v>
      </c>
      <c r="L393" s="9">
        <v>53.0</v>
      </c>
      <c r="M393" s="9" t="s">
        <v>24</v>
      </c>
      <c r="N393" s="9" t="s">
        <v>25</v>
      </c>
      <c r="O393" s="10">
        <v>3.0E7</v>
      </c>
      <c r="P393" s="10">
        <f t="shared" si="2"/>
        <v>15542421</v>
      </c>
      <c r="Q393" s="12">
        <f t="shared" si="3"/>
        <v>0</v>
      </c>
      <c r="R393" s="9">
        <v>2000.0</v>
      </c>
      <c r="S393" s="9">
        <v>6.3</v>
      </c>
    </row>
    <row r="394" ht="15.75" customHeight="1">
      <c r="A394" s="7" t="s">
        <v>1642</v>
      </c>
      <c r="B394" s="8" t="str">
        <f>IFERROR(__xludf.DUMMYFUNCTION("REGEXREPLACE(A394, ""[^0-9a-zA-Z .'Ã]"","""")"),"John Carl Buechler")</f>
        <v>John Carl Buechler</v>
      </c>
      <c r="C394" s="9">
        <v>110.0</v>
      </c>
      <c r="D394" s="10">
        <v>1.9170001E7</v>
      </c>
      <c r="E394" s="9" t="s">
        <v>148</v>
      </c>
      <c r="F394" s="9">
        <f t="shared" si="1"/>
        <v>1</v>
      </c>
      <c r="G394" s="9" t="s">
        <v>956</v>
      </c>
      <c r="H394" s="11" t="str">
        <f>IFERROR(__xludf.DUMMYFUNCTION("REGEXREPLACE(G394, ""[^0-9a-zA-Z .'Ã]"","""")"),"Kane Hodder")</f>
        <v>Kane Hodder</v>
      </c>
      <c r="I394" s="11" t="s">
        <v>1643</v>
      </c>
      <c r="J394" s="9">
        <v>21359.0</v>
      </c>
      <c r="K394" s="9" t="s">
        <v>1644</v>
      </c>
      <c r="L394" s="9">
        <v>270.0</v>
      </c>
      <c r="M394" s="9" t="s">
        <v>24</v>
      </c>
      <c r="N394" s="9" t="s">
        <v>25</v>
      </c>
      <c r="O394" s="10">
        <v>2800000.0</v>
      </c>
      <c r="P394" s="10">
        <f t="shared" si="2"/>
        <v>16370001</v>
      </c>
      <c r="Q394" s="12">
        <f t="shared" si="3"/>
        <v>0</v>
      </c>
      <c r="R394" s="9">
        <v>1988.0</v>
      </c>
      <c r="S394" s="9">
        <v>5.3</v>
      </c>
    </row>
    <row r="395" ht="15.75" customHeight="1">
      <c r="A395" s="21" t="s">
        <v>1645</v>
      </c>
      <c r="B395" s="8" t="str">
        <f>IFERROR(__xludf.DUMMYFUNCTION("REGEXREPLACE(A395, ""[^0-9a-zA-Z .'Ã]"","""")"),"Melvin Van Peebles")</f>
        <v>Melvin Van Peebles</v>
      </c>
      <c r="C395" s="22">
        <v>38.0</v>
      </c>
      <c r="D395" s="23">
        <v>1.518E7</v>
      </c>
      <c r="E395" s="22" t="s">
        <v>113</v>
      </c>
      <c r="F395" s="9">
        <f t="shared" si="1"/>
        <v>3</v>
      </c>
      <c r="G395" s="22" t="s">
        <v>1646</v>
      </c>
      <c r="H395" s="11" t="str">
        <f>IFERROR(__xludf.DUMMYFUNCTION("REGEXREPLACE(G395, ""[^0-9a-zA-Z .'Ã]"","""")"),"John Amos")</f>
        <v>John Amos</v>
      </c>
      <c r="I395" s="24" t="s">
        <v>1647</v>
      </c>
      <c r="J395" s="22">
        <v>3340.0</v>
      </c>
      <c r="K395" s="22" t="s">
        <v>1648</v>
      </c>
      <c r="L395" s="22">
        <v>50.0</v>
      </c>
      <c r="M395" s="22" t="s">
        <v>24</v>
      </c>
      <c r="N395" s="22" t="s">
        <v>25</v>
      </c>
      <c r="O395" s="23">
        <v>500000.0</v>
      </c>
      <c r="P395" s="10">
        <f t="shared" si="2"/>
        <v>14680000</v>
      </c>
      <c r="Q395" s="12">
        <f t="shared" si="3"/>
        <v>0</v>
      </c>
      <c r="R395" s="22">
        <v>1971.0</v>
      </c>
      <c r="S395" s="22">
        <v>5.5</v>
      </c>
    </row>
    <row r="396" ht="15.75" customHeight="1">
      <c r="A396" s="25" t="s">
        <v>1649</v>
      </c>
      <c r="B396" s="8" t="str">
        <f>IFERROR(__xludf.DUMMYFUNCTION("REGEXREPLACE(A396, ""[^0-9a-zA-Z -.'Ã]"","""")"),"Brian Trenchard-Smith")</f>
        <v>Brian Trenchard-Smith</v>
      </c>
      <c r="C396" s="26">
        <v>8.0</v>
      </c>
      <c r="D396" s="27">
        <v>721.0</v>
      </c>
      <c r="E396" s="26" t="s">
        <v>208</v>
      </c>
      <c r="F396" s="9">
        <f t="shared" si="1"/>
        <v>2</v>
      </c>
      <c r="G396" s="26" t="s">
        <v>783</v>
      </c>
      <c r="H396" s="11" t="str">
        <f>IFERROR(__xludf.DUMMYFUNCTION("REGEXREPLACE(G396, ""[^0-9a-zA-Z .'Ã]"","""")"),"David Keith")</f>
        <v>David Keith</v>
      </c>
      <c r="I396" s="28" t="s">
        <v>1650</v>
      </c>
      <c r="J396" s="26">
        <v>783.0</v>
      </c>
      <c r="K396" s="26" t="s">
        <v>1651</v>
      </c>
      <c r="L396" s="26">
        <v>12.0</v>
      </c>
      <c r="M396" s="26" t="s">
        <v>24</v>
      </c>
      <c r="N396" s="26" t="s">
        <v>173</v>
      </c>
      <c r="O396" s="27">
        <v>1000000.0</v>
      </c>
      <c r="P396" s="10">
        <f t="shared" si="2"/>
        <v>0</v>
      </c>
      <c r="Q396" s="12">
        <f t="shared" si="3"/>
        <v>999279</v>
      </c>
      <c r="R396" s="26">
        <v>2006.0</v>
      </c>
      <c r="S396" s="26">
        <v>4.1</v>
      </c>
    </row>
    <row r="397" ht="15.75" customHeight="1">
      <c r="A397" s="17" t="s">
        <v>1652</v>
      </c>
      <c r="B397" s="8" t="str">
        <f>IFERROR(__xludf.DUMMYFUNCTION("REGEXREPLACE(A397, ""[^0-9a-zA-Z .'Ã]"","""")"),"John Carpenter")</f>
        <v>John Carpenter</v>
      </c>
      <c r="C397" s="18">
        <v>201.0</v>
      </c>
      <c r="D397" s="19">
        <v>2.52447E7</v>
      </c>
      <c r="E397" s="18" t="s">
        <v>848</v>
      </c>
      <c r="F397" s="9">
        <f t="shared" si="1"/>
        <v>2</v>
      </c>
      <c r="G397" s="18" t="s">
        <v>1616</v>
      </c>
      <c r="H397" s="11" t="str">
        <f>IFERROR(__xludf.DUMMYFUNCTION("REGEXREPLACE(G397, ""[^0-9a-zA-Z .'Ã]"","""")"),"Donald Pleasence")</f>
        <v>Donald Pleasence</v>
      </c>
      <c r="I397" s="20" t="s">
        <v>1653</v>
      </c>
      <c r="J397" s="18">
        <v>91017.0</v>
      </c>
      <c r="K397" s="18" t="s">
        <v>1654</v>
      </c>
      <c r="L397" s="18">
        <v>284.0</v>
      </c>
      <c r="M397" s="18" t="s">
        <v>24</v>
      </c>
      <c r="N397" s="18" t="s">
        <v>130</v>
      </c>
      <c r="O397" s="19">
        <v>6000000.0</v>
      </c>
      <c r="P397" s="10">
        <f t="shared" si="2"/>
        <v>19244700</v>
      </c>
      <c r="Q397" s="12">
        <f t="shared" si="3"/>
        <v>0</v>
      </c>
      <c r="R397" s="18">
        <v>1981.0</v>
      </c>
      <c r="S397" s="18">
        <v>7.2</v>
      </c>
    </row>
    <row r="398" ht="15.75" customHeight="1">
      <c r="A398" s="21" t="s">
        <v>1655</v>
      </c>
      <c r="B398" s="8" t="str">
        <f>IFERROR(__xludf.DUMMYFUNCTION("REGEXREPLACE(A398, ""[^0-9a-zA-Z .'Ã]"","""")"),"Francis Ford Coppola")</f>
        <v>Francis Ford Coppola</v>
      </c>
      <c r="C398" s="22">
        <v>60.0</v>
      </c>
      <c r="D398" s="23">
        <v>2.56E7</v>
      </c>
      <c r="E398" s="22" t="s">
        <v>54</v>
      </c>
      <c r="F398" s="9">
        <f t="shared" si="1"/>
        <v>2</v>
      </c>
      <c r="G398" s="22" t="s">
        <v>220</v>
      </c>
      <c r="H398" s="11" t="str">
        <f>IFERROR(__xludf.DUMMYFUNCTION("REGEXREPLACE(G398, ""[^0-9a-zA-Z .'Ã]"","""")"),"Tom Cruise")</f>
        <v>Tom Cruise</v>
      </c>
      <c r="I398" s="24" t="s">
        <v>1656</v>
      </c>
      <c r="J398" s="22">
        <v>57363.0</v>
      </c>
      <c r="K398" s="22" t="s">
        <v>1657</v>
      </c>
      <c r="L398" s="22">
        <v>308.0</v>
      </c>
      <c r="M398" s="22" t="s">
        <v>24</v>
      </c>
      <c r="N398" s="22" t="s">
        <v>25</v>
      </c>
      <c r="O398" s="23">
        <v>1.0E7</v>
      </c>
      <c r="P398" s="10">
        <f t="shared" si="2"/>
        <v>15600000</v>
      </c>
      <c r="Q398" s="12">
        <f t="shared" si="3"/>
        <v>0</v>
      </c>
      <c r="R398" s="22">
        <v>1983.0</v>
      </c>
      <c r="S398" s="22">
        <v>7.2</v>
      </c>
    </row>
    <row r="399" ht="15.75" customHeight="1">
      <c r="A399" s="13" t="s">
        <v>760</v>
      </c>
      <c r="B399" s="8" t="str">
        <f>IFERROR(__xludf.DUMMYFUNCTION("REGEXREPLACE(A399, ""[^0-9a-zA-Z .'Ã]"","""")"),"Martin Scorsese")</f>
        <v>Martin Scorsese</v>
      </c>
      <c r="C399" s="14">
        <v>233.0</v>
      </c>
      <c r="D399" s="15">
        <v>7.7679638E7</v>
      </c>
      <c r="E399" s="14" t="s">
        <v>54</v>
      </c>
      <c r="F399" s="9">
        <f t="shared" si="1"/>
        <v>2</v>
      </c>
      <c r="G399" s="14" t="s">
        <v>1351</v>
      </c>
      <c r="H399" s="11" t="str">
        <f>IFERROR(__xludf.DUMMYFUNCTION("REGEXREPLACE(G399, ""[^0-9a-zA-Z .'Ã]"","""")"),"Leonardo DiCaprio")</f>
        <v>Leonardo DiCaprio</v>
      </c>
      <c r="I399" s="16" t="s">
        <v>1658</v>
      </c>
      <c r="J399" s="14">
        <v>314033.0</v>
      </c>
      <c r="K399" s="14" t="s">
        <v>1659</v>
      </c>
      <c r="L399" s="14">
        <v>1166.0</v>
      </c>
      <c r="M399" s="14" t="s">
        <v>24</v>
      </c>
      <c r="N399" s="14" t="s">
        <v>25</v>
      </c>
      <c r="O399" s="15">
        <v>1.0E8</v>
      </c>
      <c r="P399" s="10">
        <f t="shared" si="2"/>
        <v>0</v>
      </c>
      <c r="Q399" s="12">
        <f t="shared" si="3"/>
        <v>22320362</v>
      </c>
      <c r="R399" s="14">
        <v>2002.0</v>
      </c>
      <c r="S399" s="14">
        <v>7.5</v>
      </c>
    </row>
    <row r="400" ht="15.75" customHeight="1">
      <c r="A400" s="29" t="s">
        <v>1660</v>
      </c>
      <c r="B400" s="8" t="str">
        <f>IFERROR(__xludf.DUMMYFUNCTION("REGEXREPLACE(A400, ""[^0-9a-zA-Z .'Ã]"","""")"),"Sam Miller")</f>
        <v>Sam Miller</v>
      </c>
      <c r="C400" s="30">
        <v>58.0</v>
      </c>
      <c r="D400" s="31">
        <v>5.2543632E7</v>
      </c>
      <c r="E400" s="30" t="s">
        <v>316</v>
      </c>
      <c r="F400" s="9">
        <f t="shared" si="1"/>
        <v>2</v>
      </c>
      <c r="G400" s="30" t="s">
        <v>1661</v>
      </c>
      <c r="H400" s="11" t="str">
        <f>IFERROR(__xludf.DUMMYFUNCTION("REGEXREPLACE(G400, ""[^0-9a-zA-Z .'Ã]"","""")"),"Leslie Bibb")</f>
        <v>Leslie Bibb</v>
      </c>
      <c r="I400" s="32" t="s">
        <v>1662</v>
      </c>
      <c r="J400" s="30">
        <v>12676.0</v>
      </c>
      <c r="K400" s="30" t="s">
        <v>1663</v>
      </c>
      <c r="L400" s="30">
        <v>84.0</v>
      </c>
      <c r="M400" s="30" t="s">
        <v>24</v>
      </c>
      <c r="N400" s="30" t="s">
        <v>25</v>
      </c>
      <c r="O400" s="31">
        <v>1.32E7</v>
      </c>
      <c r="P400" s="10">
        <f t="shared" si="2"/>
        <v>39343632</v>
      </c>
      <c r="Q400" s="12">
        <f t="shared" si="3"/>
        <v>0</v>
      </c>
      <c r="R400" s="30">
        <v>2014.0</v>
      </c>
      <c r="S400" s="30">
        <v>5.6</v>
      </c>
    </row>
    <row r="401" ht="15.75" customHeight="1">
      <c r="A401" s="17" t="s">
        <v>1664</v>
      </c>
      <c r="B401" s="8" t="str">
        <f>IFERROR(__xludf.DUMMYFUNCTION("REGEXREPLACE(A401, ""[^0-9a-zA-Z .'Ã]"","""")"),"Scott Kalvert")</f>
        <v>Scott Kalvert</v>
      </c>
      <c r="C401" s="18">
        <v>38.0</v>
      </c>
      <c r="D401" s="19">
        <v>6044618.0</v>
      </c>
      <c r="E401" s="18" t="s">
        <v>978</v>
      </c>
      <c r="F401" s="9">
        <f t="shared" si="1"/>
        <v>3</v>
      </c>
      <c r="G401" s="18" t="s">
        <v>1665</v>
      </c>
      <c r="H401" s="11" t="str">
        <f>IFERROR(__xludf.DUMMYFUNCTION("REGEXREPLACE(G401, ""[^0-9a-zA-Z .'Ã]"","""")"),"Norman Reedus")</f>
        <v>Norman Reedus</v>
      </c>
      <c r="I401" s="20" t="s">
        <v>1666</v>
      </c>
      <c r="J401" s="18">
        <v>6200.0</v>
      </c>
      <c r="K401" s="18" t="s">
        <v>1667</v>
      </c>
      <c r="L401" s="18">
        <v>92.0</v>
      </c>
      <c r="M401" s="18" t="s">
        <v>24</v>
      </c>
      <c r="N401" s="18" t="s">
        <v>25</v>
      </c>
      <c r="O401" s="19">
        <v>1.0E7</v>
      </c>
      <c r="P401" s="10">
        <f t="shared" si="2"/>
        <v>0</v>
      </c>
      <c r="Q401" s="12">
        <f t="shared" si="3"/>
        <v>3955382</v>
      </c>
      <c r="R401" s="18">
        <v>2002.0</v>
      </c>
      <c r="S401" s="18">
        <v>5.6</v>
      </c>
    </row>
    <row r="402" ht="15.75" customHeight="1">
      <c r="A402" s="21" t="s">
        <v>1668</v>
      </c>
      <c r="B402" s="8" t="str">
        <f>IFERROR(__xludf.DUMMYFUNCTION("REGEXREPLACE(A402, ""[^0-9a-zA-Z .'Ã]"","""")"),"George A. Romero")</f>
        <v>George A. Romero</v>
      </c>
      <c r="C402" s="22">
        <v>274.0</v>
      </c>
      <c r="D402" s="23">
        <v>101055.0</v>
      </c>
      <c r="E402" s="22" t="s">
        <v>148</v>
      </c>
      <c r="F402" s="9">
        <f t="shared" si="1"/>
        <v>1</v>
      </c>
      <c r="G402" s="22" t="s">
        <v>1669</v>
      </c>
      <c r="H402" s="11" t="str">
        <f>IFERROR(__xludf.DUMMYFUNCTION("REGEXREPLACE(G402, ""[^0-9a-zA-Z .'Ã]"","""")"),"Julian Richings")</f>
        <v>Julian Richings</v>
      </c>
      <c r="I402" s="24" t="s">
        <v>1670</v>
      </c>
      <c r="J402" s="22">
        <v>17478.0</v>
      </c>
      <c r="K402" s="22" t="s">
        <v>1671</v>
      </c>
      <c r="L402" s="22">
        <v>159.0</v>
      </c>
      <c r="M402" s="22" t="s">
        <v>24</v>
      </c>
      <c r="N402" s="22" t="s">
        <v>25</v>
      </c>
      <c r="O402" s="23">
        <v>4000000.0</v>
      </c>
      <c r="P402" s="10">
        <f t="shared" si="2"/>
        <v>0</v>
      </c>
      <c r="Q402" s="12">
        <f t="shared" si="3"/>
        <v>3898945</v>
      </c>
      <c r="R402" s="22">
        <v>2009.0</v>
      </c>
      <c r="S402" s="22">
        <v>5.0</v>
      </c>
    </row>
    <row r="403" ht="15.75" customHeight="1">
      <c r="A403" s="25" t="s">
        <v>1672</v>
      </c>
      <c r="B403" s="8" t="str">
        <f>IFERROR(__xludf.DUMMYFUNCTION("REGEXREPLACE(A403, ""[^0-9a-zA-Z .'Ã]"","""")"),"Damien O'Donnell")</f>
        <v>Damien O'Donnell</v>
      </c>
      <c r="C403" s="26">
        <v>82.0</v>
      </c>
      <c r="D403" s="27">
        <v>4170647.0</v>
      </c>
      <c r="E403" s="26" t="s">
        <v>454</v>
      </c>
      <c r="F403" s="9">
        <f t="shared" si="1"/>
        <v>2</v>
      </c>
      <c r="G403" s="26" t="s">
        <v>1596</v>
      </c>
      <c r="H403" s="11" t="str">
        <f>IFERROR(__xludf.DUMMYFUNCTION("REGEXREPLACE(G403, ""[^0-9a-zA-Z .'Ã]"","""")"),"Archie Panjabi")</f>
        <v>Archie Panjabi</v>
      </c>
      <c r="I403" s="28" t="s">
        <v>1673</v>
      </c>
      <c r="J403" s="26">
        <v>14548.0</v>
      </c>
      <c r="K403" s="26" t="s">
        <v>1674</v>
      </c>
      <c r="L403" s="26">
        <v>161.0</v>
      </c>
      <c r="M403" s="26" t="s">
        <v>24</v>
      </c>
      <c r="N403" s="26" t="s">
        <v>130</v>
      </c>
      <c r="O403" s="27">
        <v>1900000.0</v>
      </c>
      <c r="P403" s="10">
        <f t="shared" si="2"/>
        <v>2270647</v>
      </c>
      <c r="Q403" s="12">
        <f t="shared" si="3"/>
        <v>0</v>
      </c>
      <c r="R403" s="26">
        <v>1999.0</v>
      </c>
      <c r="S403" s="26">
        <v>6.9</v>
      </c>
    </row>
    <row r="404" ht="15.75" customHeight="1">
      <c r="A404" s="7" t="s">
        <v>1675</v>
      </c>
      <c r="B404" s="8" t="str">
        <f>IFERROR(__xludf.DUMMYFUNCTION("REGEXREPLACE(A404, ""[^0-9a-zA-Z .'Ã]"","""")"),"Frank Marshall")</f>
        <v>Frank Marshall</v>
      </c>
      <c r="C404" s="9">
        <v>118.0</v>
      </c>
      <c r="D404" s="10">
        <v>8.1593527E7</v>
      </c>
      <c r="E404" s="9" t="s">
        <v>1676</v>
      </c>
      <c r="F404" s="9">
        <f t="shared" si="1"/>
        <v>3</v>
      </c>
      <c r="G404" s="9" t="s">
        <v>802</v>
      </c>
      <c r="H404" s="11" t="str">
        <f>IFERROR(__xludf.DUMMYFUNCTION("REGEXREPLACE(G404, ""[^0-9a-zA-Z .'Ã]"","""")"),"Paul Walker")</f>
        <v>Paul Walker</v>
      </c>
      <c r="I404" s="11" t="s">
        <v>1677</v>
      </c>
      <c r="J404" s="9">
        <v>48806.0</v>
      </c>
      <c r="K404" s="9" t="s">
        <v>1678</v>
      </c>
      <c r="L404" s="9">
        <v>263.0</v>
      </c>
      <c r="M404" s="9" t="s">
        <v>24</v>
      </c>
      <c r="N404" s="9" t="s">
        <v>25</v>
      </c>
      <c r="O404" s="10">
        <v>4.0E7</v>
      </c>
      <c r="P404" s="10">
        <f t="shared" si="2"/>
        <v>41593527</v>
      </c>
      <c r="Q404" s="12">
        <f t="shared" si="3"/>
        <v>0</v>
      </c>
      <c r="R404" s="9">
        <v>2006.0</v>
      </c>
      <c r="S404" s="9">
        <v>7.3</v>
      </c>
    </row>
    <row r="405" ht="15.75" customHeight="1">
      <c r="A405" s="17" t="s">
        <v>1679</v>
      </c>
      <c r="B405" s="8" t="str">
        <f>IFERROR(__xludf.DUMMYFUNCTION("REGEXREPLACE(A405, ""[^0-9a-zA-Z .'Ã]"","""")"),"John Hamburg")</f>
        <v>John Hamburg</v>
      </c>
      <c r="C405" s="18">
        <v>108.0</v>
      </c>
      <c r="D405" s="19">
        <v>8.7856565E7</v>
      </c>
      <c r="E405" s="18" t="s">
        <v>89</v>
      </c>
      <c r="F405" s="9">
        <f t="shared" si="1"/>
        <v>2</v>
      </c>
      <c r="G405" s="18" t="s">
        <v>1340</v>
      </c>
      <c r="H405" s="11" t="str">
        <f>IFERROR(__xludf.DUMMYFUNCTION("REGEXREPLACE(G405, ""[^0-9a-zA-Z .'Ã]"","""")"),"Philip Seymour Hoffman")</f>
        <v>Philip Seymour Hoffman</v>
      </c>
      <c r="I405" s="20" t="s">
        <v>1680</v>
      </c>
      <c r="J405" s="18">
        <v>106909.0</v>
      </c>
      <c r="K405" s="18" t="s">
        <v>1681</v>
      </c>
      <c r="L405" s="18">
        <v>268.0</v>
      </c>
      <c r="M405" s="18" t="s">
        <v>24</v>
      </c>
      <c r="N405" s="18" t="s">
        <v>25</v>
      </c>
      <c r="O405" s="19">
        <v>4.2E7</v>
      </c>
      <c r="P405" s="10">
        <f t="shared" si="2"/>
        <v>45856565</v>
      </c>
      <c r="Q405" s="12">
        <f t="shared" si="3"/>
        <v>0</v>
      </c>
      <c r="R405" s="18">
        <v>2004.0</v>
      </c>
      <c r="S405" s="18">
        <v>5.9</v>
      </c>
    </row>
    <row r="406" ht="15.75" customHeight="1">
      <c r="A406" s="21" t="s">
        <v>1682</v>
      </c>
      <c r="B406" s="8" t="str">
        <f>IFERROR(__xludf.DUMMYFUNCTION("REGEXREPLACE(A406, ""[^0-9a-zA-Z .'Ã]"","""")"),"Paul W.S. Anderson")</f>
        <v>Paul W.S. Anderson</v>
      </c>
      <c r="C406" s="22">
        <v>272.0</v>
      </c>
      <c r="D406" s="23">
        <v>2.3219748E7</v>
      </c>
      <c r="E406" s="22" t="s">
        <v>1683</v>
      </c>
      <c r="F406" s="9">
        <f t="shared" si="1"/>
        <v>5</v>
      </c>
      <c r="G406" s="22" t="s">
        <v>1684</v>
      </c>
      <c r="H406" s="11" t="str">
        <f>IFERROR(__xludf.DUMMYFUNCTION("REGEXREPLACE(G406, ""[^0-9a-zA-Z .'Ã]"","""")"),"Sasha Roiz")</f>
        <v>Sasha Roiz</v>
      </c>
      <c r="I406" s="24" t="s">
        <v>1685</v>
      </c>
      <c r="J406" s="22">
        <v>84508.0</v>
      </c>
      <c r="K406" s="22" t="s">
        <v>1686</v>
      </c>
      <c r="L406" s="22">
        <v>308.0</v>
      </c>
      <c r="M406" s="22" t="s">
        <v>24</v>
      </c>
      <c r="N406" s="22" t="s">
        <v>624</v>
      </c>
      <c r="O406" s="23">
        <v>8.0E7</v>
      </c>
      <c r="P406" s="10">
        <f t="shared" si="2"/>
        <v>0</v>
      </c>
      <c r="Q406" s="12">
        <f t="shared" si="3"/>
        <v>56780252</v>
      </c>
      <c r="R406" s="22">
        <v>2014.0</v>
      </c>
      <c r="S406" s="22">
        <v>5.6</v>
      </c>
    </row>
    <row r="407" ht="15.75" customHeight="1">
      <c r="A407" s="25" t="s">
        <v>1687</v>
      </c>
      <c r="B407" s="8" t="str">
        <f>IFERROR(__xludf.DUMMYFUNCTION("REGEXREPLACE(A407, ""[^0-9a-zA-Z .'Ã]"","""")"),"Craig Gillespie")</f>
        <v>Craig Gillespie</v>
      </c>
      <c r="C407" s="26">
        <v>151.0</v>
      </c>
      <c r="D407" s="27">
        <v>3.6447959E7</v>
      </c>
      <c r="E407" s="26" t="s">
        <v>1124</v>
      </c>
      <c r="F407" s="9">
        <f t="shared" si="1"/>
        <v>3</v>
      </c>
      <c r="G407" s="26" t="s">
        <v>1688</v>
      </c>
      <c r="H407" s="11" t="str">
        <f>IFERROR(__xludf.DUMMYFUNCTION("REGEXREPLACE(G407, ""[^0-9a-zA-Z .'Ã]"","""")"),"Jon Hamm")</f>
        <v>Jon Hamm</v>
      </c>
      <c r="I407" s="28" t="s">
        <v>1689</v>
      </c>
      <c r="J407" s="26">
        <v>35833.0</v>
      </c>
      <c r="K407" s="26" t="s">
        <v>1690</v>
      </c>
      <c r="L407" s="26">
        <v>96.0</v>
      </c>
      <c r="M407" s="26" t="s">
        <v>24</v>
      </c>
      <c r="N407" s="26" t="s">
        <v>25</v>
      </c>
      <c r="O407" s="27">
        <v>2.5E7</v>
      </c>
      <c r="P407" s="10">
        <f t="shared" si="2"/>
        <v>11447959</v>
      </c>
      <c r="Q407" s="12">
        <f t="shared" si="3"/>
        <v>0</v>
      </c>
      <c r="R407" s="26">
        <v>2014.0</v>
      </c>
      <c r="S407" s="26">
        <v>7.0</v>
      </c>
    </row>
    <row r="408" ht="15.75" customHeight="1">
      <c r="A408" s="17" t="s">
        <v>1691</v>
      </c>
      <c r="B408" s="8" t="str">
        <f>IFERROR(__xludf.DUMMYFUNCTION("REGEXREPLACE(A408, ""[^0-9a-zA-Z -.'Ã]"","""")"),"Alejandro G. IÃÃrritu")</f>
        <v>Alejandro G. IÃÃrritu</v>
      </c>
      <c r="C408" s="18">
        <v>556.0</v>
      </c>
      <c r="D408" s="19">
        <v>1.83635922E8</v>
      </c>
      <c r="E408" s="18" t="s">
        <v>1692</v>
      </c>
      <c r="F408" s="9">
        <f t="shared" si="1"/>
        <v>4</v>
      </c>
      <c r="G408" s="18" t="s">
        <v>1351</v>
      </c>
      <c r="H408" s="11" t="str">
        <f>IFERROR(__xludf.DUMMYFUNCTION("REGEXREPLACE(G408, ""[^0-9a-zA-Z .'Ã]"","""")"),"Leonardo DiCaprio")</f>
        <v>Leonardo DiCaprio</v>
      </c>
      <c r="I408" s="20" t="s">
        <v>1693</v>
      </c>
      <c r="J408" s="18">
        <v>406020.0</v>
      </c>
      <c r="K408" s="18" t="s">
        <v>1694</v>
      </c>
      <c r="L408" s="18">
        <v>1188.0</v>
      </c>
      <c r="M408" s="18" t="s">
        <v>24</v>
      </c>
      <c r="N408" s="18" t="s">
        <v>25</v>
      </c>
      <c r="O408" s="19">
        <v>1.35E8</v>
      </c>
      <c r="P408" s="10">
        <f t="shared" si="2"/>
        <v>48635922</v>
      </c>
      <c r="Q408" s="12">
        <f t="shared" si="3"/>
        <v>0</v>
      </c>
      <c r="R408" s="18">
        <v>2015.0</v>
      </c>
      <c r="S408" s="18">
        <v>8.1</v>
      </c>
    </row>
    <row r="409" ht="15.75" customHeight="1">
      <c r="A409" s="21" t="s">
        <v>1695</v>
      </c>
      <c r="B409" s="8" t="str">
        <f>IFERROR(__xludf.DUMMYFUNCTION("REGEXREPLACE(A409, ""[^0-9a-zA-Z .'Ã]"","""")"),"Kerry Conran")</f>
        <v>Kerry Conran</v>
      </c>
      <c r="C409" s="22">
        <v>197.0</v>
      </c>
      <c r="D409" s="23">
        <v>3.776008E7</v>
      </c>
      <c r="E409" s="22" t="s">
        <v>1696</v>
      </c>
      <c r="F409" s="9">
        <f t="shared" si="1"/>
        <v>5</v>
      </c>
      <c r="G409" s="22" t="s">
        <v>844</v>
      </c>
      <c r="H409" s="11" t="str">
        <f>IFERROR(__xludf.DUMMYFUNCTION("REGEXREPLACE(G409, ""[^0-9a-zA-Z .'Ã]"","""")"),"Angelina Jolie Pitt")</f>
        <v>Angelina Jolie Pitt</v>
      </c>
      <c r="I409" s="24" t="s">
        <v>1697</v>
      </c>
      <c r="J409" s="22">
        <v>72868.0</v>
      </c>
      <c r="K409" s="22" t="s">
        <v>1698</v>
      </c>
      <c r="L409" s="22">
        <v>618.0</v>
      </c>
      <c r="M409" s="22" t="s">
        <v>24</v>
      </c>
      <c r="N409" s="22" t="s">
        <v>25</v>
      </c>
      <c r="O409" s="23">
        <v>7.0E7</v>
      </c>
      <c r="P409" s="10">
        <f t="shared" si="2"/>
        <v>0</v>
      </c>
      <c r="Q409" s="12">
        <f t="shared" si="3"/>
        <v>32239920</v>
      </c>
      <c r="R409" s="22">
        <v>2004.0</v>
      </c>
      <c r="S409" s="22">
        <v>6.1</v>
      </c>
    </row>
    <row r="410" ht="15.75" customHeight="1">
      <c r="A410" s="29" t="s">
        <v>31</v>
      </c>
      <c r="B410" s="8" t="str">
        <f>IFERROR(__xludf.DUMMYFUNCTION("REGEXREPLACE(A410, ""[^0-9a-zA-Z .'Ã]"","""")"),"Gavin O'Connor")</f>
        <v>Gavin O'Connor</v>
      </c>
      <c r="C410" s="30">
        <v>123.0</v>
      </c>
      <c r="D410" s="31">
        <v>1512815.0</v>
      </c>
      <c r="E410" s="30" t="s">
        <v>37</v>
      </c>
      <c r="F410" s="9">
        <f t="shared" si="1"/>
        <v>3</v>
      </c>
      <c r="G410" s="30" t="s">
        <v>1088</v>
      </c>
      <c r="H410" s="11" t="str">
        <f>IFERROR(__xludf.DUMMYFUNCTION("REGEXREPLACE(G410, ""[^0-9a-zA-Z .'Ã]"","""")"),"Natalie Portman")</f>
        <v>Natalie Portman</v>
      </c>
      <c r="I410" s="32" t="s">
        <v>1699</v>
      </c>
      <c r="J410" s="30">
        <v>8885.0</v>
      </c>
      <c r="K410" s="30" t="s">
        <v>1700</v>
      </c>
      <c r="L410" s="30">
        <v>56.0</v>
      </c>
      <c r="M410" s="30" t="s">
        <v>24</v>
      </c>
      <c r="N410" s="30" t="s">
        <v>25</v>
      </c>
      <c r="O410" s="31">
        <v>2.5E7</v>
      </c>
      <c r="P410" s="10">
        <f t="shared" si="2"/>
        <v>0</v>
      </c>
      <c r="Q410" s="12">
        <f t="shared" si="3"/>
        <v>23487185</v>
      </c>
      <c r="R410" s="30">
        <v>2016.0</v>
      </c>
      <c r="S410" s="30">
        <v>5.8</v>
      </c>
    </row>
    <row r="411" ht="15.75" customHeight="1">
      <c r="A411" s="21" t="s">
        <v>1701</v>
      </c>
      <c r="B411" s="8" t="str">
        <f>IFERROR(__xludf.DUMMYFUNCTION("REGEXREPLACE(A411, ""[^0-9a-zA-Z .'Ã]"","""")"),"Gavin Hood")</f>
        <v>Gavin Hood</v>
      </c>
      <c r="C411" s="22">
        <v>131.0</v>
      </c>
      <c r="D411" s="23">
        <v>9664316.0</v>
      </c>
      <c r="E411" s="22" t="s">
        <v>369</v>
      </c>
      <c r="F411" s="9">
        <f t="shared" si="1"/>
        <v>2</v>
      </c>
      <c r="G411" s="22" t="s">
        <v>878</v>
      </c>
      <c r="H411" s="11" t="str">
        <f>IFERROR(__xludf.DUMMYFUNCTION("REGEXREPLACE(G411, ""[^0-9a-zA-Z .'Ã]"","""")"),"J.K. Simmons")</f>
        <v>J.K. Simmons</v>
      </c>
      <c r="I411" s="24" t="s">
        <v>1702</v>
      </c>
      <c r="J411" s="22">
        <v>47203.0</v>
      </c>
      <c r="K411" s="22" t="s">
        <v>1703</v>
      </c>
      <c r="L411" s="22">
        <v>197.0</v>
      </c>
      <c r="M411" s="22" t="s">
        <v>24</v>
      </c>
      <c r="N411" s="22" t="s">
        <v>25</v>
      </c>
      <c r="O411" s="23">
        <v>2.75E7</v>
      </c>
      <c r="P411" s="10">
        <f t="shared" si="2"/>
        <v>0</v>
      </c>
      <c r="Q411" s="12">
        <f t="shared" si="3"/>
        <v>17835684</v>
      </c>
      <c r="R411" s="22">
        <v>2007.0</v>
      </c>
      <c r="S411" s="22">
        <v>6.8</v>
      </c>
    </row>
    <row r="412" ht="15.75" customHeight="1">
      <c r="A412" s="13" t="s">
        <v>125</v>
      </c>
      <c r="B412" s="8" t="str">
        <f>IFERROR(__xludf.DUMMYFUNCTION("REGEXREPLACE(A412, ""[^0-9a-zA-Z .'Ã]"","""")"),"Edgar Wright")</f>
        <v>Edgar Wright</v>
      </c>
      <c r="C412" s="14">
        <v>427.0</v>
      </c>
      <c r="D412" s="15">
        <v>2.6003149E7</v>
      </c>
      <c r="E412" s="14" t="s">
        <v>1704</v>
      </c>
      <c r="F412" s="9">
        <f t="shared" si="1"/>
        <v>3</v>
      </c>
      <c r="G412" s="14" t="s">
        <v>1705</v>
      </c>
      <c r="H412" s="11" t="str">
        <f>IFERROR(__xludf.DUMMYFUNCTION("REGEXREPLACE(G412, ""[^0-9a-zA-Z .'Ã]"","""")"),"Michael Smiley")</f>
        <v>Michael Smiley</v>
      </c>
      <c r="I412" s="16" t="s">
        <v>1706</v>
      </c>
      <c r="J412" s="14">
        <v>185587.0</v>
      </c>
      <c r="K412" s="14" t="s">
        <v>1707</v>
      </c>
      <c r="L412" s="14">
        <v>401.0</v>
      </c>
      <c r="M412" s="14" t="s">
        <v>24</v>
      </c>
      <c r="N412" s="14" t="s">
        <v>130</v>
      </c>
      <c r="O412" s="15">
        <v>2.0E7</v>
      </c>
      <c r="P412" s="10">
        <f t="shared" si="2"/>
        <v>6003149</v>
      </c>
      <c r="Q412" s="12">
        <f t="shared" si="3"/>
        <v>0</v>
      </c>
      <c r="R412" s="14">
        <v>2013.0</v>
      </c>
      <c r="S412" s="14">
        <v>7.0</v>
      </c>
    </row>
    <row r="413" ht="15.75" customHeight="1">
      <c r="A413" s="25" t="s">
        <v>1708</v>
      </c>
      <c r="B413" s="8" t="str">
        <f>IFERROR(__xludf.DUMMYFUNCTION("REGEXREPLACE(A413, ""[^0-9a-zA-Z .'Ã]"","""")"),"Rob Minkoff")</f>
        <v>Rob Minkoff</v>
      </c>
      <c r="C413" s="26">
        <v>196.0</v>
      </c>
      <c r="D413" s="27">
        <v>1.11505642E8</v>
      </c>
      <c r="E413" s="26" t="s">
        <v>20</v>
      </c>
      <c r="F413" s="9">
        <f t="shared" si="1"/>
        <v>5</v>
      </c>
      <c r="G413" s="26" t="s">
        <v>1709</v>
      </c>
      <c r="H413" s="11" t="str">
        <f>IFERROR(__xludf.DUMMYFUNCTION("REGEXREPLACE(G413, ""[^0-9a-zA-Z .'Ã]"","""")"),"Ty Burrell")</f>
        <v>Ty Burrell</v>
      </c>
      <c r="I413" s="28" t="s">
        <v>1710</v>
      </c>
      <c r="J413" s="26">
        <v>47900.0</v>
      </c>
      <c r="K413" s="26" t="s">
        <v>1711</v>
      </c>
      <c r="L413" s="26">
        <v>130.0</v>
      </c>
      <c r="M413" s="26" t="s">
        <v>24</v>
      </c>
      <c r="N413" s="26" t="s">
        <v>25</v>
      </c>
      <c r="O413" s="27">
        <v>1.45E8</v>
      </c>
      <c r="P413" s="10">
        <f t="shared" si="2"/>
        <v>0</v>
      </c>
      <c r="Q413" s="12">
        <f t="shared" si="3"/>
        <v>33494358</v>
      </c>
      <c r="R413" s="26">
        <v>2014.0</v>
      </c>
      <c r="S413" s="26">
        <v>6.9</v>
      </c>
    </row>
    <row r="414" ht="15.75" customHeight="1">
      <c r="A414" s="17" t="s">
        <v>1712</v>
      </c>
      <c r="B414" s="8" t="str">
        <f>IFERROR(__xludf.DUMMYFUNCTION("REGEXREPLACE(A414, ""[^0-9a-zA-Z .'Ã]"","""")"),"Stiles White")</f>
        <v>Stiles White</v>
      </c>
      <c r="C414" s="18">
        <v>183.0</v>
      </c>
      <c r="D414" s="19">
        <v>5.082094E7</v>
      </c>
      <c r="E414" s="18" t="s">
        <v>1235</v>
      </c>
      <c r="F414" s="9">
        <f t="shared" si="1"/>
        <v>2</v>
      </c>
      <c r="G414" s="18" t="s">
        <v>1713</v>
      </c>
      <c r="H414" s="11" t="str">
        <f>IFERROR(__xludf.DUMMYFUNCTION("REGEXREPLACE(G414, ""[^0-9a-zA-Z .'Ã]"","""")"),"Lin Shaye")</f>
        <v>Lin Shaye</v>
      </c>
      <c r="I414" s="20" t="s">
        <v>1714</v>
      </c>
      <c r="J414" s="18">
        <v>31915.0</v>
      </c>
      <c r="K414" s="18" t="s">
        <v>1715</v>
      </c>
      <c r="L414" s="18">
        <v>159.0</v>
      </c>
      <c r="M414" s="18" t="s">
        <v>24</v>
      </c>
      <c r="N414" s="18" t="s">
        <v>25</v>
      </c>
      <c r="O414" s="19">
        <v>5000000.0</v>
      </c>
      <c r="P414" s="10">
        <f t="shared" si="2"/>
        <v>45820940</v>
      </c>
      <c r="Q414" s="12">
        <f t="shared" si="3"/>
        <v>0</v>
      </c>
      <c r="R414" s="18">
        <v>2014.0</v>
      </c>
      <c r="S414" s="18">
        <v>4.4</v>
      </c>
    </row>
    <row r="415" ht="15.75" customHeight="1">
      <c r="A415" s="7" t="s">
        <v>1716</v>
      </c>
      <c r="B415" s="8" t="str">
        <f>IFERROR(__xludf.DUMMYFUNCTION("REGEXREPLACE(A415, ""[^0-9a-zA-Z .'Ã]"","""")"),"Roger Michell")</f>
        <v>Roger Michell</v>
      </c>
      <c r="C415" s="9">
        <v>212.0</v>
      </c>
      <c r="D415" s="10">
        <v>3.0993544E7</v>
      </c>
      <c r="E415" s="9" t="s">
        <v>159</v>
      </c>
      <c r="F415" s="9">
        <f t="shared" si="1"/>
        <v>3</v>
      </c>
      <c r="G415" s="9" t="s">
        <v>1717</v>
      </c>
      <c r="H415" s="11" t="str">
        <f>IFERROR(__xludf.DUMMYFUNCTION("REGEXREPLACE(G415, ""[^0-9a-zA-Z .'Ã]"","""")"),"Noah Bean")</f>
        <v>Noah Bean</v>
      </c>
      <c r="I415" s="11" t="s">
        <v>1718</v>
      </c>
      <c r="J415" s="9">
        <v>58871.0</v>
      </c>
      <c r="K415" s="9" t="s">
        <v>1719</v>
      </c>
      <c r="L415" s="9">
        <v>156.0</v>
      </c>
      <c r="M415" s="9" t="s">
        <v>24</v>
      </c>
      <c r="N415" s="9" t="s">
        <v>25</v>
      </c>
      <c r="O415" s="10">
        <v>4.0E7</v>
      </c>
      <c r="P415" s="10">
        <f t="shared" si="2"/>
        <v>0</v>
      </c>
      <c r="Q415" s="12">
        <f t="shared" si="3"/>
        <v>9006456</v>
      </c>
      <c r="R415" s="9">
        <v>2010.0</v>
      </c>
      <c r="S415" s="9">
        <v>6.5</v>
      </c>
    </row>
    <row r="416" ht="15.75" customHeight="1">
      <c r="A416" s="7" t="s">
        <v>1720</v>
      </c>
      <c r="B416" s="8" t="str">
        <f>IFERROR(__xludf.DUMMYFUNCTION("REGEXREPLACE(A416, ""[^0-9a-zA-Z .'Ã]"","""")"),"Paul Crowder")</f>
        <v>Paul Crowder</v>
      </c>
      <c r="C416" s="9">
        <v>40.0</v>
      </c>
      <c r="D416" s="10">
        <v>144431.0</v>
      </c>
      <c r="E416" s="9" t="s">
        <v>1721</v>
      </c>
      <c r="F416" s="9">
        <f t="shared" si="1"/>
        <v>2</v>
      </c>
      <c r="G416" s="9" t="s">
        <v>1722</v>
      </c>
      <c r="H416" s="11" t="str">
        <f>IFERROR(__xludf.DUMMYFUNCTION("REGEXREPLACE(G416, ""[^0-9a-zA-Z .'Ã]"","""")"),"PelÃ")</f>
        <v>PelÃ</v>
      </c>
      <c r="I416" s="11" t="s">
        <v>1723</v>
      </c>
      <c r="J416" s="9">
        <v>1290.0</v>
      </c>
      <c r="K416" s="9" t="s">
        <v>1724</v>
      </c>
      <c r="L416" s="9">
        <v>13.0</v>
      </c>
      <c r="M416" s="9" t="s">
        <v>24</v>
      </c>
      <c r="N416" s="9" t="s">
        <v>130</v>
      </c>
      <c r="O416" s="10">
        <v>1000000.0</v>
      </c>
      <c r="P416" s="10">
        <f t="shared" si="2"/>
        <v>0</v>
      </c>
      <c r="Q416" s="12">
        <f t="shared" si="3"/>
        <v>855569</v>
      </c>
      <c r="R416" s="9">
        <v>2006.0</v>
      </c>
      <c r="S416" s="9">
        <v>7.3</v>
      </c>
    </row>
    <row r="417" ht="15.75" customHeight="1">
      <c r="A417" s="7" t="s">
        <v>1725</v>
      </c>
      <c r="B417" s="8" t="str">
        <f>IFERROR(__xludf.DUMMYFUNCTION("REGEXREPLACE(A417, ""[^0-9a-zA-Z .'Ã]"","""")"),"John G. Avildsen")</f>
        <v>John G. Avildsen</v>
      </c>
      <c r="C417" s="9">
        <v>81.0</v>
      </c>
      <c r="D417" s="10">
        <v>9.08E7</v>
      </c>
      <c r="E417" s="9" t="s">
        <v>1726</v>
      </c>
      <c r="F417" s="9">
        <f t="shared" si="1"/>
        <v>4</v>
      </c>
      <c r="G417" s="9" t="s">
        <v>1727</v>
      </c>
      <c r="H417" s="11" t="str">
        <f>IFERROR(__xludf.DUMMYFUNCTION("REGEXREPLACE(G417, ""[^0-9a-zA-Z .'Ã]"","""")"),"Martin Kove")</f>
        <v>Martin Kove</v>
      </c>
      <c r="I417" s="11" t="s">
        <v>1728</v>
      </c>
      <c r="J417" s="9">
        <v>126907.0</v>
      </c>
      <c r="K417" s="9" t="s">
        <v>1729</v>
      </c>
      <c r="L417" s="9">
        <v>235.0</v>
      </c>
      <c r="M417" s="9" t="s">
        <v>24</v>
      </c>
      <c r="N417" s="9" t="s">
        <v>25</v>
      </c>
      <c r="O417" s="10">
        <v>8000000.0</v>
      </c>
      <c r="P417" s="10">
        <f t="shared" si="2"/>
        <v>82800000</v>
      </c>
      <c r="Q417" s="12">
        <f t="shared" si="3"/>
        <v>0</v>
      </c>
      <c r="R417" s="9">
        <v>1984.0</v>
      </c>
      <c r="S417" s="9">
        <v>7.2</v>
      </c>
    </row>
    <row r="418" ht="15.75" customHeight="1">
      <c r="A418" s="17" t="s">
        <v>1730</v>
      </c>
      <c r="B418" s="8" t="str">
        <f>IFERROR(__xludf.DUMMYFUNCTION("REGEXREPLACE(A418, ""[^0-9a-zA-Z .'Ã]"","""")"),"Andrew Erwin")</f>
        <v>Andrew Erwin</v>
      </c>
      <c r="C418" s="18">
        <v>49.0</v>
      </c>
      <c r="D418" s="19">
        <v>1.0429707E7</v>
      </c>
      <c r="E418" s="18" t="s">
        <v>137</v>
      </c>
      <c r="F418" s="9">
        <f t="shared" si="1"/>
        <v>1</v>
      </c>
      <c r="G418" s="18" t="s">
        <v>352</v>
      </c>
      <c r="H418" s="11" t="str">
        <f>IFERROR(__xludf.DUMMYFUNCTION("REGEXREPLACE(G418, ""[^0-9a-zA-Z .'Ã]"","""")"),"Alex Kendrick")</f>
        <v>Alex Kendrick</v>
      </c>
      <c r="I418" s="20" t="s">
        <v>1731</v>
      </c>
      <c r="J418" s="18">
        <v>10483.0</v>
      </c>
      <c r="K418" s="18" t="s">
        <v>1732</v>
      </c>
      <c r="L418" s="18">
        <v>125.0</v>
      </c>
      <c r="M418" s="18" t="s">
        <v>24</v>
      </c>
      <c r="N418" s="18" t="s">
        <v>25</v>
      </c>
      <c r="O418" s="19">
        <v>5000000.0</v>
      </c>
      <c r="P418" s="10">
        <f t="shared" si="2"/>
        <v>5429707</v>
      </c>
      <c r="Q418" s="12">
        <f t="shared" si="3"/>
        <v>0</v>
      </c>
      <c r="R418" s="18">
        <v>2014.0</v>
      </c>
      <c r="S418" s="18">
        <v>5.4</v>
      </c>
    </row>
    <row r="419" ht="15.75" customHeight="1">
      <c r="A419" s="21" t="s">
        <v>1733</v>
      </c>
      <c r="B419" s="8" t="str">
        <f>IFERROR(__xludf.DUMMYFUNCTION("REGEXREPLACE(A419, ""[^0-9a-zA-Z .'Ã]"","""")"),"Mark Neveldine")</f>
        <v>Mark Neveldine</v>
      </c>
      <c r="C419" s="22">
        <v>180.0</v>
      </c>
      <c r="D419" s="23">
        <v>2.0488579E7</v>
      </c>
      <c r="E419" s="22" t="s">
        <v>1734</v>
      </c>
      <c r="F419" s="9">
        <f t="shared" si="1"/>
        <v>3</v>
      </c>
      <c r="G419" s="22" t="s">
        <v>830</v>
      </c>
      <c r="H419" s="11" t="str">
        <f>IFERROR(__xludf.DUMMYFUNCTION("REGEXREPLACE(G419, ""[^0-9a-zA-Z .'Ã]"","""")"),"Gerard Butler")</f>
        <v>Gerard Butler</v>
      </c>
      <c r="I419" s="24" t="s">
        <v>1735</v>
      </c>
      <c r="J419" s="22">
        <v>113483.0</v>
      </c>
      <c r="K419" s="22" t="s">
        <v>1736</v>
      </c>
      <c r="L419" s="22">
        <v>245.0</v>
      </c>
      <c r="M419" s="22" t="s">
        <v>24</v>
      </c>
      <c r="N419" s="22" t="s">
        <v>25</v>
      </c>
      <c r="O419" s="23">
        <v>5.0E7</v>
      </c>
      <c r="P419" s="10">
        <f t="shared" si="2"/>
        <v>0</v>
      </c>
      <c r="Q419" s="12">
        <f t="shared" si="3"/>
        <v>29511421</v>
      </c>
      <c r="R419" s="22">
        <v>2009.0</v>
      </c>
      <c r="S419" s="22">
        <v>5.8</v>
      </c>
    </row>
    <row r="420" ht="15.75" customHeight="1">
      <c r="A420" s="25" t="s">
        <v>1737</v>
      </c>
      <c r="B420" s="8" t="str">
        <f>IFERROR(__xludf.DUMMYFUNCTION("REGEXREPLACE(A420, ""[^0-9a-zA-Z .'Ã]"","""")"),"John Francis Daley")</f>
        <v>John Francis Daley</v>
      </c>
      <c r="C420" s="26">
        <v>204.0</v>
      </c>
      <c r="D420" s="27">
        <v>5.8879132E7</v>
      </c>
      <c r="E420" s="26" t="s">
        <v>693</v>
      </c>
      <c r="F420" s="9">
        <f t="shared" si="1"/>
        <v>2</v>
      </c>
      <c r="G420" s="26" t="s">
        <v>1439</v>
      </c>
      <c r="H420" s="11" t="str">
        <f>IFERROR(__xludf.DUMMYFUNCTION("REGEXREPLACE(G420, ""[^0-9a-zA-Z .'Ã]"","""")"),"Chris Hemsworth")</f>
        <v>Chris Hemsworth</v>
      </c>
      <c r="I420" s="28" t="s">
        <v>1738</v>
      </c>
      <c r="J420" s="26">
        <v>66123.0</v>
      </c>
      <c r="K420" s="26" t="s">
        <v>1739</v>
      </c>
      <c r="L420" s="26">
        <v>219.0</v>
      </c>
      <c r="M420" s="26" t="s">
        <v>24</v>
      </c>
      <c r="N420" s="26" t="s">
        <v>25</v>
      </c>
      <c r="O420" s="27">
        <v>3.1E7</v>
      </c>
      <c r="P420" s="10">
        <f t="shared" si="2"/>
        <v>27879132</v>
      </c>
      <c r="Q420" s="12">
        <f t="shared" si="3"/>
        <v>0</v>
      </c>
      <c r="R420" s="26">
        <v>2015.0</v>
      </c>
      <c r="S420" s="26">
        <v>6.1</v>
      </c>
    </row>
    <row r="421" ht="15.75" customHeight="1">
      <c r="A421" s="7" t="s">
        <v>1740</v>
      </c>
      <c r="B421" s="8" t="str">
        <f>IFERROR(__xludf.DUMMYFUNCTION("REGEXREPLACE(A421, ""[^0-9a-zA-Z .'Ã]"","""")"),"Woody Allen")</f>
        <v>Woody Allen</v>
      </c>
      <c r="C421" s="9">
        <v>487.0</v>
      </c>
      <c r="D421" s="10">
        <v>5.6816662E7</v>
      </c>
      <c r="E421" s="9" t="s">
        <v>1741</v>
      </c>
      <c r="F421" s="9">
        <f t="shared" si="1"/>
        <v>3</v>
      </c>
      <c r="G421" s="9" t="s">
        <v>1742</v>
      </c>
      <c r="H421" s="11" t="str">
        <f>IFERROR(__xludf.DUMMYFUNCTION("REGEXREPLACE(G421, ""[^0-9a-zA-Z .'Ã]"","""")"),"Kurt Fuller")</f>
        <v>Kurt Fuller</v>
      </c>
      <c r="I421" s="11" t="s">
        <v>1743</v>
      </c>
      <c r="J421" s="9">
        <v>301149.0</v>
      </c>
      <c r="K421" s="9" t="s">
        <v>1744</v>
      </c>
      <c r="L421" s="9">
        <v>509.0</v>
      </c>
      <c r="M421" s="9" t="s">
        <v>24</v>
      </c>
      <c r="N421" s="9" t="s">
        <v>1108</v>
      </c>
      <c r="O421" s="10">
        <v>1.7E7</v>
      </c>
      <c r="P421" s="10">
        <f t="shared" si="2"/>
        <v>39816662</v>
      </c>
      <c r="Q421" s="12">
        <f t="shared" si="3"/>
        <v>0</v>
      </c>
      <c r="R421" s="9">
        <v>2011.0</v>
      </c>
      <c r="S421" s="9">
        <v>7.7</v>
      </c>
    </row>
    <row r="422" ht="15.75" customHeight="1">
      <c r="A422" s="21" t="s">
        <v>552</v>
      </c>
      <c r="B422" s="8" t="str">
        <f>IFERROR(__xludf.DUMMYFUNCTION("REGEXREPLACE(A422, ""[^0-9a-zA-Z .'Ã]"","""")"),"Cameron Crowe")</f>
        <v>Cameron Crowe</v>
      </c>
      <c r="C422" s="22">
        <v>149.0</v>
      </c>
      <c r="D422" s="23">
        <v>3.2522352E7</v>
      </c>
      <c r="E422" s="22" t="s">
        <v>1745</v>
      </c>
      <c r="F422" s="9">
        <f t="shared" si="1"/>
        <v>4</v>
      </c>
      <c r="G422" s="22" t="s">
        <v>1340</v>
      </c>
      <c r="H422" s="11" t="str">
        <f>IFERROR(__xludf.DUMMYFUNCTION("REGEXREPLACE(G422, ""[^0-9a-zA-Z .'Ã]"","""")"),"Philip Seymour Hoffman")</f>
        <v>Philip Seymour Hoffman</v>
      </c>
      <c r="I422" s="24" t="s">
        <v>1746</v>
      </c>
      <c r="J422" s="22">
        <v>207287.0</v>
      </c>
      <c r="K422" s="22" t="s">
        <v>1747</v>
      </c>
      <c r="L422" s="22">
        <v>822.0</v>
      </c>
      <c r="M422" s="22" t="s">
        <v>24</v>
      </c>
      <c r="N422" s="22" t="s">
        <v>25</v>
      </c>
      <c r="O422" s="23">
        <v>6.0E7</v>
      </c>
      <c r="P422" s="10">
        <f t="shared" si="2"/>
        <v>0</v>
      </c>
      <c r="Q422" s="12">
        <f t="shared" si="3"/>
        <v>27477648</v>
      </c>
      <c r="R422" s="22">
        <v>2000.0</v>
      </c>
      <c r="S422" s="22">
        <v>7.9</v>
      </c>
    </row>
    <row r="423" ht="15.75" customHeight="1">
      <c r="A423" s="25" t="s">
        <v>1748</v>
      </c>
      <c r="B423" s="8" t="str">
        <f>IFERROR(__xludf.DUMMYFUNCTION("REGEXREPLACE(A423, ""[^0-9a-zA-Z .'Ã]"","""")"),"Richard Benjamin")</f>
        <v>Richard Benjamin</v>
      </c>
      <c r="C423" s="26">
        <v>15.0</v>
      </c>
      <c r="D423" s="27">
        <v>1.3854E7</v>
      </c>
      <c r="E423" s="26" t="s">
        <v>1455</v>
      </c>
      <c r="F423" s="9">
        <f t="shared" si="1"/>
        <v>3</v>
      </c>
      <c r="G423" s="26" t="s">
        <v>1749</v>
      </c>
      <c r="H423" s="11" t="str">
        <f>IFERROR(__xludf.DUMMYFUNCTION("REGEXREPLACE(G423, ""[^0-9a-zA-Z .'Ã]"","""")"),"Jon Lovitz")</f>
        <v>Jon Lovitz</v>
      </c>
      <c r="I423" s="28" t="s">
        <v>1750</v>
      </c>
      <c r="J423" s="26">
        <v>21079.0</v>
      </c>
      <c r="K423" s="26" t="s">
        <v>1751</v>
      </c>
      <c r="L423" s="26">
        <v>55.0</v>
      </c>
      <c r="M423" s="26" t="s">
        <v>24</v>
      </c>
      <c r="N423" s="26" t="s">
        <v>25</v>
      </c>
      <c r="O423" s="27">
        <v>2.0E7</v>
      </c>
      <c r="P423" s="10">
        <f t="shared" si="2"/>
        <v>0</v>
      </c>
      <c r="Q423" s="12">
        <f t="shared" si="3"/>
        <v>6146000</v>
      </c>
      <c r="R423" s="26">
        <v>1988.0</v>
      </c>
      <c r="S423" s="26">
        <v>5.2</v>
      </c>
    </row>
    <row r="424" ht="15.75" customHeight="1">
      <c r="A424" s="7" t="s">
        <v>1752</v>
      </c>
      <c r="B424" s="8" t="str">
        <f>IFERROR(__xludf.DUMMYFUNCTION("REGEXREPLACE(A424, ""[^0-9a-zA-Z .'Ã]"","""")"),"Douglas McGrath")</f>
        <v>Douglas McGrath</v>
      </c>
      <c r="C424" s="9">
        <v>80.0</v>
      </c>
      <c r="D424" s="10">
        <v>1309849.0</v>
      </c>
      <c r="E424" s="9" t="s">
        <v>232</v>
      </c>
      <c r="F424" s="9">
        <f t="shared" si="1"/>
        <v>2</v>
      </c>
      <c r="G424" s="9" t="s">
        <v>1753</v>
      </c>
      <c r="H424" s="11" t="str">
        <f>IFERROR(__xludf.DUMMYFUNCTION("REGEXREPLACE(G424, ""[^0-9a-zA-Z .'Ã]"","""")"),"Charlie Hunnam")</f>
        <v>Charlie Hunnam</v>
      </c>
      <c r="I424" s="11" t="s">
        <v>1754</v>
      </c>
      <c r="J424" s="9">
        <v>9395.0</v>
      </c>
      <c r="K424" s="9" t="s">
        <v>1755</v>
      </c>
      <c r="L424" s="9">
        <v>103.0</v>
      </c>
      <c r="M424" s="9" t="s">
        <v>24</v>
      </c>
      <c r="N424" s="9" t="s">
        <v>130</v>
      </c>
      <c r="O424" s="10">
        <v>1.0E7</v>
      </c>
      <c r="P424" s="10">
        <f t="shared" si="2"/>
        <v>0</v>
      </c>
      <c r="Q424" s="12">
        <f t="shared" si="3"/>
        <v>8690151</v>
      </c>
      <c r="R424" s="9">
        <v>2002.0</v>
      </c>
      <c r="S424" s="9">
        <v>7.2</v>
      </c>
    </row>
    <row r="425" ht="15.75" customHeight="1">
      <c r="A425" s="21" t="s">
        <v>1756</v>
      </c>
      <c r="B425" s="8" t="str">
        <f>IFERROR(__xludf.DUMMYFUNCTION("REGEXREPLACE(A425, ""[^0-9a-zA-Z .'Ã]"","""")"),"Courtney Solomon")</f>
        <v>Courtney Solomon</v>
      </c>
      <c r="C425" s="22">
        <v>146.0</v>
      </c>
      <c r="D425" s="23">
        <v>1.0494494E7</v>
      </c>
      <c r="E425" s="22" t="s">
        <v>152</v>
      </c>
      <c r="F425" s="9">
        <f t="shared" si="1"/>
        <v>3</v>
      </c>
      <c r="G425" s="22" t="s">
        <v>1757</v>
      </c>
      <c r="H425" s="11" t="str">
        <f>IFERROR(__xludf.DUMMYFUNCTION("REGEXREPLACE(G425, ""[^0-9a-zA-Z .'Ã]"","""")"),"Rebecca Budig")</f>
        <v>Rebecca Budig</v>
      </c>
      <c r="I425" s="24" t="s">
        <v>1758</v>
      </c>
      <c r="J425" s="22">
        <v>19586.0</v>
      </c>
      <c r="K425" s="22" t="s">
        <v>1759</v>
      </c>
      <c r="L425" s="22">
        <v>109.0</v>
      </c>
      <c r="M425" s="22" t="s">
        <v>24</v>
      </c>
      <c r="N425" s="22" t="s">
        <v>25</v>
      </c>
      <c r="O425" s="23">
        <v>1.8E7</v>
      </c>
      <c r="P425" s="10">
        <f t="shared" si="2"/>
        <v>0</v>
      </c>
      <c r="Q425" s="12">
        <f t="shared" si="3"/>
        <v>7505506</v>
      </c>
      <c r="R425" s="22">
        <v>2013.0</v>
      </c>
      <c r="S425" s="22">
        <v>4.4</v>
      </c>
    </row>
    <row r="426" ht="15.75" customHeight="1">
      <c r="A426" s="25" t="s">
        <v>1760</v>
      </c>
      <c r="B426" s="8" t="str">
        <f>IFERROR(__xludf.DUMMYFUNCTION("REGEXREPLACE(A426, ""[^0-9a-zA-Z -.'Ã]"","""")"),"Jee-woon Kim")</f>
        <v>Jee-woon Kim</v>
      </c>
      <c r="C426" s="26">
        <v>152.0</v>
      </c>
      <c r="D426" s="27">
        <v>128486.0</v>
      </c>
      <c r="E426" s="26" t="s">
        <v>1761</v>
      </c>
      <c r="F426" s="9">
        <f t="shared" si="1"/>
        <v>4</v>
      </c>
      <c r="G426" s="26" t="s">
        <v>1762</v>
      </c>
      <c r="H426" s="11" t="str">
        <f>IFERROR(__xludf.DUMMYFUNCTION("REGEXREPLACE(G426, ""[^0-9a-zA-Z .'Ã]"","""")"),"Kangho Song")</f>
        <v>Kangho Song</v>
      </c>
      <c r="I426" s="28" t="s">
        <v>1763</v>
      </c>
      <c r="J426" s="26">
        <v>26156.0</v>
      </c>
      <c r="K426" s="26" t="s">
        <v>1764</v>
      </c>
      <c r="L426" s="26">
        <v>74.0</v>
      </c>
      <c r="M426" s="26" t="s">
        <v>1765</v>
      </c>
      <c r="N426" s="26" t="s">
        <v>1766</v>
      </c>
      <c r="O426" s="27">
        <v>1.0E7</v>
      </c>
      <c r="P426" s="10">
        <f t="shared" si="2"/>
        <v>0</v>
      </c>
      <c r="Q426" s="12">
        <f t="shared" si="3"/>
        <v>9871514</v>
      </c>
      <c r="R426" s="26">
        <v>2008.0</v>
      </c>
      <c r="S426" s="26">
        <v>7.3</v>
      </c>
    </row>
    <row r="427" ht="15.75" customHeight="1">
      <c r="A427" s="7" t="s">
        <v>1767</v>
      </c>
      <c r="B427" s="8" t="str">
        <f>IFERROR(__xludf.DUMMYFUNCTION("REGEXREPLACE(A427, ""[^0-9a-zA-Z .'Ã]"","""")"),"Barry Levinson")</f>
        <v>Barry Levinson</v>
      </c>
      <c r="C427" s="9">
        <v>42.0</v>
      </c>
      <c r="D427" s="10">
        <v>1.41E7</v>
      </c>
      <c r="E427" s="9" t="s">
        <v>454</v>
      </c>
      <c r="F427" s="9">
        <f t="shared" si="1"/>
        <v>2</v>
      </c>
      <c r="G427" s="9" t="s">
        <v>138</v>
      </c>
      <c r="H427" s="11" t="str">
        <f>IFERROR(__xludf.DUMMYFUNCTION("REGEXREPLACE(G427, ""[^0-9a-zA-Z .'Ã]"","""")"),"Steve Guttenberg")</f>
        <v>Steve Guttenberg</v>
      </c>
      <c r="I427" s="11" t="s">
        <v>1768</v>
      </c>
      <c r="J427" s="9">
        <v>14995.0</v>
      </c>
      <c r="K427" s="9" t="s">
        <v>1769</v>
      </c>
      <c r="L427" s="9">
        <v>87.0</v>
      </c>
      <c r="M427" s="9" t="s">
        <v>24</v>
      </c>
      <c r="N427" s="9" t="s">
        <v>25</v>
      </c>
      <c r="O427" s="10">
        <v>5000000.0</v>
      </c>
      <c r="P427" s="10">
        <f t="shared" si="2"/>
        <v>9100000</v>
      </c>
      <c r="Q427" s="12">
        <f t="shared" si="3"/>
        <v>0</v>
      </c>
      <c r="R427" s="9">
        <v>1982.0</v>
      </c>
      <c r="S427" s="9">
        <v>7.2</v>
      </c>
    </row>
    <row r="428" ht="15.75" customHeight="1">
      <c r="A428" s="7" t="s">
        <v>1610</v>
      </c>
      <c r="B428" s="8" t="str">
        <f>IFERROR(__xludf.DUMMYFUNCTION("REGEXREPLACE(A428, ""[^0-9a-zA-Z .'Ã]"","""")"),"Peter Cattaneo")</f>
        <v>Peter Cattaneo</v>
      </c>
      <c r="C428" s="9">
        <v>132.0</v>
      </c>
      <c r="D428" s="10">
        <v>6409206.0</v>
      </c>
      <c r="E428" s="9" t="s">
        <v>321</v>
      </c>
      <c r="F428" s="9">
        <f t="shared" si="1"/>
        <v>2</v>
      </c>
      <c r="G428" s="9" t="s">
        <v>497</v>
      </c>
      <c r="H428" s="11" t="str">
        <f>IFERROR(__xludf.DUMMYFUNCTION("REGEXREPLACE(G428, ""[^0-9a-zA-Z .'Ã]"","""")"),"Emma Stone")</f>
        <v>Emma Stone</v>
      </c>
      <c r="I428" s="11" t="s">
        <v>1770</v>
      </c>
      <c r="J428" s="9">
        <v>32311.0</v>
      </c>
      <c r="K428" s="9" t="s">
        <v>1771</v>
      </c>
      <c r="L428" s="9">
        <v>104.0</v>
      </c>
      <c r="M428" s="9" t="s">
        <v>24</v>
      </c>
      <c r="N428" s="9" t="s">
        <v>25</v>
      </c>
      <c r="O428" s="10">
        <v>1.5E7</v>
      </c>
      <c r="P428" s="10">
        <f t="shared" si="2"/>
        <v>0</v>
      </c>
      <c r="Q428" s="12">
        <f t="shared" si="3"/>
        <v>8590794</v>
      </c>
      <c r="R428" s="9">
        <v>2008.0</v>
      </c>
      <c r="S428" s="9">
        <v>6.2</v>
      </c>
    </row>
    <row r="429" ht="15.75" customHeight="1">
      <c r="A429" s="7" t="s">
        <v>381</v>
      </c>
      <c r="B429" s="8" t="str">
        <f>IFERROR(__xludf.DUMMYFUNCTION("REGEXREPLACE(A429, ""[^0-9a-zA-Z .'Ã]"","""")"),"Brian De Palma")</f>
        <v>Brian De Palma</v>
      </c>
      <c r="C429" s="9">
        <v>117.0</v>
      </c>
      <c r="D429" s="10">
        <v>5.5585389E7</v>
      </c>
      <c r="E429" s="9" t="s">
        <v>575</v>
      </c>
      <c r="F429" s="9">
        <f t="shared" si="1"/>
        <v>3</v>
      </c>
      <c r="G429" s="9" t="s">
        <v>458</v>
      </c>
      <c r="H429" s="11" t="str">
        <f>IFERROR(__xludf.DUMMYFUNCTION("REGEXREPLACE(G429, ""[^0-9a-zA-Z .'Ã]"","""")"),"Nicolas Cage")</f>
        <v>Nicolas Cage</v>
      </c>
      <c r="I429" s="11" t="s">
        <v>1772</v>
      </c>
      <c r="J429" s="9">
        <v>64121.0</v>
      </c>
      <c r="K429" s="9" t="s">
        <v>1773</v>
      </c>
      <c r="L429" s="9">
        <v>241.0</v>
      </c>
      <c r="M429" s="9" t="s">
        <v>24</v>
      </c>
      <c r="N429" s="9" t="s">
        <v>25</v>
      </c>
      <c r="O429" s="10">
        <v>6.9E7</v>
      </c>
      <c r="P429" s="10">
        <f t="shared" si="2"/>
        <v>0</v>
      </c>
      <c r="Q429" s="12">
        <f t="shared" si="3"/>
        <v>13414611</v>
      </c>
      <c r="R429" s="9">
        <v>1998.0</v>
      </c>
      <c r="S429" s="9">
        <v>5.9</v>
      </c>
    </row>
    <row r="430" ht="15.75" customHeight="1">
      <c r="A430" s="17" t="s">
        <v>635</v>
      </c>
      <c r="B430" s="8" t="str">
        <f>IFERROR(__xludf.DUMMYFUNCTION("REGEXREPLACE(A430, ""[^0-9a-zA-Z .'Ã]"","""")"),"Steven Spielberg")</f>
        <v>Steven Spielberg</v>
      </c>
      <c r="C430" s="18">
        <v>194.0</v>
      </c>
      <c r="D430" s="19">
        <v>1.64435221E8</v>
      </c>
      <c r="E430" s="18" t="s">
        <v>1774</v>
      </c>
      <c r="F430" s="9">
        <f t="shared" si="1"/>
        <v>3</v>
      </c>
      <c r="G430" s="18" t="s">
        <v>1351</v>
      </c>
      <c r="H430" s="11" t="str">
        <f>IFERROR(__xludf.DUMMYFUNCTION("REGEXREPLACE(G430, ""[^0-9a-zA-Z .'Ã]"","""")"),"Leonardo DiCaprio")</f>
        <v>Leonardo DiCaprio</v>
      </c>
      <c r="I430" s="20" t="s">
        <v>1775</v>
      </c>
      <c r="J430" s="18">
        <v>525801.0</v>
      </c>
      <c r="K430" s="18" t="s">
        <v>1776</v>
      </c>
      <c r="L430" s="18">
        <v>667.0</v>
      </c>
      <c r="M430" s="18" t="s">
        <v>24</v>
      </c>
      <c r="N430" s="18" t="s">
        <v>25</v>
      </c>
      <c r="O430" s="19">
        <v>5.2E7</v>
      </c>
      <c r="P430" s="10">
        <f t="shared" si="2"/>
        <v>112435221</v>
      </c>
      <c r="Q430" s="12">
        <f t="shared" si="3"/>
        <v>0</v>
      </c>
      <c r="R430" s="18">
        <v>2002.0</v>
      </c>
      <c r="S430" s="18">
        <v>8.0</v>
      </c>
    </row>
    <row r="431" ht="15.75" customHeight="1">
      <c r="A431" s="7" t="s">
        <v>640</v>
      </c>
      <c r="B431" s="8" t="str">
        <f>IFERROR(__xludf.DUMMYFUNCTION("REGEXREPLACE(A431, ""[^0-9a-zA-Z .'Ã]"","""")"),"David O. Russell")</f>
        <v>David O. Russell</v>
      </c>
      <c r="C431" s="9">
        <v>183.0</v>
      </c>
      <c r="D431" s="10">
        <v>1.2784713E7</v>
      </c>
      <c r="E431" s="9" t="s">
        <v>137</v>
      </c>
      <c r="F431" s="9">
        <f t="shared" si="1"/>
        <v>1</v>
      </c>
      <c r="G431" s="9" t="s">
        <v>874</v>
      </c>
      <c r="H431" s="11" t="str">
        <f>IFERROR(__xludf.DUMMYFUNCTION("REGEXREPLACE(G431, ""[^0-9a-zA-Z .'Ã]"","""")"),"Naomi Watts")</f>
        <v>Naomi Watts</v>
      </c>
      <c r="I431" s="11" t="s">
        <v>1777</v>
      </c>
      <c r="J431" s="9">
        <v>56813.0</v>
      </c>
      <c r="K431" s="9" t="s">
        <v>1778</v>
      </c>
      <c r="L431" s="9">
        <v>381.0</v>
      </c>
      <c r="M431" s="9" t="s">
        <v>24</v>
      </c>
      <c r="N431" s="9" t="s">
        <v>25</v>
      </c>
      <c r="O431" s="10">
        <v>2.2E7</v>
      </c>
      <c r="P431" s="10">
        <f t="shared" si="2"/>
        <v>0</v>
      </c>
      <c r="Q431" s="12">
        <f t="shared" si="3"/>
        <v>9215287</v>
      </c>
      <c r="R431" s="9">
        <v>2004.0</v>
      </c>
      <c r="S431" s="9">
        <v>6.7</v>
      </c>
    </row>
    <row r="432" ht="15.75" customHeight="1">
      <c r="A432" s="7" t="s">
        <v>1779</v>
      </c>
      <c r="B432" s="8" t="str">
        <f>IFERROR(__xludf.DUMMYFUNCTION("REGEXREPLACE(A432, ""[^0-9a-zA-Z .'Ã]"","""")"),"Lisa Cholodenko")</f>
        <v>Lisa Cholodenko</v>
      </c>
      <c r="C432" s="9">
        <v>323.0</v>
      </c>
      <c r="D432" s="10">
        <v>2.0803237E7</v>
      </c>
      <c r="E432" s="9" t="s">
        <v>454</v>
      </c>
      <c r="F432" s="9">
        <f t="shared" si="1"/>
        <v>2</v>
      </c>
      <c r="G432" s="9" t="s">
        <v>811</v>
      </c>
      <c r="H432" s="11" t="str">
        <f>IFERROR(__xludf.DUMMYFUNCTION("REGEXREPLACE(G432, ""[^0-9a-zA-Z .'Ã]"","""")"),"Josh Hutcherson")</f>
        <v>Josh Hutcherson</v>
      </c>
      <c r="I432" s="11" t="s">
        <v>1780</v>
      </c>
      <c r="J432" s="9">
        <v>110616.0</v>
      </c>
      <c r="K432" s="9" t="s">
        <v>1781</v>
      </c>
      <c r="L432" s="9">
        <v>291.0</v>
      </c>
      <c r="M432" s="9" t="s">
        <v>24</v>
      </c>
      <c r="N432" s="9" t="s">
        <v>25</v>
      </c>
      <c r="O432" s="10">
        <v>3500000.0</v>
      </c>
      <c r="P432" s="10">
        <f t="shared" si="2"/>
        <v>17303237</v>
      </c>
      <c r="Q432" s="12">
        <f t="shared" si="3"/>
        <v>0</v>
      </c>
      <c r="R432" s="9">
        <v>2010.0</v>
      </c>
      <c r="S432" s="9">
        <v>7.1</v>
      </c>
    </row>
    <row r="433" ht="15.75" customHeight="1">
      <c r="A433" s="17" t="s">
        <v>1782</v>
      </c>
      <c r="B433" s="8" t="str">
        <f>IFERROR(__xludf.DUMMYFUNCTION("REGEXREPLACE(A433, ""[^0-9a-zA-Z -.'Ã]"","""")"),"Chia-Liang Liu")</f>
        <v>Chia-Liang Liu</v>
      </c>
      <c r="C433" s="18">
        <v>77.0</v>
      </c>
      <c r="D433" s="19">
        <v>1.1546543E7</v>
      </c>
      <c r="E433" s="18" t="s">
        <v>968</v>
      </c>
      <c r="F433" s="9">
        <f t="shared" si="1"/>
        <v>2</v>
      </c>
      <c r="G433" s="18" t="s">
        <v>1783</v>
      </c>
      <c r="H433" s="11" t="str">
        <f>IFERROR(__xludf.DUMMYFUNCTION("REGEXREPLACE(G433, ""[^0-9a-zA-Z .'Ã]"","""")"),"Andy Lau")</f>
        <v>Andy Lau</v>
      </c>
      <c r="I433" s="20" t="s">
        <v>1784</v>
      </c>
      <c r="J433" s="18">
        <v>34520.0</v>
      </c>
      <c r="K433" s="18" t="s">
        <v>1785</v>
      </c>
      <c r="L433" s="18">
        <v>146.0</v>
      </c>
      <c r="M433" s="18" t="s">
        <v>156</v>
      </c>
      <c r="N433" s="18" t="s">
        <v>157</v>
      </c>
      <c r="O433" s="19">
        <v>2000000.0</v>
      </c>
      <c r="P433" s="10">
        <f t="shared" si="2"/>
        <v>9546543</v>
      </c>
      <c r="Q433" s="12">
        <f t="shared" si="3"/>
        <v>0</v>
      </c>
      <c r="R433" s="18">
        <v>1994.0</v>
      </c>
      <c r="S433" s="18">
        <v>7.6</v>
      </c>
    </row>
    <row r="434" ht="15.75" customHeight="1">
      <c r="A434" s="21" t="s">
        <v>1786</v>
      </c>
      <c r="B434" s="8" t="str">
        <f>IFERROR(__xludf.DUMMYFUNCTION("REGEXREPLACE(A434, ""[^0-9a-zA-Z .'Ã]"","""")"),"Mike McCoy")</f>
        <v>Mike McCoy</v>
      </c>
      <c r="C434" s="22">
        <v>216.0</v>
      </c>
      <c r="D434" s="23">
        <v>7.0011073E7</v>
      </c>
      <c r="E434" s="22" t="s">
        <v>1787</v>
      </c>
      <c r="F434" s="9">
        <f t="shared" si="1"/>
        <v>5</v>
      </c>
      <c r="G434" s="22" t="s">
        <v>1788</v>
      </c>
      <c r="H434" s="11" t="str">
        <f>IFERROR(__xludf.DUMMYFUNCTION("REGEXREPLACE(G434, ""[^0-9a-zA-Z .'Ã]"","""")"),"Alex Veadov")</f>
        <v>Alex Veadov</v>
      </c>
      <c r="I434" s="24" t="s">
        <v>1789</v>
      </c>
      <c r="J434" s="22">
        <v>57996.0</v>
      </c>
      <c r="K434" s="22" t="s">
        <v>1790</v>
      </c>
      <c r="L434" s="22">
        <v>349.0</v>
      </c>
      <c r="M434" s="22" t="s">
        <v>24</v>
      </c>
      <c r="N434" s="22" t="s">
        <v>25</v>
      </c>
      <c r="O434" s="23">
        <v>1.2E7</v>
      </c>
      <c r="P434" s="10">
        <f t="shared" si="2"/>
        <v>58011073</v>
      </c>
      <c r="Q434" s="12">
        <f t="shared" si="3"/>
        <v>0</v>
      </c>
      <c r="R434" s="22">
        <v>2012.0</v>
      </c>
      <c r="S434" s="22">
        <v>6.5</v>
      </c>
    </row>
    <row r="435" ht="15.75" customHeight="1">
      <c r="A435" s="13" t="s">
        <v>1791</v>
      </c>
      <c r="B435" s="8" t="str">
        <f>IFERROR(__xludf.DUMMYFUNCTION("REGEXREPLACE(A435, ""[^0-9a-zA-Z .'Ã]"","""")"),"Andrew Currie")</f>
        <v>Andrew Currie</v>
      </c>
      <c r="C435" s="14">
        <v>140.0</v>
      </c>
      <c r="D435" s="15">
        <v>298110.0</v>
      </c>
      <c r="E435" s="14" t="s">
        <v>1792</v>
      </c>
      <c r="F435" s="9">
        <f t="shared" si="1"/>
        <v>4</v>
      </c>
      <c r="G435" s="14" t="s">
        <v>1793</v>
      </c>
      <c r="H435" s="11" t="str">
        <f>IFERROR(__xludf.DUMMYFUNCTION("REGEXREPLACE(G435, ""[^0-9a-zA-Z .'Ã]"","""")"),"Alexia Fast")</f>
        <v>Alexia Fast</v>
      </c>
      <c r="I435" s="16" t="s">
        <v>1794</v>
      </c>
      <c r="J435" s="14">
        <v>25055.0</v>
      </c>
      <c r="K435" s="14" t="s">
        <v>1795</v>
      </c>
      <c r="L435" s="14">
        <v>98.0</v>
      </c>
      <c r="M435" s="14" t="s">
        <v>24</v>
      </c>
      <c r="N435" s="14" t="s">
        <v>624</v>
      </c>
      <c r="O435" s="15">
        <v>8000000.0</v>
      </c>
      <c r="P435" s="10">
        <f t="shared" si="2"/>
        <v>0</v>
      </c>
      <c r="Q435" s="12">
        <f t="shared" si="3"/>
        <v>7701890</v>
      </c>
      <c r="R435" s="14">
        <v>2006.0</v>
      </c>
      <c r="S435" s="14">
        <v>6.8</v>
      </c>
    </row>
    <row r="436" ht="15.75" customHeight="1">
      <c r="A436" s="13" t="s">
        <v>1796</v>
      </c>
      <c r="B436" s="8" t="str">
        <f>IFERROR(__xludf.DUMMYFUNCTION("REGEXREPLACE(A436, ""[^0-9a-zA-Z .'Ã]"","""")"),"Harold Ramis")</f>
        <v>Harold Ramis</v>
      </c>
      <c r="C436" s="14">
        <v>43.0</v>
      </c>
      <c r="D436" s="15">
        <v>2.0101861E7</v>
      </c>
      <c r="E436" s="14" t="s">
        <v>1455</v>
      </c>
      <c r="F436" s="9">
        <f t="shared" si="1"/>
        <v>3</v>
      </c>
      <c r="G436" s="14" t="s">
        <v>1797</v>
      </c>
      <c r="H436" s="11" t="str">
        <f>IFERROR(__xludf.DUMMYFUNCTION("REGEXREPLACE(G436, ""[^0-9a-zA-Z .'Ã]"","""")"),"John de Lancie")</f>
        <v>John de Lancie</v>
      </c>
      <c r="I436" s="16" t="s">
        <v>1798</v>
      </c>
      <c r="J436" s="14">
        <v>24757.0</v>
      </c>
      <c r="K436" s="14" t="s">
        <v>1799</v>
      </c>
      <c r="L436" s="14">
        <v>81.0</v>
      </c>
      <c r="M436" s="14" t="s">
        <v>24</v>
      </c>
      <c r="N436" s="14" t="s">
        <v>25</v>
      </c>
      <c r="O436" s="15">
        <v>4.5E7</v>
      </c>
      <c r="P436" s="10">
        <f t="shared" si="2"/>
        <v>0</v>
      </c>
      <c r="Q436" s="12">
        <f t="shared" si="3"/>
        <v>24898139</v>
      </c>
      <c r="R436" s="14">
        <v>1996.0</v>
      </c>
      <c r="S436" s="14">
        <v>6.0</v>
      </c>
    </row>
    <row r="437" ht="15.75" customHeight="1">
      <c r="A437" s="13" t="s">
        <v>676</v>
      </c>
      <c r="B437" s="8" t="str">
        <f>IFERROR(__xludf.DUMMYFUNCTION("REGEXREPLACE(A437, ""[^0-9a-zA-Z .'Ã]"","""")"),"Stephen Herek")</f>
        <v>Stephen Herek</v>
      </c>
      <c r="C437" s="14">
        <v>42.0</v>
      </c>
      <c r="D437" s="15">
        <v>8.2528097E7</v>
      </c>
      <c r="E437" s="14" t="s">
        <v>418</v>
      </c>
      <c r="F437" s="9">
        <f t="shared" si="1"/>
        <v>2</v>
      </c>
      <c r="G437" s="14" t="s">
        <v>1800</v>
      </c>
      <c r="H437" s="11" t="str">
        <f>IFERROR(__xludf.DUMMYFUNCTION("REGEXREPLACE(G437, ""[^0-9a-zA-Z .'Ã]"","""")"),"Alicia Witt")</f>
        <v>Alicia Witt</v>
      </c>
      <c r="I437" s="16" t="s">
        <v>1801</v>
      </c>
      <c r="J437" s="14">
        <v>30230.0</v>
      </c>
      <c r="K437" s="14" t="s">
        <v>1802</v>
      </c>
      <c r="L437" s="14">
        <v>154.0</v>
      </c>
      <c r="M437" s="14" t="s">
        <v>24</v>
      </c>
      <c r="N437" s="14" t="s">
        <v>25</v>
      </c>
      <c r="O437" s="15">
        <v>6500000.0</v>
      </c>
      <c r="P437" s="10">
        <f t="shared" si="2"/>
        <v>76028097</v>
      </c>
      <c r="Q437" s="12">
        <f t="shared" si="3"/>
        <v>0</v>
      </c>
      <c r="R437" s="14">
        <v>1995.0</v>
      </c>
      <c r="S437" s="14">
        <v>7.3</v>
      </c>
    </row>
    <row r="438" ht="15.75" customHeight="1">
      <c r="A438" s="29" t="s">
        <v>692</v>
      </c>
      <c r="B438" s="8" t="str">
        <f>IFERROR(__xludf.DUMMYFUNCTION("REGEXREPLACE(A438, ""[^0-9a-zA-Z .'Ã]"","""")"),"Peter Segal")</f>
        <v>Peter Segal</v>
      </c>
      <c r="C438" s="30">
        <v>147.0</v>
      </c>
      <c r="D438" s="31">
        <v>1.20776832E8</v>
      </c>
      <c r="E438" s="30" t="s">
        <v>89</v>
      </c>
      <c r="F438" s="9">
        <f t="shared" si="1"/>
        <v>2</v>
      </c>
      <c r="G438" s="30" t="s">
        <v>616</v>
      </c>
      <c r="H438" s="11" t="str">
        <f>IFERROR(__xludf.DUMMYFUNCTION("REGEXREPLACE(G438, ""[^0-9a-zA-Z .'Ã]"","""")"),"Adam Sandler")</f>
        <v>Adam Sandler</v>
      </c>
      <c r="I438" s="32" t="s">
        <v>1803</v>
      </c>
      <c r="J438" s="30">
        <v>266103.0</v>
      </c>
      <c r="K438" s="30" t="s">
        <v>1804</v>
      </c>
      <c r="L438" s="30">
        <v>456.0</v>
      </c>
      <c r="M438" s="30" t="s">
        <v>24</v>
      </c>
      <c r="N438" s="30" t="s">
        <v>25</v>
      </c>
      <c r="O438" s="31">
        <v>7.5E7</v>
      </c>
      <c r="P438" s="10">
        <f t="shared" si="2"/>
        <v>45776832</v>
      </c>
      <c r="Q438" s="12">
        <f t="shared" si="3"/>
        <v>0</v>
      </c>
      <c r="R438" s="30">
        <v>2004.0</v>
      </c>
      <c r="S438" s="30">
        <v>6.8</v>
      </c>
    </row>
    <row r="439" ht="15.75" customHeight="1">
      <c r="A439" s="17" t="s">
        <v>1805</v>
      </c>
      <c r="B439" s="8" t="str">
        <f>IFERROR(__xludf.DUMMYFUNCTION("REGEXREPLACE(A439, ""[^0-9a-zA-Z .'Ã]"","""")"),"Mike Newell")</f>
        <v>Mike Newell</v>
      </c>
      <c r="C439" s="18">
        <v>84.0</v>
      </c>
      <c r="D439" s="19">
        <v>5.2700832E7</v>
      </c>
      <c r="E439" s="18" t="s">
        <v>159</v>
      </c>
      <c r="F439" s="9">
        <f t="shared" si="1"/>
        <v>3</v>
      </c>
      <c r="G439" s="18" t="s">
        <v>1416</v>
      </c>
      <c r="H439" s="11" t="str">
        <f>IFERROR(__xludf.DUMMYFUNCTION("REGEXREPLACE(G439, ""[^0-9a-zA-Z .'Ã]"","""")"),"Kristin Scott Thomas")</f>
        <v>Kristin Scott Thomas</v>
      </c>
      <c r="I439" s="20" t="s">
        <v>1806</v>
      </c>
      <c r="J439" s="18">
        <v>107923.0</v>
      </c>
      <c r="K439" s="18" t="s">
        <v>1807</v>
      </c>
      <c r="L439" s="18">
        <v>197.0</v>
      </c>
      <c r="M439" s="18" t="s">
        <v>24</v>
      </c>
      <c r="N439" s="18" t="s">
        <v>130</v>
      </c>
      <c r="O439" s="19">
        <v>4500000.0</v>
      </c>
      <c r="P439" s="10">
        <f t="shared" si="2"/>
        <v>48200832</v>
      </c>
      <c r="Q439" s="12">
        <f t="shared" si="3"/>
        <v>0</v>
      </c>
      <c r="R439" s="18">
        <v>1994.0</v>
      </c>
      <c r="S439" s="18">
        <v>7.1</v>
      </c>
    </row>
    <row r="440" ht="15.75" customHeight="1">
      <c r="A440" s="7" t="s">
        <v>1808</v>
      </c>
      <c r="B440" s="8" t="str">
        <f>IFERROR(__xludf.DUMMYFUNCTION("REGEXREPLACE(A440, ""[^0-9a-zA-Z .'Ã]"","""")"),"Justin Chadwick")</f>
        <v>Justin Chadwick</v>
      </c>
      <c r="C440" s="9">
        <v>211.0</v>
      </c>
      <c r="D440" s="10">
        <v>8324748.0</v>
      </c>
      <c r="E440" s="9" t="s">
        <v>620</v>
      </c>
      <c r="F440" s="9">
        <f t="shared" si="1"/>
        <v>3</v>
      </c>
      <c r="G440" s="9" t="s">
        <v>1809</v>
      </c>
      <c r="H440" s="11" t="str">
        <f>IFERROR(__xludf.DUMMYFUNCTION("REGEXREPLACE(G440, ""[^0-9a-zA-Z .'Ã]"","""")"),"Terry Pheto")</f>
        <v>Terry Pheto</v>
      </c>
      <c r="I440" s="11" t="s">
        <v>1810</v>
      </c>
      <c r="J440" s="9">
        <v>21223.0</v>
      </c>
      <c r="K440" s="9" t="s">
        <v>1811</v>
      </c>
      <c r="L440" s="9">
        <v>108.0</v>
      </c>
      <c r="M440" s="9" t="s">
        <v>24</v>
      </c>
      <c r="N440" s="9" t="s">
        <v>130</v>
      </c>
      <c r="O440" s="10">
        <v>3.5E7</v>
      </c>
      <c r="P440" s="10">
        <f t="shared" si="2"/>
        <v>0</v>
      </c>
      <c r="Q440" s="12">
        <f t="shared" si="3"/>
        <v>26675252</v>
      </c>
      <c r="R440" s="9">
        <v>2013.0</v>
      </c>
      <c r="S440" s="9">
        <v>7.1</v>
      </c>
    </row>
    <row r="441" ht="15.75" customHeight="1">
      <c r="A441" s="21" t="s">
        <v>1812</v>
      </c>
      <c r="B441" s="8" t="str">
        <f>IFERROR(__xludf.DUMMYFUNCTION("REGEXREPLACE(A441, ""[^0-9a-zA-Z .'Ã]"","""")"),"Steve Martino")</f>
        <v>Steve Martino</v>
      </c>
      <c r="C441" s="22">
        <v>233.0</v>
      </c>
      <c r="D441" s="23">
        <v>1.61317423E8</v>
      </c>
      <c r="E441" s="22" t="s">
        <v>1813</v>
      </c>
      <c r="F441" s="9">
        <f t="shared" si="1"/>
        <v>4</v>
      </c>
      <c r="G441" s="22" t="s">
        <v>349</v>
      </c>
      <c r="H441" s="11" t="str">
        <f>IFERROR(__xludf.DUMMYFUNCTION("REGEXREPLACE(G441, ""[^0-9a-zA-Z .'Ã]"","""")"),"Peter Dinklage")</f>
        <v>Peter Dinklage</v>
      </c>
      <c r="I441" s="24" t="s">
        <v>1814</v>
      </c>
      <c r="J441" s="22">
        <v>145321.0</v>
      </c>
      <c r="K441" s="22" t="s">
        <v>1815</v>
      </c>
      <c r="L441" s="22">
        <v>139.0</v>
      </c>
      <c r="M441" s="22" t="s">
        <v>24</v>
      </c>
      <c r="N441" s="22" t="s">
        <v>25</v>
      </c>
      <c r="O441" s="23">
        <v>9.5E7</v>
      </c>
      <c r="P441" s="10">
        <f t="shared" si="2"/>
        <v>66317423</v>
      </c>
      <c r="Q441" s="12">
        <f t="shared" si="3"/>
        <v>0</v>
      </c>
      <c r="R441" s="22">
        <v>2012.0</v>
      </c>
      <c r="S441" s="22">
        <v>6.6</v>
      </c>
    </row>
    <row r="442" ht="15.75" customHeight="1">
      <c r="A442" s="25" t="s">
        <v>1816</v>
      </c>
      <c r="B442" s="8" t="str">
        <f>IFERROR(__xludf.DUMMYFUNCTION("REGEXREPLACE(A442, ""[^0-9a-zA-Z .'Ã]"","""")"),"Robert Redford")</f>
        <v>Robert Redford</v>
      </c>
      <c r="C442" s="26">
        <v>96.0</v>
      </c>
      <c r="D442" s="27">
        <v>7.5370763E7</v>
      </c>
      <c r="E442" s="26" t="s">
        <v>445</v>
      </c>
      <c r="F442" s="9">
        <f t="shared" si="1"/>
        <v>3</v>
      </c>
      <c r="G442" s="26" t="s">
        <v>436</v>
      </c>
      <c r="H442" s="11" t="str">
        <f>IFERROR(__xludf.DUMMYFUNCTION("REGEXREPLACE(G442, ""[^0-9a-zA-Z .'Ã]"","""")"),"Scarlett Johansson")</f>
        <v>Scarlett Johansson</v>
      </c>
      <c r="I442" s="28" t="s">
        <v>1817</v>
      </c>
      <c r="J442" s="26">
        <v>32353.0</v>
      </c>
      <c r="K442" s="26" t="s">
        <v>1818</v>
      </c>
      <c r="L442" s="26">
        <v>263.0</v>
      </c>
      <c r="M442" s="26" t="s">
        <v>24</v>
      </c>
      <c r="N442" s="26" t="s">
        <v>25</v>
      </c>
      <c r="O442" s="27">
        <v>6.0E7</v>
      </c>
      <c r="P442" s="10">
        <f t="shared" si="2"/>
        <v>15370763</v>
      </c>
      <c r="Q442" s="12">
        <f t="shared" si="3"/>
        <v>0</v>
      </c>
      <c r="R442" s="26">
        <v>1998.0</v>
      </c>
      <c r="S442" s="26">
        <v>6.5</v>
      </c>
    </row>
    <row r="443" ht="15.75" customHeight="1">
      <c r="A443" s="17" t="s">
        <v>1767</v>
      </c>
      <c r="B443" s="8" t="str">
        <f>IFERROR(__xludf.DUMMYFUNCTION("REGEXREPLACE(A443, ""[^0-9a-zA-Z .'Ã]"","""")"),"Barry Levinson")</f>
        <v>Barry Levinson</v>
      </c>
      <c r="C443" s="18">
        <v>111.0</v>
      </c>
      <c r="D443" s="19">
        <v>3.744218E7</v>
      </c>
      <c r="E443" s="18" t="s">
        <v>1819</v>
      </c>
      <c r="F443" s="9">
        <f t="shared" si="1"/>
        <v>4</v>
      </c>
      <c r="G443" s="18" t="s">
        <v>673</v>
      </c>
      <c r="H443" s="11" t="str">
        <f>IFERROR(__xludf.DUMMYFUNCTION("REGEXREPLACE(G443, ""[^0-9a-zA-Z .'Ã]"","""")"),"Robin Williams")</f>
        <v>Robin Williams</v>
      </c>
      <c r="I443" s="20" t="s">
        <v>1820</v>
      </c>
      <c r="J443" s="18">
        <v>28005.0</v>
      </c>
      <c r="K443" s="18" t="s">
        <v>1821</v>
      </c>
      <c r="L443" s="18">
        <v>236.0</v>
      </c>
      <c r="M443" s="18" t="s">
        <v>24</v>
      </c>
      <c r="N443" s="18" t="s">
        <v>25</v>
      </c>
      <c r="O443" s="19">
        <v>2.0E7</v>
      </c>
      <c r="P443" s="10">
        <f t="shared" si="2"/>
        <v>17442180</v>
      </c>
      <c r="Q443" s="12">
        <f t="shared" si="3"/>
        <v>0</v>
      </c>
      <c r="R443" s="18">
        <v>2006.0</v>
      </c>
      <c r="S443" s="18">
        <v>6.2</v>
      </c>
    </row>
    <row r="444" ht="15.75" customHeight="1">
      <c r="A444" s="7" t="s">
        <v>1822</v>
      </c>
      <c r="B444" s="8" t="str">
        <f>IFERROR(__xludf.DUMMYFUNCTION("REGEXREPLACE(A444, ""[^0-9a-zA-Z .'Ã]"","""")"),"Atom Egoyan")</f>
        <v>Atom Egoyan</v>
      </c>
      <c r="C444" s="9">
        <v>226.0</v>
      </c>
      <c r="D444" s="10">
        <v>3074838.0</v>
      </c>
      <c r="E444" s="9" t="s">
        <v>1025</v>
      </c>
      <c r="F444" s="9">
        <f t="shared" si="1"/>
        <v>4</v>
      </c>
      <c r="G444" s="9" t="s">
        <v>605</v>
      </c>
      <c r="H444" s="11" t="str">
        <f>IFERROR(__xludf.DUMMYFUNCTION("REGEXREPLACE(G444, ""[^0-9a-zA-Z .'Ã]"","""")"),"Liam Neeson")</f>
        <v>Liam Neeson</v>
      </c>
      <c r="I444" s="11" t="s">
        <v>1823</v>
      </c>
      <c r="J444" s="9">
        <v>56264.0</v>
      </c>
      <c r="K444" s="9" t="s">
        <v>1824</v>
      </c>
      <c r="L444" s="9">
        <v>166.0</v>
      </c>
      <c r="M444" s="9" t="s">
        <v>24</v>
      </c>
      <c r="N444" s="9" t="s">
        <v>25</v>
      </c>
      <c r="O444" s="10">
        <v>1.1E7</v>
      </c>
      <c r="P444" s="10">
        <f t="shared" si="2"/>
        <v>0</v>
      </c>
      <c r="Q444" s="12">
        <f t="shared" si="3"/>
        <v>7925162</v>
      </c>
      <c r="R444" s="9">
        <v>2009.0</v>
      </c>
      <c r="S444" s="9">
        <v>6.3</v>
      </c>
    </row>
    <row r="445" ht="15.75" customHeight="1">
      <c r="A445" s="7" t="s">
        <v>743</v>
      </c>
      <c r="B445" s="8" t="str">
        <f>IFERROR(__xludf.DUMMYFUNCTION("REGEXREPLACE(A445, ""[^0-9a-zA-Z .'Ã]"","""")"),"Lawrence Guterman")</f>
        <v>Lawrence Guterman</v>
      </c>
      <c r="C445" s="9">
        <v>105.0</v>
      </c>
      <c r="D445" s="10">
        <v>9.3375151E7</v>
      </c>
      <c r="E445" s="9" t="s">
        <v>1825</v>
      </c>
      <c r="F445" s="9">
        <f t="shared" si="1"/>
        <v>4</v>
      </c>
      <c r="G445" s="9" t="s">
        <v>1826</v>
      </c>
      <c r="H445" s="11" t="str">
        <f>IFERROR(__xludf.DUMMYFUNCTION("REGEXREPLACE(G445, ""[^0-9a-zA-Z .'Ã]"","""")"),"Carol Ann Susi")</f>
        <v>Carol Ann Susi</v>
      </c>
      <c r="I445" s="11" t="s">
        <v>1827</v>
      </c>
      <c r="J445" s="9">
        <v>46031.0</v>
      </c>
      <c r="K445" s="9" t="s">
        <v>1828</v>
      </c>
      <c r="L445" s="9">
        <v>235.0</v>
      </c>
      <c r="M445" s="9" t="s">
        <v>24</v>
      </c>
      <c r="N445" s="9" t="s">
        <v>25</v>
      </c>
      <c r="O445" s="10">
        <v>6.0E7</v>
      </c>
      <c r="P445" s="10">
        <f t="shared" si="2"/>
        <v>33375151</v>
      </c>
      <c r="Q445" s="12">
        <f t="shared" si="3"/>
        <v>0</v>
      </c>
      <c r="R445" s="9">
        <v>2001.0</v>
      </c>
      <c r="S445" s="9">
        <v>5.2</v>
      </c>
    </row>
    <row r="446" ht="15.75" customHeight="1">
      <c r="A446" s="7" t="s">
        <v>1829</v>
      </c>
      <c r="B446" s="8" t="str">
        <f>IFERROR(__xludf.DUMMYFUNCTION("REGEXREPLACE(A446, ""[^0-9a-zA-Z .'Ã]"","""")"),"Todd Solondz")</f>
        <v>Todd Solondz</v>
      </c>
      <c r="C446" s="9">
        <v>74.0</v>
      </c>
      <c r="D446" s="10">
        <v>4771000.0</v>
      </c>
      <c r="E446" s="9" t="s">
        <v>454</v>
      </c>
      <c r="F446" s="9">
        <f t="shared" si="1"/>
        <v>2</v>
      </c>
      <c r="G446" s="9" t="s">
        <v>913</v>
      </c>
      <c r="H446" s="11" t="str">
        <f>IFERROR(__xludf.DUMMYFUNCTION("REGEXREPLACE(G446, ""[^0-9a-zA-Z .'Ã]"","""")"),"Heather Matarazzo")</f>
        <v>Heather Matarazzo</v>
      </c>
      <c r="I446" s="11" t="s">
        <v>1830</v>
      </c>
      <c r="J446" s="9">
        <v>26513.0</v>
      </c>
      <c r="K446" s="9" t="s">
        <v>1831</v>
      </c>
      <c r="L446" s="9">
        <v>174.0</v>
      </c>
      <c r="M446" s="9" t="s">
        <v>24</v>
      </c>
      <c r="N446" s="9" t="s">
        <v>25</v>
      </c>
      <c r="O446" s="10">
        <v>800000.0</v>
      </c>
      <c r="P446" s="10">
        <f t="shared" si="2"/>
        <v>3971000</v>
      </c>
      <c r="Q446" s="12">
        <f t="shared" si="3"/>
        <v>0</v>
      </c>
      <c r="R446" s="9">
        <v>1995.0</v>
      </c>
      <c r="S446" s="9">
        <v>7.5</v>
      </c>
    </row>
    <row r="447" ht="15.75" customHeight="1">
      <c r="A447" s="7" t="s">
        <v>1832</v>
      </c>
      <c r="B447" s="8" t="str">
        <f>IFERROR(__xludf.DUMMYFUNCTION("REGEXREPLACE(A447, ""[^0-9a-zA-Z .'Ã]"","""")"),"Corey Yuen")</f>
        <v>Corey Yuen</v>
      </c>
      <c r="C447" s="9">
        <v>110.0</v>
      </c>
      <c r="D447" s="10">
        <v>480314.0</v>
      </c>
      <c r="E447" s="9" t="s">
        <v>636</v>
      </c>
      <c r="F447" s="9">
        <f t="shared" si="1"/>
        <v>2</v>
      </c>
      <c r="G447" s="9" t="s">
        <v>1833</v>
      </c>
      <c r="H447" s="11" t="str">
        <f>IFERROR(__xludf.DUMMYFUNCTION("REGEXREPLACE(G447, ""[^0-9a-zA-Z .'Ã]"","""")"),"Steve Howey")</f>
        <v>Steve Howey</v>
      </c>
      <c r="I447" s="11" t="s">
        <v>1834</v>
      </c>
      <c r="J447" s="9">
        <v>38503.0</v>
      </c>
      <c r="K447" s="9" t="s">
        <v>1835</v>
      </c>
      <c r="L447" s="9">
        <v>180.0</v>
      </c>
      <c r="M447" s="9" t="s">
        <v>24</v>
      </c>
      <c r="N447" s="9" t="s">
        <v>25</v>
      </c>
      <c r="O447" s="10">
        <v>2.1E7</v>
      </c>
      <c r="P447" s="10">
        <f t="shared" si="2"/>
        <v>0</v>
      </c>
      <c r="Q447" s="12">
        <f t="shared" si="3"/>
        <v>20519686</v>
      </c>
      <c r="R447" s="9">
        <v>2006.0</v>
      </c>
      <c r="S447" s="9">
        <v>4.8</v>
      </c>
    </row>
    <row r="448" ht="15.75" customHeight="1">
      <c r="A448" s="21" t="s">
        <v>277</v>
      </c>
      <c r="B448" s="8" t="str">
        <f>IFERROR(__xludf.DUMMYFUNCTION("REGEXREPLACE(A448, ""[^0-9a-zA-Z .'Ã]"","""")"),"Rob Cohen")</f>
        <v>Rob Cohen</v>
      </c>
      <c r="C448" s="22">
        <v>264.0</v>
      </c>
      <c r="D448" s="23">
        <v>1.02176165E8</v>
      </c>
      <c r="E448" s="22" t="s">
        <v>1836</v>
      </c>
      <c r="F448" s="9">
        <f t="shared" si="1"/>
        <v>5</v>
      </c>
      <c r="G448" s="22" t="s">
        <v>1555</v>
      </c>
      <c r="H448" s="11" t="str">
        <f>IFERROR(__xludf.DUMMYFUNCTION("REGEXREPLACE(G448, ""[^0-9a-zA-Z .'Ã]"","""")"),"Jet Li")</f>
        <v>Jet Li</v>
      </c>
      <c r="I448" s="24" t="s">
        <v>1837</v>
      </c>
      <c r="J448" s="22">
        <v>117927.0</v>
      </c>
      <c r="K448" s="22" t="s">
        <v>1838</v>
      </c>
      <c r="L448" s="22">
        <v>501.0</v>
      </c>
      <c r="M448" s="22" t="s">
        <v>24</v>
      </c>
      <c r="N448" s="22" t="s">
        <v>25</v>
      </c>
      <c r="O448" s="23">
        <v>1.45E8</v>
      </c>
      <c r="P448" s="10">
        <f t="shared" si="2"/>
        <v>0</v>
      </c>
      <c r="Q448" s="12">
        <f t="shared" si="3"/>
        <v>42823835</v>
      </c>
      <c r="R448" s="22">
        <v>2008.0</v>
      </c>
      <c r="S448" s="22">
        <v>5.2</v>
      </c>
    </row>
    <row r="449" ht="15.75" customHeight="1">
      <c r="A449" s="29" t="s">
        <v>1839</v>
      </c>
      <c r="B449" s="8" t="str">
        <f>IFERROR(__xludf.DUMMYFUNCTION("REGEXREPLACE(A449, ""[^0-9a-zA-Z .'Ã]"","""")"),"Janusz Kaminski")</f>
        <v>Janusz Kaminski</v>
      </c>
      <c r="C449" s="30">
        <v>100.0</v>
      </c>
      <c r="D449" s="31">
        <v>1.6779636E7</v>
      </c>
      <c r="E449" s="30" t="s">
        <v>1840</v>
      </c>
      <c r="F449" s="9">
        <f t="shared" si="1"/>
        <v>3</v>
      </c>
      <c r="G449" s="30" t="s">
        <v>1841</v>
      </c>
      <c r="H449" s="11" t="str">
        <f>IFERROR(__xludf.DUMMYFUNCTION("REGEXREPLACE(G449, ""[^0-9a-zA-Z .'Ã]"","""")"),"Philip Baker Hall")</f>
        <v>Philip Baker Hall</v>
      </c>
      <c r="I449" s="32" t="s">
        <v>1842</v>
      </c>
      <c r="J449" s="30">
        <v>9338.0</v>
      </c>
      <c r="K449" s="30" t="s">
        <v>1843</v>
      </c>
      <c r="L449" s="30">
        <v>167.0</v>
      </c>
      <c r="M449" s="30" t="s">
        <v>24</v>
      </c>
      <c r="N449" s="30" t="s">
        <v>25</v>
      </c>
      <c r="O449" s="31">
        <v>2.8E7</v>
      </c>
      <c r="P449" s="10">
        <f t="shared" si="2"/>
        <v>0</v>
      </c>
      <c r="Q449" s="12">
        <f t="shared" si="3"/>
        <v>11220364</v>
      </c>
      <c r="R449" s="30">
        <v>2000.0</v>
      </c>
      <c r="S449" s="30">
        <v>4.8</v>
      </c>
    </row>
    <row r="450" ht="15.75" customHeight="1">
      <c r="A450" s="17" t="s">
        <v>1844</v>
      </c>
      <c r="B450" s="8" t="str">
        <f>IFERROR(__xludf.DUMMYFUNCTION("REGEXREPLACE(A450, ""[^0-9a-zA-Z .'Ã]"","""")"),"Mike Leigh")</f>
        <v>Mike Leigh</v>
      </c>
      <c r="C450" s="18">
        <v>103.0</v>
      </c>
      <c r="D450" s="19">
        <v>6201757.0</v>
      </c>
      <c r="E450" s="18" t="s">
        <v>1845</v>
      </c>
      <c r="F450" s="9">
        <f t="shared" si="1"/>
        <v>6</v>
      </c>
      <c r="G450" s="18" t="s">
        <v>1846</v>
      </c>
      <c r="H450" s="11" t="str">
        <f>IFERROR(__xludf.DUMMYFUNCTION("REGEXREPLACE(G450, ""[^0-9a-zA-Z .'Ã]"","""")"),"Jim Broadbent")</f>
        <v>Jim Broadbent</v>
      </c>
      <c r="I450" s="20" t="s">
        <v>1847</v>
      </c>
      <c r="J450" s="18">
        <v>10037.0</v>
      </c>
      <c r="K450" s="18" t="s">
        <v>1848</v>
      </c>
      <c r="L450" s="18">
        <v>202.0</v>
      </c>
      <c r="M450" s="18" t="s">
        <v>24</v>
      </c>
      <c r="N450" s="18" t="s">
        <v>130</v>
      </c>
      <c r="O450" s="19">
        <v>1.0E7</v>
      </c>
      <c r="P450" s="10">
        <f t="shared" si="2"/>
        <v>0</v>
      </c>
      <c r="Q450" s="12">
        <f t="shared" si="3"/>
        <v>3798243</v>
      </c>
      <c r="R450" s="18">
        <v>1999.0</v>
      </c>
      <c r="S450" s="18">
        <v>7.4</v>
      </c>
    </row>
    <row r="451" ht="15.75" customHeight="1">
      <c r="A451" s="21" t="s">
        <v>1849</v>
      </c>
      <c r="B451" s="8" t="str">
        <f>IFERROR(__xludf.DUMMYFUNCTION("REGEXREPLACE(A451, ""[^0-9a-zA-Z .'Ã]"","""")"),"David Wain")</f>
        <v>David Wain</v>
      </c>
      <c r="C451" s="22">
        <v>173.0</v>
      </c>
      <c r="D451" s="23">
        <v>6.72663E7</v>
      </c>
      <c r="E451" s="22" t="s">
        <v>137</v>
      </c>
      <c r="F451" s="9">
        <f t="shared" si="1"/>
        <v>1</v>
      </c>
      <c r="G451" s="22" t="s">
        <v>1850</v>
      </c>
      <c r="H451" s="11" t="str">
        <f>IFERROR(__xludf.DUMMYFUNCTION("REGEXREPLACE(G451, ""[^0-9a-zA-Z .'Ã]"","""")"),"Joe Lo Truglio")</f>
        <v>Joe Lo Truglio</v>
      </c>
      <c r="I451" s="24" t="s">
        <v>1851</v>
      </c>
      <c r="J451" s="22">
        <v>195255.0</v>
      </c>
      <c r="K451" s="22" t="s">
        <v>1852</v>
      </c>
      <c r="L451" s="22">
        <v>170.0</v>
      </c>
      <c r="M451" s="22" t="s">
        <v>24</v>
      </c>
      <c r="N451" s="22" t="s">
        <v>173</v>
      </c>
      <c r="O451" s="23">
        <v>2.8E7</v>
      </c>
      <c r="P451" s="10">
        <f t="shared" si="2"/>
        <v>39266300</v>
      </c>
      <c r="Q451" s="12">
        <f t="shared" si="3"/>
        <v>0</v>
      </c>
      <c r="R451" s="22">
        <v>2008.0</v>
      </c>
      <c r="S451" s="22">
        <v>6.9</v>
      </c>
    </row>
    <row r="452" ht="15.75" customHeight="1">
      <c r="A452" s="13" t="s">
        <v>1853</v>
      </c>
      <c r="B452" s="8" t="str">
        <f>IFERROR(__xludf.DUMMYFUNCTION("REGEXREPLACE(A452, ""[^0-9a-zA-Z .'Ã]"","""")"),"David Jacobson")</f>
        <v>David Jacobson</v>
      </c>
      <c r="C452" s="14">
        <v>74.0</v>
      </c>
      <c r="D452" s="15">
        <v>568695.0</v>
      </c>
      <c r="E452" s="14" t="s">
        <v>1854</v>
      </c>
      <c r="F452" s="9">
        <f t="shared" si="1"/>
        <v>3</v>
      </c>
      <c r="G452" s="14" t="s">
        <v>1855</v>
      </c>
      <c r="H452" s="11" t="str">
        <f>IFERROR(__xludf.DUMMYFUNCTION("REGEXREPLACE(G452, ""[^0-9a-zA-Z .'Ã]"","""")"),"Hunter Parrish")</f>
        <v>Hunter Parrish</v>
      </c>
      <c r="I452" s="16" t="s">
        <v>1856</v>
      </c>
      <c r="J452" s="14">
        <v>16617.0</v>
      </c>
      <c r="K452" s="14" t="s">
        <v>1857</v>
      </c>
      <c r="L452" s="14">
        <v>110.0</v>
      </c>
      <c r="M452" s="14" t="s">
        <v>24</v>
      </c>
      <c r="N452" s="14" t="s">
        <v>25</v>
      </c>
      <c r="O452" s="15">
        <v>8000000.0</v>
      </c>
      <c r="P452" s="10">
        <f t="shared" si="2"/>
        <v>0</v>
      </c>
      <c r="Q452" s="12">
        <f t="shared" si="3"/>
        <v>7431305</v>
      </c>
      <c r="R452" s="14">
        <v>2005.0</v>
      </c>
      <c r="S452" s="14">
        <v>6.5</v>
      </c>
    </row>
    <row r="453" ht="15.75" customHeight="1">
      <c r="A453" s="29" t="s">
        <v>1858</v>
      </c>
      <c r="B453" s="8" t="str">
        <f>IFERROR(__xludf.DUMMYFUNCTION("REGEXREPLACE(A453, ""[^0-9a-zA-Z .'Ã]"","""")"),"Eric Brevig")</f>
        <v>Eric Brevig</v>
      </c>
      <c r="C453" s="30">
        <v>143.0</v>
      </c>
      <c r="D453" s="31">
        <v>1.00169068E8</v>
      </c>
      <c r="E453" s="30" t="s">
        <v>1813</v>
      </c>
      <c r="F453" s="9">
        <f t="shared" si="1"/>
        <v>4</v>
      </c>
      <c r="G453" s="30" t="s">
        <v>302</v>
      </c>
      <c r="H453" s="11" t="str">
        <f>IFERROR(__xludf.DUMMYFUNCTION("REGEXREPLACE(G453, ""[^0-9a-zA-Z .'Ã]"","""")"),"Justin Timberlake")</f>
        <v>Justin Timberlake</v>
      </c>
      <c r="I453" s="32" t="s">
        <v>1859</v>
      </c>
      <c r="J453" s="30">
        <v>16385.0</v>
      </c>
      <c r="K453" s="30" t="s">
        <v>1860</v>
      </c>
      <c r="L453" s="30">
        <v>100.0</v>
      </c>
      <c r="M453" s="30" t="s">
        <v>24</v>
      </c>
      <c r="N453" s="30" t="s">
        <v>25</v>
      </c>
      <c r="O453" s="31">
        <v>8.0E7</v>
      </c>
      <c r="P453" s="10">
        <f t="shared" si="2"/>
        <v>20169068</v>
      </c>
      <c r="Q453" s="12">
        <f t="shared" si="3"/>
        <v>0</v>
      </c>
      <c r="R453" s="30">
        <v>2010.0</v>
      </c>
      <c r="S453" s="30">
        <v>4.6</v>
      </c>
    </row>
    <row r="454" ht="15.75" customHeight="1">
      <c r="A454" s="7" t="s">
        <v>1861</v>
      </c>
      <c r="B454" s="8" t="str">
        <f>IFERROR(__xludf.DUMMYFUNCTION("REGEXREPLACE(A454, ""[^0-9a-zA-Z .'Ã]"","""")"),"Ellory Elkayem")</f>
        <v>Ellory Elkayem</v>
      </c>
      <c r="C454" s="9">
        <v>181.0</v>
      </c>
      <c r="D454" s="10">
        <v>1.7266505E7</v>
      </c>
      <c r="E454" s="9" t="s">
        <v>108</v>
      </c>
      <c r="F454" s="9">
        <f t="shared" si="1"/>
        <v>3</v>
      </c>
      <c r="G454" s="9" t="s">
        <v>436</v>
      </c>
      <c r="H454" s="11" t="str">
        <f>IFERROR(__xludf.DUMMYFUNCTION("REGEXREPLACE(G454, ""[^0-9a-zA-Z .'Ã]"","""")"),"Scarlett Johansson")</f>
        <v>Scarlett Johansson</v>
      </c>
      <c r="I454" s="11" t="s">
        <v>1862</v>
      </c>
      <c r="J454" s="9">
        <v>43764.0</v>
      </c>
      <c r="K454" s="9" t="s">
        <v>1863</v>
      </c>
      <c r="L454" s="9">
        <v>291.0</v>
      </c>
      <c r="M454" s="9" t="s">
        <v>24</v>
      </c>
      <c r="N454" s="9" t="s">
        <v>25</v>
      </c>
      <c r="O454" s="10">
        <v>3.0E7</v>
      </c>
      <c r="P454" s="10">
        <f t="shared" si="2"/>
        <v>0</v>
      </c>
      <c r="Q454" s="12">
        <f t="shared" si="3"/>
        <v>12733495</v>
      </c>
      <c r="R454" s="9">
        <v>2002.0</v>
      </c>
      <c r="S454" s="9">
        <v>5.4</v>
      </c>
    </row>
    <row r="455" ht="15.75" customHeight="1">
      <c r="A455" s="7" t="s">
        <v>1864</v>
      </c>
      <c r="B455" s="8" t="str">
        <f>IFERROR(__xludf.DUMMYFUNCTION("REGEXREPLACE(A455, ""[^0-9a-zA-Z .'Ã]"","""")"),"Camille Delamarre")</f>
        <v>Camille Delamarre</v>
      </c>
      <c r="C455" s="9">
        <v>148.0</v>
      </c>
      <c r="D455" s="10">
        <v>1.6027866E7</v>
      </c>
      <c r="E455" s="9" t="s">
        <v>152</v>
      </c>
      <c r="F455" s="9">
        <f t="shared" si="1"/>
        <v>3</v>
      </c>
      <c r="G455" s="9" t="s">
        <v>1865</v>
      </c>
      <c r="H455" s="11" t="str">
        <f>IFERROR(__xludf.DUMMYFUNCTION("REGEXREPLACE(G455, ""[^0-9a-zA-Z .'Ã]"","""")"),"Ed Skrein")</f>
        <v>Ed Skrein</v>
      </c>
      <c r="I455" s="11" t="s">
        <v>1866</v>
      </c>
      <c r="J455" s="9">
        <v>26767.0</v>
      </c>
      <c r="K455" s="9" t="s">
        <v>1867</v>
      </c>
      <c r="L455" s="9">
        <v>121.0</v>
      </c>
      <c r="M455" s="9" t="s">
        <v>24</v>
      </c>
      <c r="N455" s="9" t="s">
        <v>608</v>
      </c>
      <c r="O455" s="10">
        <v>2.5E7</v>
      </c>
      <c r="P455" s="10">
        <f t="shared" si="2"/>
        <v>0</v>
      </c>
      <c r="Q455" s="12">
        <f t="shared" si="3"/>
        <v>8972134</v>
      </c>
      <c r="R455" s="9">
        <v>2015.0</v>
      </c>
      <c r="S455" s="9">
        <v>5.1</v>
      </c>
    </row>
    <row r="456" ht="15.75" customHeight="1">
      <c r="A456" s="21" t="s">
        <v>1868</v>
      </c>
      <c r="B456" s="8" t="str">
        <f>IFERROR(__xludf.DUMMYFUNCTION("REGEXREPLACE(A456, ""[^0-9a-zA-Z .'Ã]"","""")"),"Brett Ratner")</f>
        <v>Brett Ratner</v>
      </c>
      <c r="C456" s="22">
        <v>127.0</v>
      </c>
      <c r="D456" s="23">
        <v>2.26138454E8</v>
      </c>
      <c r="E456" s="22" t="s">
        <v>790</v>
      </c>
      <c r="F456" s="9">
        <f t="shared" si="1"/>
        <v>4</v>
      </c>
      <c r="G456" s="22" t="s">
        <v>1869</v>
      </c>
      <c r="H456" s="11" t="str">
        <f>IFERROR(__xludf.DUMMYFUNCTION("REGEXREPLACE(G456, ""[^0-9a-zA-Z .'Ã]"","""")"),"Mei MelanÃon")</f>
        <v>Mei MelanÃon</v>
      </c>
      <c r="I456" s="24" t="s">
        <v>1870</v>
      </c>
      <c r="J456" s="22">
        <v>160440.0</v>
      </c>
      <c r="K456" s="22" t="s">
        <v>1871</v>
      </c>
      <c r="L456" s="22">
        <v>394.0</v>
      </c>
      <c r="M456" s="22" t="s">
        <v>24</v>
      </c>
      <c r="N456" s="22" t="s">
        <v>25</v>
      </c>
      <c r="O456" s="23">
        <v>9.0E7</v>
      </c>
      <c r="P456" s="10">
        <f t="shared" si="2"/>
        <v>136138454</v>
      </c>
      <c r="Q456" s="12">
        <f t="shared" si="3"/>
        <v>0</v>
      </c>
      <c r="R456" s="22">
        <v>2001.0</v>
      </c>
      <c r="S456" s="22">
        <v>6.6</v>
      </c>
    </row>
    <row r="457" ht="15.75" customHeight="1">
      <c r="A457" s="29" t="s">
        <v>631</v>
      </c>
      <c r="B457" s="8" t="str">
        <f>IFERROR(__xludf.DUMMYFUNCTION("REGEXREPLACE(A457, ""[^0-9a-zA-Z .'Ã]"","""")"),"Richard Donner")</f>
        <v>Richard Donner</v>
      </c>
      <c r="C457" s="30">
        <v>123.0</v>
      </c>
      <c r="D457" s="31">
        <v>1.9480739E7</v>
      </c>
      <c r="E457" s="30" t="s">
        <v>185</v>
      </c>
      <c r="F457" s="9">
        <f t="shared" si="1"/>
        <v>3</v>
      </c>
      <c r="G457" s="30" t="s">
        <v>802</v>
      </c>
      <c r="H457" s="11" t="str">
        <f>IFERROR(__xludf.DUMMYFUNCTION("REGEXREPLACE(G457, ""[^0-9a-zA-Z .'Ã]"","""")"),"Paul Walker")</f>
        <v>Paul Walker</v>
      </c>
      <c r="I457" s="32" t="s">
        <v>1872</v>
      </c>
      <c r="J457" s="30">
        <v>53057.0</v>
      </c>
      <c r="K457" s="30" t="s">
        <v>1873</v>
      </c>
      <c r="L457" s="30">
        <v>457.0</v>
      </c>
      <c r="M457" s="30" t="s">
        <v>24</v>
      </c>
      <c r="N457" s="30" t="s">
        <v>25</v>
      </c>
      <c r="O457" s="31">
        <v>8.0E7</v>
      </c>
      <c r="P457" s="10">
        <f t="shared" si="2"/>
        <v>0</v>
      </c>
      <c r="Q457" s="12">
        <f t="shared" si="3"/>
        <v>60519261</v>
      </c>
      <c r="R457" s="30">
        <v>2003.0</v>
      </c>
      <c r="S457" s="30">
        <v>5.6</v>
      </c>
    </row>
    <row r="458" ht="15.75" customHeight="1">
      <c r="A458" s="17" t="s">
        <v>1708</v>
      </c>
      <c r="B458" s="8" t="str">
        <f>IFERROR(__xludf.DUMMYFUNCTION("REGEXREPLACE(A458, ""[^0-9a-zA-Z .'Ã]"","""")"),"Rob Minkoff")</f>
        <v>Rob Minkoff</v>
      </c>
      <c r="C458" s="18">
        <v>101.0</v>
      </c>
      <c r="D458" s="19">
        <v>1.40015224E8</v>
      </c>
      <c r="E458" s="18" t="s">
        <v>1874</v>
      </c>
      <c r="F458" s="9">
        <f t="shared" si="1"/>
        <v>4</v>
      </c>
      <c r="G458" s="18" t="s">
        <v>1875</v>
      </c>
      <c r="H458" s="11" t="str">
        <f>IFERROR(__xludf.DUMMYFUNCTION("REGEXREPLACE(G458, ""[^0-9a-zA-Z .'Ã]"","""")"),"Chazz Palminteri")</f>
        <v>Chazz Palminteri</v>
      </c>
      <c r="I458" s="20" t="s">
        <v>1876</v>
      </c>
      <c r="J458" s="18">
        <v>94172.0</v>
      </c>
      <c r="K458" s="18" t="s">
        <v>1877</v>
      </c>
      <c r="L458" s="18">
        <v>179.0</v>
      </c>
      <c r="M458" s="18" t="s">
        <v>24</v>
      </c>
      <c r="N458" s="18" t="s">
        <v>173</v>
      </c>
      <c r="O458" s="19">
        <v>1.33E8</v>
      </c>
      <c r="P458" s="10">
        <f t="shared" si="2"/>
        <v>7015224</v>
      </c>
      <c r="Q458" s="12">
        <f t="shared" si="3"/>
        <v>0</v>
      </c>
      <c r="R458" s="18">
        <v>1999.0</v>
      </c>
      <c r="S458" s="18">
        <v>5.9</v>
      </c>
    </row>
    <row r="459" ht="15.75" customHeight="1">
      <c r="A459" s="17" t="s">
        <v>1878</v>
      </c>
      <c r="B459" s="8" t="str">
        <f>IFERROR(__xludf.DUMMYFUNCTION("REGEXREPLACE(A459, ""[^0-9a-zA-Z .'Ã]"","""")"),"Michael Lehmann")</f>
        <v>Michael Lehmann</v>
      </c>
      <c r="C459" s="18">
        <v>60.0</v>
      </c>
      <c r="D459" s="19">
        <v>1.721808E7</v>
      </c>
      <c r="E459" s="18" t="s">
        <v>1879</v>
      </c>
      <c r="F459" s="9">
        <f t="shared" si="1"/>
        <v>3</v>
      </c>
      <c r="G459" s="18" t="s">
        <v>55</v>
      </c>
      <c r="H459" s="11" t="str">
        <f>IFERROR(__xludf.DUMMYFUNCTION("REGEXREPLACE(G459, ""[^0-9a-zA-Z .'Ã]"","""")"),"Bruce Willis")</f>
        <v>Bruce Willis</v>
      </c>
      <c r="I459" s="20" t="s">
        <v>1880</v>
      </c>
      <c r="J459" s="18">
        <v>43376.0</v>
      </c>
      <c r="K459" s="18" t="s">
        <v>1881</v>
      </c>
      <c r="L459" s="18">
        <v>249.0</v>
      </c>
      <c r="M459" s="18" t="s">
        <v>24</v>
      </c>
      <c r="N459" s="18" t="s">
        <v>25</v>
      </c>
      <c r="O459" s="19">
        <v>7.0E7</v>
      </c>
      <c r="P459" s="10">
        <f t="shared" si="2"/>
        <v>0</v>
      </c>
      <c r="Q459" s="12">
        <f t="shared" si="3"/>
        <v>52781920</v>
      </c>
      <c r="R459" s="18">
        <v>1991.0</v>
      </c>
      <c r="S459" s="18">
        <v>5.7</v>
      </c>
    </row>
    <row r="460" ht="15.75" customHeight="1">
      <c r="A460" s="7" t="s">
        <v>315</v>
      </c>
      <c r="B460" s="8" t="str">
        <f>IFERROR(__xludf.DUMMYFUNCTION("REGEXREPLACE(A460, ""[^0-9a-zA-Z .'Ã]"","""")"),"Steven Soderbergh")</f>
        <v>Steven Soderbergh</v>
      </c>
      <c r="C460" s="9">
        <v>169.0</v>
      </c>
      <c r="D460" s="10">
        <v>1.25548685E8</v>
      </c>
      <c r="E460" s="9" t="s">
        <v>359</v>
      </c>
      <c r="F460" s="9">
        <f t="shared" si="1"/>
        <v>2</v>
      </c>
      <c r="G460" s="9" t="s">
        <v>533</v>
      </c>
      <c r="H460" s="11" t="str">
        <f>IFERROR(__xludf.DUMMYFUNCTION("REGEXREPLACE(G460, ""[^0-9a-zA-Z .'Ã]"","""")"),"Julia Roberts")</f>
        <v>Julia Roberts</v>
      </c>
      <c r="I460" s="11" t="s">
        <v>1882</v>
      </c>
      <c r="J460" s="9">
        <v>135246.0</v>
      </c>
      <c r="K460" s="9" t="s">
        <v>1883</v>
      </c>
      <c r="L460" s="9">
        <v>498.0</v>
      </c>
      <c r="M460" s="9" t="s">
        <v>24</v>
      </c>
      <c r="N460" s="9" t="s">
        <v>25</v>
      </c>
      <c r="O460" s="10">
        <v>5.2E7</v>
      </c>
      <c r="P460" s="10">
        <f t="shared" si="2"/>
        <v>73548685</v>
      </c>
      <c r="Q460" s="12">
        <f t="shared" si="3"/>
        <v>0</v>
      </c>
      <c r="R460" s="9">
        <v>2000.0</v>
      </c>
      <c r="S460" s="9">
        <v>7.3</v>
      </c>
    </row>
    <row r="461" ht="15.75" customHeight="1">
      <c r="A461" s="7" t="s">
        <v>194</v>
      </c>
      <c r="B461" s="8" t="str">
        <f>IFERROR(__xludf.DUMMYFUNCTION("REGEXREPLACE(A461, ""[^0-9a-zA-Z .'Ã]"","""")"),"Terry Zwigoff")</f>
        <v>Terry Zwigoff</v>
      </c>
      <c r="C461" s="9">
        <v>122.0</v>
      </c>
      <c r="D461" s="10">
        <v>6200756.0</v>
      </c>
      <c r="E461" s="9" t="s">
        <v>454</v>
      </c>
      <c r="F461" s="9">
        <f t="shared" si="1"/>
        <v>2</v>
      </c>
      <c r="G461" s="9" t="s">
        <v>436</v>
      </c>
      <c r="H461" s="11" t="str">
        <f>IFERROR(__xludf.DUMMYFUNCTION("REGEXREPLACE(G461, ""[^0-9a-zA-Z .'Ã]"","""")"),"Scarlett Johansson")</f>
        <v>Scarlett Johansson</v>
      </c>
      <c r="I461" s="11" t="s">
        <v>1884</v>
      </c>
      <c r="J461" s="9">
        <v>96129.0</v>
      </c>
      <c r="K461" s="9" t="s">
        <v>1885</v>
      </c>
      <c r="L461" s="9">
        <v>488.0</v>
      </c>
      <c r="M461" s="9" t="s">
        <v>24</v>
      </c>
      <c r="N461" s="9" t="s">
        <v>25</v>
      </c>
      <c r="O461" s="10">
        <v>7000000.0</v>
      </c>
      <c r="P461" s="10">
        <f t="shared" si="2"/>
        <v>0</v>
      </c>
      <c r="Q461" s="12">
        <f t="shared" si="3"/>
        <v>799244</v>
      </c>
      <c r="R461" s="9">
        <v>2001.0</v>
      </c>
      <c r="S461" s="9">
        <v>7.4</v>
      </c>
    </row>
    <row r="462" ht="15.75" customHeight="1">
      <c r="A462" s="21" t="s">
        <v>1886</v>
      </c>
      <c r="B462" s="8" t="str">
        <f>IFERROR(__xludf.DUMMYFUNCTION("REGEXREPLACE(A462, ""[^0-9a-zA-Z .'Ã]"","""")"),"Jamie Blanks")</f>
        <v>Jamie Blanks</v>
      </c>
      <c r="C462" s="22">
        <v>101.0</v>
      </c>
      <c r="D462" s="23">
        <v>3.8048637E7</v>
      </c>
      <c r="E462" s="22" t="s">
        <v>94</v>
      </c>
      <c r="F462" s="9">
        <f t="shared" si="1"/>
        <v>3</v>
      </c>
      <c r="G462" s="22" t="s">
        <v>1800</v>
      </c>
      <c r="H462" s="11" t="str">
        <f>IFERROR(__xludf.DUMMYFUNCTION("REGEXREPLACE(G462, ""[^0-9a-zA-Z .'Ã]"","""")"),"Alicia Witt")</f>
        <v>Alicia Witt</v>
      </c>
      <c r="I462" s="24" t="s">
        <v>1887</v>
      </c>
      <c r="J462" s="22">
        <v>47814.0</v>
      </c>
      <c r="K462" s="22" t="s">
        <v>1888</v>
      </c>
      <c r="L462" s="22">
        <v>426.0</v>
      </c>
      <c r="M462" s="22" t="s">
        <v>24</v>
      </c>
      <c r="N462" s="22" t="s">
        <v>25</v>
      </c>
      <c r="O462" s="23">
        <v>1.4E7</v>
      </c>
      <c r="P462" s="10">
        <f t="shared" si="2"/>
        <v>24048637</v>
      </c>
      <c r="Q462" s="12">
        <f t="shared" si="3"/>
        <v>0</v>
      </c>
      <c r="R462" s="22">
        <v>1998.0</v>
      </c>
      <c r="S462" s="22">
        <v>5.5</v>
      </c>
    </row>
    <row r="463" ht="15.75" customHeight="1">
      <c r="A463" s="25" t="s">
        <v>1889</v>
      </c>
      <c r="B463" s="8" t="str">
        <f>IFERROR(__xludf.DUMMYFUNCTION("REGEXREPLACE(A463, ""[^0-9a-zA-Z .'Ã]"","""")"),"Carlos Carrera")</f>
        <v>Carlos Carrera</v>
      </c>
      <c r="C463" s="26">
        <v>85.0</v>
      </c>
      <c r="D463" s="27">
        <v>5709616.0</v>
      </c>
      <c r="E463" s="26" t="s">
        <v>232</v>
      </c>
      <c r="F463" s="9">
        <f t="shared" si="1"/>
        <v>2</v>
      </c>
      <c r="G463" s="26" t="s">
        <v>1890</v>
      </c>
      <c r="H463" s="11" t="str">
        <f>IFERROR(__xludf.DUMMYFUNCTION("REGEXREPLACE(G463, ""[^0-9a-zA-Z .'Ã]"","""")"),"DamiÃn AlcÃzar")</f>
        <v>DamiÃn AlcÃzar</v>
      </c>
      <c r="I463" s="28" t="s">
        <v>1891</v>
      </c>
      <c r="J463" s="26">
        <v>11088.0</v>
      </c>
      <c r="K463" s="26" t="s">
        <v>1892</v>
      </c>
      <c r="L463" s="26">
        <v>110.0</v>
      </c>
      <c r="M463" s="26" t="s">
        <v>1553</v>
      </c>
      <c r="N463" s="26" t="s">
        <v>1893</v>
      </c>
      <c r="O463" s="27">
        <v>1800000.0</v>
      </c>
      <c r="P463" s="10">
        <f t="shared" si="2"/>
        <v>3909616</v>
      </c>
      <c r="Q463" s="12">
        <f t="shared" si="3"/>
        <v>0</v>
      </c>
      <c r="R463" s="26">
        <v>2002.0</v>
      </c>
      <c r="S463" s="26">
        <v>6.8</v>
      </c>
    </row>
    <row r="464" ht="15.75" customHeight="1">
      <c r="A464" s="7" t="s">
        <v>1894</v>
      </c>
      <c r="B464" s="8" t="str">
        <f>IFERROR(__xludf.DUMMYFUNCTION("REGEXREPLACE(A464, ""[^0-9a-zA-Z .'Ã]"","""")"),"Luc Besson")</f>
        <v>Luc Besson</v>
      </c>
      <c r="C464" s="9">
        <v>111.0</v>
      </c>
      <c r="D464" s="10">
        <v>1.4131298E7</v>
      </c>
      <c r="E464" s="9" t="s">
        <v>1895</v>
      </c>
      <c r="F464" s="9">
        <f t="shared" si="1"/>
        <v>5</v>
      </c>
      <c r="G464" s="9" t="s">
        <v>1896</v>
      </c>
      <c r="H464" s="11" t="str">
        <f>IFERROR(__xludf.DUMMYFUNCTION("REGEXREPLACE(G464, ""[^0-9a-zA-Z .'Ã]"","""")"),"Paul Brooke")</f>
        <v>Paul Brooke</v>
      </c>
      <c r="I464" s="11" t="s">
        <v>1897</v>
      </c>
      <c r="J464" s="9">
        <v>55889.0</v>
      </c>
      <c r="K464" s="9" t="s">
        <v>1898</v>
      </c>
      <c r="L464" s="9">
        <v>390.0</v>
      </c>
      <c r="M464" s="9" t="s">
        <v>24</v>
      </c>
      <c r="N464" s="9" t="s">
        <v>608</v>
      </c>
      <c r="O464" s="10">
        <v>3.9E8</v>
      </c>
      <c r="P464" s="10">
        <f t="shared" si="2"/>
        <v>0</v>
      </c>
      <c r="Q464" s="12">
        <f t="shared" si="3"/>
        <v>375868702</v>
      </c>
      <c r="R464" s="9">
        <v>1999.0</v>
      </c>
      <c r="S464" s="9">
        <v>6.4</v>
      </c>
    </row>
    <row r="465" ht="15.75" customHeight="1">
      <c r="A465" s="21" t="s">
        <v>430</v>
      </c>
      <c r="B465" s="8" t="str">
        <f>IFERROR(__xludf.DUMMYFUNCTION("REGEXREPLACE(A465, ""[^0-9a-zA-Z .'Ã]"","""")"),"David Cronenberg")</f>
        <v>David Cronenberg</v>
      </c>
      <c r="C465" s="22">
        <v>157.0</v>
      </c>
      <c r="D465" s="23">
        <v>1641788.0</v>
      </c>
      <c r="E465" s="22" t="s">
        <v>311</v>
      </c>
      <c r="F465" s="9">
        <f t="shared" si="1"/>
        <v>3</v>
      </c>
      <c r="G465" s="22" t="s">
        <v>1899</v>
      </c>
      <c r="H465" s="11" t="str">
        <f>IFERROR(__xludf.DUMMYFUNCTION("REGEXREPLACE(G465, ""[^0-9a-zA-Z .'Ã]"","""")"),"Miranda Richardson")</f>
        <v>Miranda Richardson</v>
      </c>
      <c r="I465" s="24" t="s">
        <v>1900</v>
      </c>
      <c r="J465" s="22">
        <v>30096.0</v>
      </c>
      <c r="K465" s="22" t="s">
        <v>1901</v>
      </c>
      <c r="L465" s="22">
        <v>213.0</v>
      </c>
      <c r="M465" s="22" t="s">
        <v>24</v>
      </c>
      <c r="N465" s="22" t="s">
        <v>624</v>
      </c>
      <c r="O465" s="23">
        <v>8000000.0</v>
      </c>
      <c r="P465" s="10">
        <f t="shared" si="2"/>
        <v>0</v>
      </c>
      <c r="Q465" s="12">
        <f t="shared" si="3"/>
        <v>6358212</v>
      </c>
      <c r="R465" s="22">
        <v>2002.0</v>
      </c>
      <c r="S465" s="22">
        <v>6.8</v>
      </c>
    </row>
    <row r="466" ht="15.75" customHeight="1">
      <c r="A466" s="13" t="s">
        <v>1902</v>
      </c>
      <c r="B466" s="8" t="str">
        <f>IFERROR(__xludf.DUMMYFUNCTION("REGEXREPLACE(A466, ""[^0-9a-zA-Z .'Ã]"","""")"),"Tom Dey")</f>
        <v>Tom Dey</v>
      </c>
      <c r="C466" s="14">
        <v>143.0</v>
      </c>
      <c r="D466" s="15">
        <v>8.8658172E7</v>
      </c>
      <c r="E466" s="14" t="s">
        <v>89</v>
      </c>
      <c r="F466" s="9">
        <f t="shared" si="1"/>
        <v>2</v>
      </c>
      <c r="G466" s="14" t="s">
        <v>1903</v>
      </c>
      <c r="H466" s="11" t="str">
        <f>IFERROR(__xludf.DUMMYFUNCTION("REGEXREPLACE(G466, ""[^0-9a-zA-Z .'Ã]"","""")"),"Bradley Cooper")</f>
        <v>Bradley Cooper</v>
      </c>
      <c r="I466" s="16" t="s">
        <v>1904</v>
      </c>
      <c r="J466" s="14">
        <v>58412.0</v>
      </c>
      <c r="K466" s="14" t="s">
        <v>1905</v>
      </c>
      <c r="L466" s="14">
        <v>242.0</v>
      </c>
      <c r="M466" s="14" t="s">
        <v>24</v>
      </c>
      <c r="N466" s="14" t="s">
        <v>25</v>
      </c>
      <c r="O466" s="15">
        <v>5.0E7</v>
      </c>
      <c r="P466" s="10">
        <f t="shared" si="2"/>
        <v>38658172</v>
      </c>
      <c r="Q466" s="12">
        <f t="shared" si="3"/>
        <v>0</v>
      </c>
      <c r="R466" s="14">
        <v>2006.0</v>
      </c>
      <c r="S466" s="14">
        <v>5.6</v>
      </c>
    </row>
    <row r="467" ht="15.75" customHeight="1">
      <c r="A467" s="25" t="s">
        <v>1906</v>
      </c>
      <c r="B467" s="8" t="str">
        <f>IFERROR(__xludf.DUMMYFUNCTION("REGEXREPLACE(A467, ""[^0-9a-zA-Z -.'Ã]"","""")"),"Gonzalo LÃpez-Gallego")</f>
        <v>Gonzalo LÃpez-Gallego</v>
      </c>
      <c r="C467" s="26">
        <v>228.0</v>
      </c>
      <c r="D467" s="27">
        <v>1.768367E7</v>
      </c>
      <c r="E467" s="26" t="s">
        <v>1907</v>
      </c>
      <c r="F467" s="9">
        <f t="shared" si="1"/>
        <v>4</v>
      </c>
      <c r="G467" s="26" t="s">
        <v>1908</v>
      </c>
      <c r="H467" s="11" t="str">
        <f>IFERROR(__xludf.DUMMYFUNCTION("REGEXREPLACE(G467, ""[^0-9a-zA-Z .'Ã]"","""")"),"Warren Christie")</f>
        <v>Warren Christie</v>
      </c>
      <c r="I467" s="28" t="s">
        <v>1909</v>
      </c>
      <c r="J467" s="26">
        <v>47227.0</v>
      </c>
      <c r="K467" s="26" t="s">
        <v>1910</v>
      </c>
      <c r="L467" s="26">
        <v>323.0</v>
      </c>
      <c r="M467" s="26" t="s">
        <v>24</v>
      </c>
      <c r="N467" s="26" t="s">
        <v>25</v>
      </c>
      <c r="O467" s="27">
        <v>5000000.0</v>
      </c>
      <c r="P467" s="10">
        <f t="shared" si="2"/>
        <v>12683670</v>
      </c>
      <c r="Q467" s="12">
        <f t="shared" si="3"/>
        <v>0</v>
      </c>
      <c r="R467" s="26">
        <v>2011.0</v>
      </c>
      <c r="S467" s="26">
        <v>5.2</v>
      </c>
    </row>
    <row r="468" ht="15.75" customHeight="1">
      <c r="A468" s="7" t="s">
        <v>1911</v>
      </c>
      <c r="B468" s="8" t="str">
        <f>IFERROR(__xludf.DUMMYFUNCTION("REGEXREPLACE(A468, ""[^0-9a-zA-Z .'Ã]"","""")"),"Perry Andelin Blake")</f>
        <v>Perry Andelin Blake</v>
      </c>
      <c r="C468" s="9">
        <v>56.0</v>
      </c>
      <c r="D468" s="10">
        <v>4.036353E7</v>
      </c>
      <c r="E468" s="9" t="s">
        <v>857</v>
      </c>
      <c r="F468" s="9">
        <f t="shared" si="1"/>
        <v>2</v>
      </c>
      <c r="G468" s="9" t="s">
        <v>1912</v>
      </c>
      <c r="H468" s="11" t="str">
        <f>IFERROR(__xludf.DUMMYFUNCTION("REGEXREPLACE(G468, ""[^0-9a-zA-Z .'Ã]"","""")"),"Jennifer Esposito")</f>
        <v>Jennifer Esposito</v>
      </c>
      <c r="I468" s="11" t="s">
        <v>1913</v>
      </c>
      <c r="J468" s="9">
        <v>18254.0</v>
      </c>
      <c r="K468" s="9" t="s">
        <v>1914</v>
      </c>
      <c r="L468" s="9">
        <v>307.0</v>
      </c>
      <c r="M468" s="9" t="s">
        <v>24</v>
      </c>
      <c r="N468" s="9" t="s">
        <v>25</v>
      </c>
      <c r="O468" s="10">
        <v>1.6E7</v>
      </c>
      <c r="P468" s="10">
        <f t="shared" si="2"/>
        <v>24363530</v>
      </c>
      <c r="Q468" s="12">
        <f t="shared" si="3"/>
        <v>0</v>
      </c>
      <c r="R468" s="9">
        <v>2002.0</v>
      </c>
      <c r="S468" s="9">
        <v>3.3</v>
      </c>
    </row>
    <row r="469" ht="15.75" customHeight="1">
      <c r="A469" s="7" t="s">
        <v>1915</v>
      </c>
      <c r="B469" s="8" t="str">
        <f>IFERROR(__xludf.DUMMYFUNCTION("REGEXREPLACE(A469, ""[^0-9a-zA-Z .'Ã]"","""")"),"Craig Mazin")</f>
        <v>Craig Mazin</v>
      </c>
      <c r="C469" s="9">
        <v>121.0</v>
      </c>
      <c r="D469" s="10">
        <v>2.5871834E7</v>
      </c>
      <c r="E469" s="9" t="s">
        <v>1916</v>
      </c>
      <c r="F469" s="9">
        <f t="shared" si="1"/>
        <v>4</v>
      </c>
      <c r="G469" s="9" t="s">
        <v>1917</v>
      </c>
      <c r="H469" s="11" t="str">
        <f>IFERROR(__xludf.DUMMYFUNCTION("REGEXREPLACE(G469, ""[^0-9a-zA-Z .'Ã]"","""")"),"Drake Bell")</f>
        <v>Drake Bell</v>
      </c>
      <c r="I469" s="11" t="s">
        <v>1918</v>
      </c>
      <c r="J469" s="9">
        <v>52052.0</v>
      </c>
      <c r="K469" s="9" t="s">
        <v>1919</v>
      </c>
      <c r="L469" s="9">
        <v>173.0</v>
      </c>
      <c r="M469" s="9" t="s">
        <v>24</v>
      </c>
      <c r="N469" s="9" t="s">
        <v>25</v>
      </c>
      <c r="O469" s="10">
        <v>3.5E7</v>
      </c>
      <c r="P469" s="10">
        <f t="shared" si="2"/>
        <v>0</v>
      </c>
      <c r="Q469" s="12">
        <f t="shared" si="3"/>
        <v>9128166</v>
      </c>
      <c r="R469" s="9">
        <v>2008.0</v>
      </c>
      <c r="S469" s="9">
        <v>4.5</v>
      </c>
    </row>
    <row r="470" ht="15.75" customHeight="1">
      <c r="A470" s="21" t="s">
        <v>179</v>
      </c>
      <c r="B470" s="8" t="str">
        <f>IFERROR(__xludf.DUMMYFUNCTION("REGEXREPLACE(A470, ""[^0-9a-zA-Z .'Ã]"","""")"),"Tim Burton")</f>
        <v>Tim Burton</v>
      </c>
      <c r="C470" s="22">
        <v>148.0</v>
      </c>
      <c r="D470" s="23">
        <v>5887457.0</v>
      </c>
      <c r="E470" s="22" t="s">
        <v>1920</v>
      </c>
      <c r="F470" s="9">
        <f t="shared" si="1"/>
        <v>3</v>
      </c>
      <c r="G470" s="22" t="s">
        <v>85</v>
      </c>
      <c r="H470" s="11" t="str">
        <f>IFERROR(__xludf.DUMMYFUNCTION("REGEXREPLACE(G470, ""[^0-9a-zA-Z .'Ã]"","""")"),"Johnny Depp")</f>
        <v>Johnny Depp</v>
      </c>
      <c r="I470" s="24" t="s">
        <v>1921</v>
      </c>
      <c r="J470" s="22">
        <v>142416.0</v>
      </c>
      <c r="K470" s="22" t="s">
        <v>1922</v>
      </c>
      <c r="L470" s="22">
        <v>420.0</v>
      </c>
      <c r="M470" s="22" t="s">
        <v>24</v>
      </c>
      <c r="N470" s="22" t="s">
        <v>25</v>
      </c>
      <c r="O470" s="23">
        <v>1.8E7</v>
      </c>
      <c r="P470" s="10">
        <f t="shared" si="2"/>
        <v>0</v>
      </c>
      <c r="Q470" s="12">
        <f t="shared" si="3"/>
        <v>12112543</v>
      </c>
      <c r="R470" s="22">
        <v>1994.0</v>
      </c>
      <c r="S470" s="22">
        <v>7.9</v>
      </c>
    </row>
    <row r="471" ht="15.75" customHeight="1">
      <c r="A471" s="25" t="s">
        <v>635</v>
      </c>
      <c r="B471" s="8" t="str">
        <f>IFERROR(__xludf.DUMMYFUNCTION("REGEXREPLACE(A471, ""[^0-9a-zA-Z .'Ã]"","""")"),"Steven Spielberg")</f>
        <v>Steven Spielberg</v>
      </c>
      <c r="C471" s="26">
        <v>308.0</v>
      </c>
      <c r="D471" s="27">
        <v>3.56784E8</v>
      </c>
      <c r="E471" s="26" t="s">
        <v>1317</v>
      </c>
      <c r="F471" s="9">
        <f t="shared" si="1"/>
        <v>3</v>
      </c>
      <c r="G471" s="26" t="s">
        <v>1923</v>
      </c>
      <c r="H471" s="11" t="str">
        <f>IFERROR(__xludf.DUMMYFUNCTION("REGEXREPLACE(G471, ""[^0-9a-zA-Z .'Ã]"","""")"),"Wayne Knight")</f>
        <v>Wayne Knight</v>
      </c>
      <c r="I471" s="28" t="s">
        <v>1924</v>
      </c>
      <c r="J471" s="26">
        <v>613473.0</v>
      </c>
      <c r="K471" s="26" t="s">
        <v>1925</v>
      </c>
      <c r="L471" s="26">
        <v>895.0</v>
      </c>
      <c r="M471" s="26" t="s">
        <v>24</v>
      </c>
      <c r="N471" s="26" t="s">
        <v>25</v>
      </c>
      <c r="O471" s="27">
        <v>6.3E7</v>
      </c>
      <c r="P471" s="10">
        <f t="shared" si="2"/>
        <v>293784000</v>
      </c>
      <c r="Q471" s="12">
        <f t="shared" si="3"/>
        <v>0</v>
      </c>
      <c r="R471" s="26">
        <v>1993.0</v>
      </c>
      <c r="S471" s="26">
        <v>8.1</v>
      </c>
    </row>
    <row r="472" ht="15.75" customHeight="1">
      <c r="A472" s="7" t="s">
        <v>1926</v>
      </c>
      <c r="B472" s="8" t="str">
        <f>IFERROR(__xludf.DUMMYFUNCTION("REGEXREPLACE(A472, ""[^0-9a-zA-Z .'Ã]"","""")"),"Jonathan Kesselman")</f>
        <v>Jonathan Kesselman</v>
      </c>
      <c r="C472" s="9">
        <v>35.0</v>
      </c>
      <c r="D472" s="10">
        <v>19539.0</v>
      </c>
      <c r="E472" s="9" t="s">
        <v>137</v>
      </c>
      <c r="F472" s="9">
        <f t="shared" si="1"/>
        <v>1</v>
      </c>
      <c r="G472" s="9" t="s">
        <v>642</v>
      </c>
      <c r="H472" s="11" t="str">
        <f>IFERROR(__xludf.DUMMYFUNCTION("REGEXREPLACE(G472, ""[^0-9a-zA-Z .'Ã]"","""")"),"Judy Greer")</f>
        <v>Judy Greer</v>
      </c>
      <c r="I472" s="11" t="s">
        <v>1927</v>
      </c>
      <c r="J472" s="9">
        <v>4182.0</v>
      </c>
      <c r="K472" s="9" t="s">
        <v>1928</v>
      </c>
      <c r="L472" s="9">
        <v>53.0</v>
      </c>
      <c r="M472" s="9" t="s">
        <v>24</v>
      </c>
      <c r="N472" s="9" t="s">
        <v>25</v>
      </c>
      <c r="O472" s="10">
        <v>1000000.0</v>
      </c>
      <c r="P472" s="10">
        <f t="shared" si="2"/>
        <v>0</v>
      </c>
      <c r="Q472" s="12">
        <f t="shared" si="3"/>
        <v>980461</v>
      </c>
      <c r="R472" s="9">
        <v>2003.0</v>
      </c>
      <c r="S472" s="9">
        <v>6.2</v>
      </c>
    </row>
    <row r="473" ht="15.75" customHeight="1">
      <c r="A473" s="21" t="s">
        <v>631</v>
      </c>
      <c r="B473" s="8" t="str">
        <f>IFERROR(__xludf.DUMMYFUNCTION("REGEXREPLACE(A473, ""[^0-9a-zA-Z .'Ã]"","""")"),"Richard Donner")</f>
        <v>Richard Donner</v>
      </c>
      <c r="C473" s="22">
        <v>169.0</v>
      </c>
      <c r="D473" s="23">
        <v>1.34218018E8</v>
      </c>
      <c r="E473" s="22" t="s">
        <v>1929</v>
      </c>
      <c r="F473" s="9">
        <f t="shared" si="1"/>
        <v>5</v>
      </c>
      <c r="G473" s="22" t="s">
        <v>1930</v>
      </c>
      <c r="H473" s="11" t="str">
        <f>IFERROR(__xludf.DUMMYFUNCTION("REGEXREPLACE(G473, ""[^0-9a-zA-Z .'Ã]"","""")"),"Marlon Brando")</f>
        <v>Marlon Brando</v>
      </c>
      <c r="I473" s="24" t="s">
        <v>1931</v>
      </c>
      <c r="J473" s="22">
        <v>126357.0</v>
      </c>
      <c r="K473" s="22" t="s">
        <v>1932</v>
      </c>
      <c r="L473" s="22">
        <v>497.0</v>
      </c>
      <c r="M473" s="22" t="s">
        <v>24</v>
      </c>
      <c r="N473" s="22" t="s">
        <v>25</v>
      </c>
      <c r="O473" s="23">
        <v>5.5E7</v>
      </c>
      <c r="P473" s="10">
        <f t="shared" si="2"/>
        <v>79218018</v>
      </c>
      <c r="Q473" s="12">
        <f t="shared" si="3"/>
        <v>0</v>
      </c>
      <c r="R473" s="22">
        <v>1978.0</v>
      </c>
      <c r="S473" s="22">
        <v>7.3</v>
      </c>
    </row>
    <row r="474" ht="15.75" customHeight="1">
      <c r="A474" s="25" t="s">
        <v>986</v>
      </c>
      <c r="B474" s="8" t="str">
        <f>IFERROR(__xludf.DUMMYFUNCTION("REGEXREPLACE(A474, ""[^0-9a-zA-Z .'Ã]"","""")"),"Simon West")</f>
        <v>Simon West</v>
      </c>
      <c r="C474" s="26">
        <v>139.0</v>
      </c>
      <c r="D474" s="27">
        <v>1.01087161E8</v>
      </c>
      <c r="E474" s="26" t="s">
        <v>152</v>
      </c>
      <c r="F474" s="9">
        <f t="shared" si="1"/>
        <v>3</v>
      </c>
      <c r="G474" s="26" t="s">
        <v>453</v>
      </c>
      <c r="H474" s="11" t="str">
        <f>IFERROR(__xludf.DUMMYFUNCTION("REGEXREPLACE(G474, ""[^0-9a-zA-Z .'Ã]"","""")"),"Steve Buscemi")</f>
        <v>Steve Buscemi</v>
      </c>
      <c r="I474" s="28" t="s">
        <v>1933</v>
      </c>
      <c r="J474" s="26">
        <v>225282.0</v>
      </c>
      <c r="K474" s="26" t="s">
        <v>1934</v>
      </c>
      <c r="L474" s="26">
        <v>339.0</v>
      </c>
      <c r="M474" s="26" t="s">
        <v>24</v>
      </c>
      <c r="N474" s="26" t="s">
        <v>25</v>
      </c>
      <c r="O474" s="27">
        <v>7.5E7</v>
      </c>
      <c r="P474" s="10">
        <f t="shared" si="2"/>
        <v>26087161</v>
      </c>
      <c r="Q474" s="12">
        <f t="shared" si="3"/>
        <v>0</v>
      </c>
      <c r="R474" s="26">
        <v>1997.0</v>
      </c>
      <c r="S474" s="26">
        <v>6.8</v>
      </c>
    </row>
    <row r="475" ht="15.75" customHeight="1">
      <c r="A475" s="17" t="s">
        <v>1935</v>
      </c>
      <c r="B475" s="8" t="str">
        <f>IFERROR(__xludf.DUMMYFUNCTION("REGEXREPLACE(A475, ""[^0-9a-zA-Z .'Ã]"","""")"),"Mark Sandrich")</f>
        <v>Mark Sandrich</v>
      </c>
      <c r="C475" s="18">
        <v>66.0</v>
      </c>
      <c r="D475" s="19">
        <v>3000000.0</v>
      </c>
      <c r="E475" s="18" t="s">
        <v>1936</v>
      </c>
      <c r="F475" s="9">
        <f t="shared" si="1"/>
        <v>3</v>
      </c>
      <c r="G475" s="18" t="s">
        <v>1937</v>
      </c>
      <c r="H475" s="11" t="str">
        <f>IFERROR(__xludf.DUMMYFUNCTION("REGEXREPLACE(G475, ""[^0-9a-zA-Z .'Ã]"","""")"),"Ginger Rogers")</f>
        <v>Ginger Rogers</v>
      </c>
      <c r="I475" s="20" t="s">
        <v>1938</v>
      </c>
      <c r="J475" s="18">
        <v>13269.0</v>
      </c>
      <c r="K475" s="18" t="s">
        <v>1939</v>
      </c>
      <c r="L475" s="18">
        <v>98.0</v>
      </c>
      <c r="M475" s="18" t="s">
        <v>24</v>
      </c>
      <c r="N475" s="18" t="s">
        <v>25</v>
      </c>
      <c r="O475" s="19">
        <v>609000.0</v>
      </c>
      <c r="P475" s="10">
        <f t="shared" si="2"/>
        <v>2391000</v>
      </c>
      <c r="Q475" s="12">
        <f t="shared" si="3"/>
        <v>0</v>
      </c>
      <c r="R475" s="18">
        <v>1935.0</v>
      </c>
      <c r="S475" s="18">
        <v>7.8</v>
      </c>
    </row>
    <row r="476" ht="15.75" customHeight="1">
      <c r="A476" s="21" t="s">
        <v>1940</v>
      </c>
      <c r="B476" s="8" t="str">
        <f>IFERROR(__xludf.DUMMYFUNCTION("REGEXREPLACE(A476, ""[^0-9a-zA-Z .'Ã]"","""")"),"Stephen Daldry")</f>
        <v>Stephen Daldry</v>
      </c>
      <c r="C476" s="22">
        <v>174.0</v>
      </c>
      <c r="D476" s="23">
        <v>4.159783E7</v>
      </c>
      <c r="E476" s="22" t="s">
        <v>232</v>
      </c>
      <c r="F476" s="9">
        <f t="shared" si="1"/>
        <v>2</v>
      </c>
      <c r="G476" s="22" t="s">
        <v>1941</v>
      </c>
      <c r="H476" s="11" t="str">
        <f>IFERROR(__xludf.DUMMYFUNCTION("REGEXREPLACE(G476, ""[^0-9a-zA-Z .'Ã]"","""")"),"Meryl Streep")</f>
        <v>Meryl Streep</v>
      </c>
      <c r="I476" s="24" t="s">
        <v>1942</v>
      </c>
      <c r="J476" s="22">
        <v>102123.0</v>
      </c>
      <c r="K476" s="22" t="s">
        <v>1943</v>
      </c>
      <c r="L476" s="22">
        <v>660.0</v>
      </c>
      <c r="M476" s="22" t="s">
        <v>24</v>
      </c>
      <c r="N476" s="22" t="s">
        <v>25</v>
      </c>
      <c r="O476" s="23">
        <v>2.5E7</v>
      </c>
      <c r="P476" s="10">
        <f t="shared" si="2"/>
        <v>16597830</v>
      </c>
      <c r="Q476" s="12">
        <f t="shared" si="3"/>
        <v>0</v>
      </c>
      <c r="R476" s="22">
        <v>2002.0</v>
      </c>
      <c r="S476" s="22">
        <v>7.6</v>
      </c>
    </row>
    <row r="477" ht="15.75" customHeight="1">
      <c r="A477" s="25" t="s">
        <v>1733</v>
      </c>
      <c r="B477" s="8" t="str">
        <f>IFERROR(__xludf.DUMMYFUNCTION("REGEXREPLACE(A477, ""[^0-9a-zA-Z .'Ã]"","""")"),"Mark Neveldine")</f>
        <v>Mark Neveldine</v>
      </c>
      <c r="C477" s="26">
        <v>150.0</v>
      </c>
      <c r="D477" s="27">
        <v>1.3630226E7</v>
      </c>
      <c r="E477" s="26" t="s">
        <v>771</v>
      </c>
      <c r="F477" s="9">
        <f t="shared" si="1"/>
        <v>4</v>
      </c>
      <c r="G477" s="26" t="s">
        <v>815</v>
      </c>
      <c r="H477" s="11" t="str">
        <f>IFERROR(__xludf.DUMMYFUNCTION("REGEXREPLACE(G477, ""[^0-9a-zA-Z .'Ã]"","""")"),"Jason Statham")</f>
        <v>Jason Statham</v>
      </c>
      <c r="I477" s="28" t="s">
        <v>1944</v>
      </c>
      <c r="J477" s="26">
        <v>112516.0</v>
      </c>
      <c r="K477" s="26" t="s">
        <v>1945</v>
      </c>
      <c r="L477" s="26">
        <v>223.0</v>
      </c>
      <c r="M477" s="26" t="s">
        <v>24</v>
      </c>
      <c r="N477" s="26" t="s">
        <v>25</v>
      </c>
      <c r="O477" s="27">
        <v>2.0E7</v>
      </c>
      <c r="P477" s="10">
        <f t="shared" si="2"/>
        <v>0</v>
      </c>
      <c r="Q477" s="12">
        <f t="shared" si="3"/>
        <v>6369774</v>
      </c>
      <c r="R477" s="26">
        <v>2009.0</v>
      </c>
      <c r="S477" s="26">
        <v>6.2</v>
      </c>
    </row>
    <row r="478" ht="15.75" customHeight="1">
      <c r="A478" s="21" t="s">
        <v>1946</v>
      </c>
      <c r="B478" s="8" t="str">
        <f>IFERROR(__xludf.DUMMYFUNCTION("REGEXREPLACE(A478, ""[^0-9a-zA-Z .'Ã]"","""")"),"David Koepp")</f>
        <v>David Koepp</v>
      </c>
      <c r="C478" s="22">
        <v>181.0</v>
      </c>
      <c r="D478" s="23">
        <v>7605668.0</v>
      </c>
      <c r="E478" s="22" t="s">
        <v>1947</v>
      </c>
      <c r="F478" s="9">
        <f t="shared" si="1"/>
        <v>4</v>
      </c>
      <c r="G478" s="22" t="s">
        <v>85</v>
      </c>
      <c r="H478" s="11" t="str">
        <f>IFERROR(__xludf.DUMMYFUNCTION("REGEXREPLACE(G478, ""[^0-9a-zA-Z .'Ã]"","""")"),"Johnny Depp")</f>
        <v>Johnny Depp</v>
      </c>
      <c r="I478" s="24" t="s">
        <v>1948</v>
      </c>
      <c r="J478" s="22">
        <v>47320.0</v>
      </c>
      <c r="K478" s="22" t="s">
        <v>1949</v>
      </c>
      <c r="L478" s="22">
        <v>188.0</v>
      </c>
      <c r="M478" s="22" t="s">
        <v>24</v>
      </c>
      <c r="N478" s="22" t="s">
        <v>130</v>
      </c>
      <c r="O478" s="23">
        <v>6.0E7</v>
      </c>
      <c r="P478" s="10">
        <f t="shared" si="2"/>
        <v>0</v>
      </c>
      <c r="Q478" s="12">
        <f t="shared" si="3"/>
        <v>52394332</v>
      </c>
      <c r="R478" s="22">
        <v>2015.0</v>
      </c>
      <c r="S478" s="22">
        <v>5.5</v>
      </c>
    </row>
    <row r="479" ht="15.75" customHeight="1">
      <c r="A479" s="25" t="s">
        <v>1950</v>
      </c>
      <c r="B479" s="8" t="str">
        <f>IFERROR(__xludf.DUMMYFUNCTION("REGEXREPLACE(A479, ""[^0-9a-zA-Z .'Ã]"","""")"),"Phyllida Lloyd")</f>
        <v>Phyllida Lloyd</v>
      </c>
      <c r="C479" s="26">
        <v>238.0</v>
      </c>
      <c r="D479" s="27">
        <v>1.4370421E8</v>
      </c>
      <c r="E479" s="26" t="s">
        <v>1951</v>
      </c>
      <c r="F479" s="9">
        <f t="shared" si="1"/>
        <v>4</v>
      </c>
      <c r="G479" s="26" t="s">
        <v>542</v>
      </c>
      <c r="H479" s="11" t="str">
        <f>IFERROR(__xludf.DUMMYFUNCTION("REGEXREPLACE(G479, ""[^0-9a-zA-Z .'Ã]"","""")"),"Colin Firth")</f>
        <v>Colin Firth</v>
      </c>
      <c r="I479" s="28" t="s">
        <v>1952</v>
      </c>
      <c r="J479" s="26">
        <v>145974.0</v>
      </c>
      <c r="K479" s="26" t="s">
        <v>1953</v>
      </c>
      <c r="L479" s="26">
        <v>611.0</v>
      </c>
      <c r="M479" s="26" t="s">
        <v>24</v>
      </c>
      <c r="N479" s="26" t="s">
        <v>25</v>
      </c>
      <c r="O479" s="27">
        <v>5.2E7</v>
      </c>
      <c r="P479" s="10">
        <f t="shared" si="2"/>
        <v>91704210</v>
      </c>
      <c r="Q479" s="12">
        <f t="shared" si="3"/>
        <v>0</v>
      </c>
      <c r="R479" s="26">
        <v>2008.0</v>
      </c>
      <c r="S479" s="26">
        <v>6.3</v>
      </c>
    </row>
    <row r="480" ht="15.75" customHeight="1">
      <c r="A480" s="17" t="s">
        <v>1954</v>
      </c>
      <c r="B480" s="8" t="str">
        <f>IFERROR(__xludf.DUMMYFUNCTION("REGEXREPLACE(A480, ""[^0-9a-zA-Z .'Ã]"","""")"),"David R. Ellis")</f>
        <v>David R. Ellis</v>
      </c>
      <c r="C480" s="18">
        <v>285.0</v>
      </c>
      <c r="D480" s="19">
        <v>3.4014398E7</v>
      </c>
      <c r="E480" s="18" t="s">
        <v>1955</v>
      </c>
      <c r="F480" s="9">
        <f t="shared" si="1"/>
        <v>5</v>
      </c>
      <c r="G480" s="18" t="s">
        <v>1713</v>
      </c>
      <c r="H480" s="11" t="str">
        <f>IFERROR(__xludf.DUMMYFUNCTION("REGEXREPLACE(G480, ""[^0-9a-zA-Z .'Ã]"","""")"),"Lin Shaye")</f>
        <v>Lin Shaye</v>
      </c>
      <c r="I480" s="20" t="s">
        <v>1956</v>
      </c>
      <c r="J480" s="18">
        <v>115650.0</v>
      </c>
      <c r="K480" s="18" t="s">
        <v>1957</v>
      </c>
      <c r="L480" s="18">
        <v>1033.0</v>
      </c>
      <c r="M480" s="18" t="s">
        <v>24</v>
      </c>
      <c r="N480" s="18" t="s">
        <v>173</v>
      </c>
      <c r="O480" s="19">
        <v>3.3E7</v>
      </c>
      <c r="P480" s="10">
        <f t="shared" si="2"/>
        <v>1014398</v>
      </c>
      <c r="Q480" s="12">
        <f t="shared" si="3"/>
        <v>0</v>
      </c>
      <c r="R480" s="18">
        <v>2006.0</v>
      </c>
      <c r="S480" s="18">
        <v>5.6</v>
      </c>
    </row>
    <row r="481" ht="15.75" customHeight="1">
      <c r="A481" s="21" t="s">
        <v>1958</v>
      </c>
      <c r="B481" s="8" t="str">
        <f>IFERROR(__xludf.DUMMYFUNCTION("REGEXREPLACE(A481, ""[^0-9a-zA-Z .'Ã]"","""")"),"Bob Saget")</f>
        <v>Bob Saget</v>
      </c>
      <c r="C481" s="22">
        <v>32.0</v>
      </c>
      <c r="D481" s="23">
        <v>9975684.0</v>
      </c>
      <c r="E481" s="22" t="s">
        <v>137</v>
      </c>
      <c r="F481" s="9">
        <f t="shared" si="1"/>
        <v>1</v>
      </c>
      <c r="G481" s="22" t="s">
        <v>1959</v>
      </c>
      <c r="H481" s="11" t="str">
        <f>IFERROR(__xludf.DUMMYFUNCTION("REGEXREPLACE(G481, ""[^0-9a-zA-Z .'Ã]"","""")"),"Don Rickles")</f>
        <v>Don Rickles</v>
      </c>
      <c r="I481" s="24" t="s">
        <v>1960</v>
      </c>
      <c r="J481" s="22">
        <v>20033.0</v>
      </c>
      <c r="K481" s="22" t="s">
        <v>1961</v>
      </c>
      <c r="L481" s="22">
        <v>117.0</v>
      </c>
      <c r="M481" s="22" t="s">
        <v>24</v>
      </c>
      <c r="N481" s="22" t="s">
        <v>624</v>
      </c>
      <c r="O481" s="23">
        <v>1.3E7</v>
      </c>
      <c r="P481" s="10">
        <f t="shared" si="2"/>
        <v>0</v>
      </c>
      <c r="Q481" s="12">
        <f t="shared" si="3"/>
        <v>3024316</v>
      </c>
      <c r="R481" s="22">
        <v>1998.0</v>
      </c>
      <c r="S481" s="22">
        <v>6.4</v>
      </c>
    </row>
    <row r="482" ht="15.75" customHeight="1">
      <c r="A482" s="13" t="s">
        <v>1962</v>
      </c>
      <c r="B482" s="8" t="str">
        <f>IFERROR(__xludf.DUMMYFUNCTION("REGEXREPLACE(A482, ""[^0-9a-zA-Z .'Ã]"","""")"),"Michel Gondry")</f>
        <v>Michel Gondry</v>
      </c>
      <c r="C482" s="14">
        <v>114.0</v>
      </c>
      <c r="D482" s="15">
        <v>1.1694528E7</v>
      </c>
      <c r="E482" s="14" t="s">
        <v>1963</v>
      </c>
      <c r="F482" s="9">
        <f t="shared" si="1"/>
        <v>3</v>
      </c>
      <c r="G482" s="14" t="s">
        <v>1964</v>
      </c>
      <c r="H482" s="11" t="str">
        <f>IFERROR(__xludf.DUMMYFUNCTION("REGEXREPLACE(G482, ""[^0-9a-zA-Z .'Ã]"","""")"),"Common")</f>
        <v>Common</v>
      </c>
      <c r="I482" s="16" t="s">
        <v>1965</v>
      </c>
      <c r="J482" s="14">
        <v>7721.0</v>
      </c>
      <c r="K482" s="14" t="s">
        <v>1966</v>
      </c>
      <c r="L482" s="14">
        <v>72.0</v>
      </c>
      <c r="M482" s="14" t="s">
        <v>24</v>
      </c>
      <c r="N482" s="14" t="s">
        <v>25</v>
      </c>
      <c r="O482" s="15">
        <v>3000000.0</v>
      </c>
      <c r="P482" s="10">
        <f t="shared" si="2"/>
        <v>8694528</v>
      </c>
      <c r="Q482" s="12">
        <f t="shared" si="3"/>
        <v>0</v>
      </c>
      <c r="R482" s="14">
        <v>2005.0</v>
      </c>
      <c r="S482" s="14">
        <v>7.2</v>
      </c>
    </row>
    <row r="483" ht="15.75" customHeight="1">
      <c r="A483" s="29" t="s">
        <v>1454</v>
      </c>
      <c r="B483" s="8" t="str">
        <f>IFERROR(__xludf.DUMMYFUNCTION("REGEXREPLACE(A483, ""[^0-9a-zA-Z .'Ã]"","""")"),"Tom Shadyac")</f>
        <v>Tom Shadyac</v>
      </c>
      <c r="C483" s="30">
        <v>186.0</v>
      </c>
      <c r="D483" s="31">
        <v>1.0028969E8</v>
      </c>
      <c r="E483" s="30" t="s">
        <v>514</v>
      </c>
      <c r="F483" s="9">
        <f t="shared" si="1"/>
        <v>3</v>
      </c>
      <c r="G483" s="30" t="s">
        <v>466</v>
      </c>
      <c r="H483" s="11" t="str">
        <f>IFERROR(__xludf.DUMMYFUNCTION("REGEXREPLACE(G483, ""[^0-9a-zA-Z .'Ã]"","""")"),"Jimmy Bennett")</f>
        <v>Jimmy Bennett</v>
      </c>
      <c r="I483" s="32" t="s">
        <v>1967</v>
      </c>
      <c r="J483" s="30">
        <v>115099.0</v>
      </c>
      <c r="K483" s="30" t="s">
        <v>1968</v>
      </c>
      <c r="L483" s="30">
        <v>257.0</v>
      </c>
      <c r="M483" s="30" t="s">
        <v>24</v>
      </c>
      <c r="N483" s="30" t="s">
        <v>25</v>
      </c>
      <c r="O483" s="31">
        <v>1.75E8</v>
      </c>
      <c r="P483" s="10">
        <f t="shared" si="2"/>
        <v>0</v>
      </c>
      <c r="Q483" s="12">
        <f t="shared" si="3"/>
        <v>74710310</v>
      </c>
      <c r="R483" s="30">
        <v>2007.0</v>
      </c>
      <c r="S483" s="30">
        <v>5.4</v>
      </c>
    </row>
    <row r="484" ht="15.75" customHeight="1">
      <c r="A484" s="7" t="s">
        <v>1425</v>
      </c>
      <c r="B484" s="8" t="str">
        <f>IFERROR(__xludf.DUMMYFUNCTION("REGEXREPLACE(A484, ""[^0-9a-zA-Z .'Ã]"","""")"),"David Fincher")</f>
        <v>David Fincher</v>
      </c>
      <c r="C484" s="9">
        <v>233.0</v>
      </c>
      <c r="D484" s="10">
        <v>9.5308367E7</v>
      </c>
      <c r="E484" s="9" t="s">
        <v>113</v>
      </c>
      <c r="F484" s="9">
        <f t="shared" si="1"/>
        <v>3</v>
      </c>
      <c r="G484" s="9" t="s">
        <v>1969</v>
      </c>
      <c r="H484" s="11" t="str">
        <f>IFERROR(__xludf.DUMMYFUNCTION("REGEXREPLACE(G484, ""[^0-9a-zA-Z .'Ã]"","""")"),"Kristen Stewart")</f>
        <v>Kristen Stewart</v>
      </c>
      <c r="I484" s="11" t="s">
        <v>1970</v>
      </c>
      <c r="J484" s="9">
        <v>206104.0</v>
      </c>
      <c r="K484" s="9" t="s">
        <v>1971</v>
      </c>
      <c r="L484" s="9">
        <v>850.0</v>
      </c>
      <c r="M484" s="9" t="s">
        <v>24</v>
      </c>
      <c r="N484" s="9" t="s">
        <v>25</v>
      </c>
      <c r="O484" s="10">
        <v>4.8E7</v>
      </c>
      <c r="P484" s="10">
        <f t="shared" si="2"/>
        <v>47308367</v>
      </c>
      <c r="Q484" s="12">
        <f t="shared" si="3"/>
        <v>0</v>
      </c>
      <c r="R484" s="9">
        <v>2002.0</v>
      </c>
      <c r="S484" s="9">
        <v>6.8</v>
      </c>
    </row>
    <row r="485" ht="15.75" customHeight="1">
      <c r="A485" s="7" t="s">
        <v>1972</v>
      </c>
      <c r="B485" s="8" t="str">
        <f>IFERROR(__xludf.DUMMYFUNCTION("REGEXREPLACE(A485, ""[^0-9a-zA-Z .'Ã]"","""")"),"Jesse Dylan")</f>
        <v>Jesse Dylan</v>
      </c>
      <c r="C485" s="9">
        <v>34.0</v>
      </c>
      <c r="D485" s="10">
        <v>3.1155435E7</v>
      </c>
      <c r="E485" s="9" t="s">
        <v>615</v>
      </c>
      <c r="F485" s="9">
        <f t="shared" si="1"/>
        <v>2</v>
      </c>
      <c r="G485" s="9" t="s">
        <v>1973</v>
      </c>
      <c r="H485" s="11" t="str">
        <f>IFERROR(__xludf.DUMMYFUNCTION("REGEXREPLACE(G485, ""[^0-9a-zA-Z .'Ã]"","""")"),"Hector Elizondo")</f>
        <v>Hector Elizondo</v>
      </c>
      <c r="I485" s="11" t="s">
        <v>1974</v>
      </c>
      <c r="J485" s="9">
        <v>42644.0</v>
      </c>
      <c r="K485" s="9" t="s">
        <v>1975</v>
      </c>
      <c r="L485" s="9">
        <v>102.0</v>
      </c>
      <c r="M485" s="9" t="s">
        <v>24</v>
      </c>
      <c r="N485" s="9" t="s">
        <v>25</v>
      </c>
      <c r="O485" s="10">
        <v>1.2E7</v>
      </c>
      <c r="P485" s="10">
        <f t="shared" si="2"/>
        <v>19155435</v>
      </c>
      <c r="Q485" s="12">
        <f t="shared" si="3"/>
        <v>0</v>
      </c>
      <c r="R485" s="9">
        <v>2001.0</v>
      </c>
      <c r="S485" s="9">
        <v>6.2</v>
      </c>
    </row>
    <row r="486" ht="15.75" customHeight="1">
      <c r="A486" s="7" t="s">
        <v>972</v>
      </c>
      <c r="B486" s="8" t="str">
        <f>IFERROR(__xludf.DUMMYFUNCTION("REGEXREPLACE(A486, ""[^0-9a-zA-Z .'Ã]"","""")"),"Shawn Levy")</f>
        <v>Shawn Levy</v>
      </c>
      <c r="C486" s="9">
        <v>179.0</v>
      </c>
      <c r="D486" s="10">
        <v>2.50863268E8</v>
      </c>
      <c r="E486" s="9" t="s">
        <v>1976</v>
      </c>
      <c r="F486" s="9">
        <f t="shared" si="1"/>
        <v>5</v>
      </c>
      <c r="G486" s="9" t="s">
        <v>673</v>
      </c>
      <c r="H486" s="11" t="str">
        <f>IFERROR(__xludf.DUMMYFUNCTION("REGEXREPLACE(G486, ""[^0-9a-zA-Z .'Ã]"","""")"),"Robin Williams")</f>
        <v>Robin Williams</v>
      </c>
      <c r="I486" s="11" t="s">
        <v>1977</v>
      </c>
      <c r="J486" s="9">
        <v>234480.0</v>
      </c>
      <c r="K486" s="9" t="s">
        <v>1978</v>
      </c>
      <c r="L486" s="9">
        <v>444.0</v>
      </c>
      <c r="M486" s="9" t="s">
        <v>24</v>
      </c>
      <c r="N486" s="9" t="s">
        <v>25</v>
      </c>
      <c r="O486" s="10">
        <v>1.1E8</v>
      </c>
      <c r="P486" s="10">
        <f t="shared" si="2"/>
        <v>140863268</v>
      </c>
      <c r="Q486" s="12">
        <f t="shared" si="3"/>
        <v>0</v>
      </c>
      <c r="R486" s="9">
        <v>2006.0</v>
      </c>
      <c r="S486" s="9">
        <v>6.4</v>
      </c>
    </row>
    <row r="487" ht="15.75" customHeight="1">
      <c r="A487" s="7" t="s">
        <v>381</v>
      </c>
      <c r="B487" s="8" t="str">
        <f>IFERROR(__xludf.DUMMYFUNCTION("REGEXREPLACE(A487, ""[^0-9a-zA-Z .'Ã]"","""")"),"Brian De Palma")</f>
        <v>Brian De Palma</v>
      </c>
      <c r="C487" s="9">
        <v>123.0</v>
      </c>
      <c r="D487" s="10">
        <v>7.6270454E7</v>
      </c>
      <c r="E487" s="9" t="s">
        <v>113</v>
      </c>
      <c r="F487" s="9">
        <f t="shared" si="1"/>
        <v>3</v>
      </c>
      <c r="G487" s="9" t="s">
        <v>883</v>
      </c>
      <c r="H487" s="11" t="str">
        <f>IFERROR(__xludf.DUMMYFUNCTION("REGEXREPLACE(G487, ""[^0-9a-zA-Z .'Ã]"","""")"),"Robert De Niro")</f>
        <v>Robert De Niro</v>
      </c>
      <c r="I487" s="11" t="s">
        <v>1979</v>
      </c>
      <c r="J487" s="9">
        <v>219008.0</v>
      </c>
      <c r="K487" s="9" t="s">
        <v>1980</v>
      </c>
      <c r="L487" s="9">
        <v>418.0</v>
      </c>
      <c r="M487" s="9" t="s">
        <v>24</v>
      </c>
      <c r="N487" s="9" t="s">
        <v>25</v>
      </c>
      <c r="O487" s="10">
        <v>2.5E7</v>
      </c>
      <c r="P487" s="10">
        <f t="shared" si="2"/>
        <v>51270454</v>
      </c>
      <c r="Q487" s="12">
        <f t="shared" si="3"/>
        <v>0</v>
      </c>
      <c r="R487" s="9">
        <v>1987.0</v>
      </c>
      <c r="S487" s="9">
        <v>7.9</v>
      </c>
    </row>
    <row r="488" ht="15.75" customHeight="1">
      <c r="A488" s="7" t="s">
        <v>1234</v>
      </c>
      <c r="B488" s="8" t="str">
        <f>IFERROR(__xludf.DUMMYFUNCTION("REGEXREPLACE(A488, ""[^0-9a-zA-Z .'Ã]"","""")"),"Tom Holland")</f>
        <v>Tom Holland</v>
      </c>
      <c r="C488" s="9">
        <v>73.0</v>
      </c>
      <c r="D488" s="10">
        <v>1.5171475E7</v>
      </c>
      <c r="E488" s="9" t="s">
        <v>1235</v>
      </c>
      <c r="F488" s="9">
        <f t="shared" si="1"/>
        <v>2</v>
      </c>
      <c r="G488" s="9" t="s">
        <v>1981</v>
      </c>
      <c r="H488" s="11" t="str">
        <f>IFERROR(__xludf.DUMMYFUNCTION("REGEXREPLACE(G488, ""[^0-9a-zA-Z .'Ã]"","""")"),"Joe Mantegna")</f>
        <v>Joe Mantegna</v>
      </c>
      <c r="I488" s="11" t="s">
        <v>1982</v>
      </c>
      <c r="J488" s="9">
        <v>19805.0</v>
      </c>
      <c r="K488" s="9" t="s">
        <v>1983</v>
      </c>
      <c r="L488" s="9">
        <v>122.0</v>
      </c>
      <c r="M488" s="9" t="s">
        <v>24</v>
      </c>
      <c r="N488" s="9" t="s">
        <v>25</v>
      </c>
      <c r="O488" s="10">
        <v>8500000.0</v>
      </c>
      <c r="P488" s="10">
        <f t="shared" si="2"/>
        <v>6671475</v>
      </c>
      <c r="Q488" s="12">
        <f t="shared" si="3"/>
        <v>0</v>
      </c>
      <c r="R488" s="9">
        <v>1996.0</v>
      </c>
      <c r="S488" s="9">
        <v>5.7</v>
      </c>
    </row>
    <row r="489" ht="15.75" customHeight="1">
      <c r="A489" s="7" t="s">
        <v>1984</v>
      </c>
      <c r="B489" s="8" t="str">
        <f>IFERROR(__xludf.DUMMYFUNCTION("REGEXREPLACE(A489, ""[^0-9a-zA-Z .'Ã]"","""")"),"Danny DeVito")</f>
        <v>Danny DeVito</v>
      </c>
      <c r="C489" s="9">
        <v>32.0</v>
      </c>
      <c r="D489" s="10">
        <v>2.42765E7</v>
      </c>
      <c r="E489" s="9" t="s">
        <v>1774</v>
      </c>
      <c r="F489" s="9">
        <f t="shared" si="1"/>
        <v>3</v>
      </c>
      <c r="G489" s="9" t="s">
        <v>1985</v>
      </c>
      <c r="H489" s="11" t="str">
        <f>IFERROR(__xludf.DUMMYFUNCTION("REGEXREPLACE(G489, ""[^0-9a-zA-Z .'Ã]"","""")"),"Frank Whaley")</f>
        <v>Frank Whaley</v>
      </c>
      <c r="I489" s="11" t="s">
        <v>1986</v>
      </c>
      <c r="J489" s="9">
        <v>17124.0</v>
      </c>
      <c r="K489" s="9" t="s">
        <v>1987</v>
      </c>
      <c r="L489" s="9">
        <v>68.0</v>
      </c>
      <c r="M489" s="9" t="s">
        <v>24</v>
      </c>
      <c r="N489" s="9" t="s">
        <v>25</v>
      </c>
      <c r="O489" s="10">
        <v>3.5E7</v>
      </c>
      <c r="P489" s="10">
        <f t="shared" si="2"/>
        <v>0</v>
      </c>
      <c r="Q489" s="12">
        <f t="shared" si="3"/>
        <v>10723500</v>
      </c>
      <c r="R489" s="9">
        <v>1992.0</v>
      </c>
      <c r="S489" s="9">
        <v>6.6</v>
      </c>
    </row>
    <row r="490" ht="15.75" customHeight="1">
      <c r="A490" s="7" t="s">
        <v>1988</v>
      </c>
      <c r="B490" s="8" t="str">
        <f>IFERROR(__xludf.DUMMYFUNCTION("REGEXREPLACE(A490, ""[^0-9a-zA-Z .'Ã]"","""")"),"Hugh Hudson")</f>
        <v>Hugh Hudson</v>
      </c>
      <c r="C490" s="9">
        <v>52.0</v>
      </c>
      <c r="D490" s="10">
        <v>6543194.0</v>
      </c>
      <c r="E490" s="9" t="s">
        <v>1989</v>
      </c>
      <c r="F490" s="9">
        <f t="shared" si="1"/>
        <v>3</v>
      </c>
      <c r="G490" s="9" t="s">
        <v>395</v>
      </c>
      <c r="H490" s="11" t="str">
        <f>IFERROR(__xludf.DUMMYFUNCTION("REGEXREPLACE(G490, ""[^0-9a-zA-Z .'Ã]"","""")"),"Liam Aiken")</f>
        <v>Liam Aiken</v>
      </c>
      <c r="I490" s="11" t="s">
        <v>1990</v>
      </c>
      <c r="J490" s="9">
        <v>3740.0</v>
      </c>
      <c r="K490" s="9" t="s">
        <v>1991</v>
      </c>
      <c r="L490" s="9">
        <v>61.0</v>
      </c>
      <c r="M490" s="9" t="s">
        <v>24</v>
      </c>
      <c r="N490" s="9" t="s">
        <v>25</v>
      </c>
      <c r="O490" s="10">
        <v>3.4E7</v>
      </c>
      <c r="P490" s="10">
        <f t="shared" si="2"/>
        <v>0</v>
      </c>
      <c r="Q490" s="12">
        <f t="shared" si="3"/>
        <v>27456806</v>
      </c>
      <c r="R490" s="9">
        <v>2000.0</v>
      </c>
      <c r="S490" s="9">
        <v>5.6</v>
      </c>
    </row>
    <row r="491" ht="15.75" customHeight="1">
      <c r="A491" s="7" t="s">
        <v>1992</v>
      </c>
      <c r="B491" s="8" t="str">
        <f>IFERROR(__xludf.DUMMYFUNCTION("REGEXREPLACE(A491, ""[^0-9a-zA-Z .'Ã]"","""")"),"Jonathan Levine")</f>
        <v>Jonathan Levine</v>
      </c>
      <c r="C491" s="9">
        <v>327.0</v>
      </c>
      <c r="D491" s="10">
        <v>3.4963967E7</v>
      </c>
      <c r="E491" s="9" t="s">
        <v>159</v>
      </c>
      <c r="F491" s="9">
        <f t="shared" si="1"/>
        <v>3</v>
      </c>
      <c r="G491" s="9" t="s">
        <v>764</v>
      </c>
      <c r="H491" s="11" t="str">
        <f>IFERROR(__xludf.DUMMYFUNCTION("REGEXREPLACE(G491, ""[^0-9a-zA-Z .'Ã]"","""")"),"Joseph GordonLevitt")</f>
        <v>Joseph GordonLevitt</v>
      </c>
      <c r="I491" s="11" t="s">
        <v>1993</v>
      </c>
      <c r="J491" s="9">
        <v>270441.0</v>
      </c>
      <c r="K491" s="9" t="s">
        <v>1994</v>
      </c>
      <c r="L491" s="9">
        <v>378.0</v>
      </c>
      <c r="M491" s="9" t="s">
        <v>24</v>
      </c>
      <c r="N491" s="9" t="s">
        <v>25</v>
      </c>
      <c r="O491" s="10">
        <v>8000000.0</v>
      </c>
      <c r="P491" s="10">
        <f t="shared" si="2"/>
        <v>26963967</v>
      </c>
      <c r="Q491" s="12">
        <f t="shared" si="3"/>
        <v>0</v>
      </c>
      <c r="R491" s="9">
        <v>2011.0</v>
      </c>
      <c r="S491" s="9">
        <v>7.7</v>
      </c>
    </row>
    <row r="492" ht="15.75" customHeight="1">
      <c r="A492" s="21" t="s">
        <v>1995</v>
      </c>
      <c r="B492" s="8" t="str">
        <f>IFERROR(__xludf.DUMMYFUNCTION("REGEXREPLACE(A492, ""[^0-9a-zA-Z .'Ã]"","""")"),"David Zucker")</f>
        <v>David Zucker</v>
      </c>
      <c r="C492" s="22">
        <v>56.0</v>
      </c>
      <c r="D492" s="23">
        <v>1.5549702E7</v>
      </c>
      <c r="E492" s="22" t="s">
        <v>89</v>
      </c>
      <c r="F492" s="9">
        <f t="shared" si="1"/>
        <v>2</v>
      </c>
      <c r="G492" s="22" t="s">
        <v>1996</v>
      </c>
      <c r="H492" s="11" t="str">
        <f>IFERROR(__xludf.DUMMYFUNCTION("REGEXREPLACE(G492, ""[^0-9a-zA-Z .'Ã]"","""")"),"Carmen Electra")</f>
        <v>Carmen Electra</v>
      </c>
      <c r="I492" s="24" t="s">
        <v>1997</v>
      </c>
      <c r="J492" s="22">
        <v>24038.0</v>
      </c>
      <c r="K492" s="22" t="s">
        <v>1998</v>
      </c>
      <c r="L492" s="22">
        <v>123.0</v>
      </c>
      <c r="M492" s="22" t="s">
        <v>24</v>
      </c>
      <c r="N492" s="22" t="s">
        <v>25</v>
      </c>
      <c r="O492" s="23">
        <v>1.4E7</v>
      </c>
      <c r="P492" s="10">
        <f t="shared" si="2"/>
        <v>1549702</v>
      </c>
      <c r="Q492" s="12">
        <f t="shared" si="3"/>
        <v>0</v>
      </c>
      <c r="R492" s="22">
        <v>2003.0</v>
      </c>
      <c r="S492" s="22">
        <v>4.6</v>
      </c>
    </row>
    <row r="493" ht="15.75" customHeight="1">
      <c r="A493" s="13" t="s">
        <v>529</v>
      </c>
      <c r="B493" s="8" t="str">
        <f>IFERROR(__xludf.DUMMYFUNCTION("REGEXREPLACE(A493, ""[^0-9a-zA-Z .'Ã]"","""")"),"Joel Schumacher")</f>
        <v>Joel Schumacher</v>
      </c>
      <c r="C493" s="14">
        <v>128.0</v>
      </c>
      <c r="D493" s="15">
        <v>3.0157016E7</v>
      </c>
      <c r="E493" s="14" t="s">
        <v>1207</v>
      </c>
      <c r="F493" s="9">
        <f t="shared" si="1"/>
        <v>4</v>
      </c>
      <c r="G493" s="14" t="s">
        <v>237</v>
      </c>
      <c r="H493" s="11" t="str">
        <f>IFERROR(__xludf.DUMMYFUNCTION("REGEXREPLACE(G493, ""[^0-9a-zA-Z .'Ã]"","""")"),"Anthony Hopkins")</f>
        <v>Anthony Hopkins</v>
      </c>
      <c r="I493" s="16" t="s">
        <v>1999</v>
      </c>
      <c r="J493" s="14">
        <v>39659.0</v>
      </c>
      <c r="K493" s="14" t="s">
        <v>2000</v>
      </c>
      <c r="L493" s="14">
        <v>189.0</v>
      </c>
      <c r="M493" s="14" t="s">
        <v>24</v>
      </c>
      <c r="N493" s="14" t="s">
        <v>25</v>
      </c>
      <c r="O493" s="15">
        <v>7.0E7</v>
      </c>
      <c r="P493" s="10">
        <f t="shared" si="2"/>
        <v>0</v>
      </c>
      <c r="Q493" s="12">
        <f t="shared" si="3"/>
        <v>39842984</v>
      </c>
      <c r="R493" s="14">
        <v>2002.0</v>
      </c>
      <c r="S493" s="14">
        <v>5.6</v>
      </c>
    </row>
    <row r="494" ht="15.75" customHeight="1">
      <c r="A494" s="29" t="s">
        <v>2001</v>
      </c>
      <c r="B494" s="8" t="str">
        <f>IFERROR(__xludf.DUMMYFUNCTION("REGEXREPLACE(A494, ""[^0-9a-zA-Z .'Ã]"","""")"),"Patrice Leconte")</f>
        <v>Patrice Leconte</v>
      </c>
      <c r="C494" s="30">
        <v>61.0</v>
      </c>
      <c r="D494" s="31">
        <v>3058380.0</v>
      </c>
      <c r="E494" s="30" t="s">
        <v>232</v>
      </c>
      <c r="F494" s="9">
        <f t="shared" si="1"/>
        <v>2</v>
      </c>
      <c r="G494" s="30" t="s">
        <v>2002</v>
      </c>
      <c r="H494" s="11" t="str">
        <f>IFERROR(__xludf.DUMMYFUNCTION("REGEXREPLACE(G494, ""[^0-9a-zA-Z .'Ã]"","""")"),"Emir Kusturica")</f>
        <v>Emir Kusturica</v>
      </c>
      <c r="I494" s="32" t="s">
        <v>2003</v>
      </c>
      <c r="J494" s="30">
        <v>4767.0</v>
      </c>
      <c r="K494" s="30" t="s">
        <v>2004</v>
      </c>
      <c r="L494" s="30">
        <v>69.0</v>
      </c>
      <c r="M494" s="30" t="s">
        <v>658</v>
      </c>
      <c r="N494" s="30" t="s">
        <v>608</v>
      </c>
      <c r="O494" s="31">
        <v>1.0E8</v>
      </c>
      <c r="P494" s="10">
        <f t="shared" si="2"/>
        <v>0</v>
      </c>
      <c r="Q494" s="12">
        <f t="shared" si="3"/>
        <v>96941620</v>
      </c>
      <c r="R494" s="30">
        <v>2000.0</v>
      </c>
      <c r="S494" s="30">
        <v>7.3</v>
      </c>
    </row>
    <row r="495" ht="15.75" customHeight="1">
      <c r="A495" s="21" t="s">
        <v>2005</v>
      </c>
      <c r="B495" s="8" t="str">
        <f>IFERROR(__xludf.DUMMYFUNCTION("REGEXREPLACE(A495, ""[^0-9a-zA-Z .'Ã]"","""")"),"Rupert Wyatt")</f>
        <v>Rupert Wyatt</v>
      </c>
      <c r="C495" s="22">
        <v>175.0</v>
      </c>
      <c r="D495" s="23">
        <v>3.3631221E7</v>
      </c>
      <c r="E495" s="22" t="s">
        <v>113</v>
      </c>
      <c r="F495" s="9">
        <f t="shared" si="1"/>
        <v>3</v>
      </c>
      <c r="G495" s="22" t="s">
        <v>2006</v>
      </c>
      <c r="H495" s="11" t="str">
        <f>IFERROR(__xludf.DUMMYFUNCTION("REGEXREPLACE(G495, ""[^0-9a-zA-Z .'Ã]"","""")"),"George Kennedy")</f>
        <v>George Kennedy</v>
      </c>
      <c r="I495" s="24" t="s">
        <v>2007</v>
      </c>
      <c r="J495" s="22">
        <v>48562.0</v>
      </c>
      <c r="K495" s="22" t="s">
        <v>2008</v>
      </c>
      <c r="L495" s="22">
        <v>145.0</v>
      </c>
      <c r="M495" s="22" t="s">
        <v>24</v>
      </c>
      <c r="N495" s="22" t="s">
        <v>25</v>
      </c>
      <c r="O495" s="23">
        <v>2.5E7</v>
      </c>
      <c r="P495" s="10">
        <f t="shared" si="2"/>
        <v>8631221</v>
      </c>
      <c r="Q495" s="12">
        <f t="shared" si="3"/>
        <v>0</v>
      </c>
      <c r="R495" s="22">
        <v>2014.0</v>
      </c>
      <c r="S495" s="22">
        <v>6.0</v>
      </c>
    </row>
    <row r="496" ht="15.75" customHeight="1">
      <c r="A496" s="17" t="s">
        <v>2009</v>
      </c>
      <c r="B496" s="8" t="str">
        <f>IFERROR(__xludf.DUMMYFUNCTION("REGEXREPLACE(A496, ""[^0-9a-zA-Z .'Ã]"","""")"),"Anne Fletcher")</f>
        <v>Anne Fletcher</v>
      </c>
      <c r="C496" s="18">
        <v>155.0</v>
      </c>
      <c r="D496" s="19">
        <v>3.4507079E7</v>
      </c>
      <c r="E496" s="18" t="s">
        <v>265</v>
      </c>
      <c r="F496" s="9">
        <f t="shared" si="1"/>
        <v>3</v>
      </c>
      <c r="G496" s="18" t="s">
        <v>995</v>
      </c>
      <c r="H496" s="11" t="str">
        <f>IFERROR(__xludf.DUMMYFUNCTION("REGEXREPLACE(G496, ""[^0-9a-zA-Z .'Ã]"","""")"),"Jim Gaffigan")</f>
        <v>Jim Gaffigan</v>
      </c>
      <c r="I496" s="20" t="s">
        <v>2010</v>
      </c>
      <c r="J496" s="18">
        <v>34948.0</v>
      </c>
      <c r="K496" s="18" t="s">
        <v>2011</v>
      </c>
      <c r="L496" s="18">
        <v>118.0</v>
      </c>
      <c r="M496" s="18" t="s">
        <v>24</v>
      </c>
      <c r="N496" s="18" t="s">
        <v>25</v>
      </c>
      <c r="O496" s="19">
        <v>3.5E7</v>
      </c>
      <c r="P496" s="10">
        <f t="shared" si="2"/>
        <v>0</v>
      </c>
      <c r="Q496" s="12">
        <f t="shared" si="3"/>
        <v>492921</v>
      </c>
      <c r="R496" s="18">
        <v>2015.0</v>
      </c>
      <c r="S496" s="18">
        <v>5.1</v>
      </c>
    </row>
    <row r="497" ht="15.75" customHeight="1">
      <c r="A497" s="25" t="s">
        <v>2012</v>
      </c>
      <c r="B497" s="8" t="str">
        <f>IFERROR(__xludf.DUMMYFUNCTION("REGEXREPLACE(A497, ""[^0-9a-zA-Z .'Ã]"","""")"),"Stephen Chbosky")</f>
        <v>Stephen Chbosky</v>
      </c>
      <c r="C497" s="26">
        <v>364.0</v>
      </c>
      <c r="D497" s="27">
        <v>1.773857E7</v>
      </c>
      <c r="E497" s="26" t="s">
        <v>232</v>
      </c>
      <c r="F497" s="9">
        <f t="shared" si="1"/>
        <v>2</v>
      </c>
      <c r="G497" s="26" t="s">
        <v>2013</v>
      </c>
      <c r="H497" s="11" t="str">
        <f>IFERROR(__xludf.DUMMYFUNCTION("REGEXREPLACE(G497, ""[^0-9a-zA-Z .'Ã]"","""")"),"Logan Lerman")</f>
        <v>Logan Lerman</v>
      </c>
      <c r="I497" s="28" t="s">
        <v>2014</v>
      </c>
      <c r="J497" s="26">
        <v>351274.0</v>
      </c>
      <c r="K497" s="26" t="s">
        <v>2015</v>
      </c>
      <c r="L497" s="26">
        <v>457.0</v>
      </c>
      <c r="M497" s="26" t="s">
        <v>24</v>
      </c>
      <c r="N497" s="26" t="s">
        <v>25</v>
      </c>
      <c r="O497" s="27">
        <v>1.3E7</v>
      </c>
      <c r="P497" s="10">
        <f t="shared" si="2"/>
        <v>4738570</v>
      </c>
      <c r="Q497" s="12">
        <f t="shared" si="3"/>
        <v>0</v>
      </c>
      <c r="R497" s="26">
        <v>2012.0</v>
      </c>
      <c r="S497" s="26">
        <v>8.0</v>
      </c>
    </row>
    <row r="498" ht="15.75" customHeight="1">
      <c r="A498" s="17" t="s">
        <v>2016</v>
      </c>
      <c r="B498" s="8" t="str">
        <f>IFERROR(__xludf.DUMMYFUNCTION("REGEXREPLACE(A498, ""[^0-9a-zA-Z .'Ã]"","""")"),"Jon Stewart")</f>
        <v>Jon Stewart</v>
      </c>
      <c r="C498" s="18">
        <v>129.0</v>
      </c>
      <c r="D498" s="19">
        <v>3093491.0</v>
      </c>
      <c r="E498" s="18" t="s">
        <v>359</v>
      </c>
      <c r="F498" s="9">
        <f t="shared" si="1"/>
        <v>2</v>
      </c>
      <c r="G498" s="18" t="s">
        <v>2017</v>
      </c>
      <c r="H498" s="11" t="str">
        <f>IFERROR(__xludf.DUMMYFUNCTION("REGEXREPLACE(G498, ""[^0-9a-zA-Z .'Ã]"","""")"),"Numan Acar")</f>
        <v>Numan Acar</v>
      </c>
      <c r="I498" s="20" t="s">
        <v>2018</v>
      </c>
      <c r="J498" s="18">
        <v>8307.0</v>
      </c>
      <c r="K498" s="18" t="s">
        <v>2019</v>
      </c>
      <c r="L498" s="18">
        <v>37.0</v>
      </c>
      <c r="M498" s="18" t="s">
        <v>24</v>
      </c>
      <c r="N498" s="18" t="s">
        <v>25</v>
      </c>
      <c r="O498" s="19">
        <v>5000000.0</v>
      </c>
      <c r="P498" s="10">
        <f t="shared" si="2"/>
        <v>0</v>
      </c>
      <c r="Q498" s="12">
        <f t="shared" si="3"/>
        <v>1906509</v>
      </c>
      <c r="R498" s="18">
        <v>2014.0</v>
      </c>
      <c r="S498" s="18">
        <v>6.6</v>
      </c>
    </row>
    <row r="499" ht="15.75" customHeight="1">
      <c r="A499" s="21" t="s">
        <v>2020</v>
      </c>
      <c r="B499" s="8" t="str">
        <f>IFERROR(__xludf.DUMMYFUNCTION("REGEXREPLACE(A499, ""[^0-9a-zA-Z .'Ã]"","""")"),"Darren Aronofsky")</f>
        <v>Darren Aronofsky</v>
      </c>
      <c r="C499" s="22">
        <v>234.0</v>
      </c>
      <c r="D499" s="23">
        <v>3609278.0</v>
      </c>
      <c r="E499" s="22" t="s">
        <v>103</v>
      </c>
      <c r="F499" s="9">
        <f t="shared" si="1"/>
        <v>1</v>
      </c>
      <c r="G499" s="22" t="s">
        <v>133</v>
      </c>
      <c r="H499" s="11" t="str">
        <f>IFERROR(__xludf.DUMMYFUNCTION("REGEXREPLACE(G499, ""[^0-9a-zA-Z .'Ã]"","""")"),"Ellen Burstyn")</f>
        <v>Ellen Burstyn</v>
      </c>
      <c r="I499" s="24" t="s">
        <v>2021</v>
      </c>
      <c r="J499" s="22">
        <v>573541.0</v>
      </c>
      <c r="K499" s="22" t="s">
        <v>2022</v>
      </c>
      <c r="L499" s="22">
        <v>1916.0</v>
      </c>
      <c r="M499" s="22" t="s">
        <v>24</v>
      </c>
      <c r="N499" s="22" t="s">
        <v>25</v>
      </c>
      <c r="O499" s="23">
        <v>4500000.0</v>
      </c>
      <c r="P499" s="10">
        <f t="shared" si="2"/>
        <v>0</v>
      </c>
      <c r="Q499" s="12">
        <f t="shared" si="3"/>
        <v>890722</v>
      </c>
      <c r="R499" s="22">
        <v>2000.0</v>
      </c>
      <c r="S499" s="22">
        <v>8.4</v>
      </c>
    </row>
    <row r="500" ht="15.75" customHeight="1">
      <c r="A500" s="7" t="s">
        <v>2023</v>
      </c>
      <c r="B500" s="8" t="str">
        <f>IFERROR(__xludf.DUMMYFUNCTION("REGEXREPLACE(A500, ""[^0-9a-zA-Z .'Ã]"","""")"),"John Waters")</f>
        <v>John Waters</v>
      </c>
      <c r="C500" s="9">
        <v>90.0</v>
      </c>
      <c r="D500" s="10">
        <v>1276984.0</v>
      </c>
      <c r="E500" s="9" t="s">
        <v>589</v>
      </c>
      <c r="F500" s="9">
        <f t="shared" si="1"/>
        <v>3</v>
      </c>
      <c r="G500" s="9" t="s">
        <v>1800</v>
      </c>
      <c r="H500" s="11" t="str">
        <f>IFERROR(__xludf.DUMMYFUNCTION("REGEXREPLACE(G500, ""[^0-9a-zA-Z .'Ã]"","""")"),"Alicia Witt")</f>
        <v>Alicia Witt</v>
      </c>
      <c r="I500" s="11" t="s">
        <v>2024</v>
      </c>
      <c r="J500" s="9">
        <v>11403.0</v>
      </c>
      <c r="K500" s="9" t="s">
        <v>2025</v>
      </c>
      <c r="L500" s="9">
        <v>150.0</v>
      </c>
      <c r="M500" s="9" t="s">
        <v>24</v>
      </c>
      <c r="N500" s="9" t="s">
        <v>608</v>
      </c>
      <c r="O500" s="10">
        <v>1.0E7</v>
      </c>
      <c r="P500" s="10">
        <f t="shared" si="2"/>
        <v>0</v>
      </c>
      <c r="Q500" s="12">
        <f t="shared" si="3"/>
        <v>8723016</v>
      </c>
      <c r="R500" s="9">
        <v>2000.0</v>
      </c>
      <c r="S500" s="9">
        <v>6.2</v>
      </c>
    </row>
    <row r="501" ht="15.75" customHeight="1">
      <c r="A501" s="29" t="s">
        <v>2026</v>
      </c>
      <c r="B501" s="8" t="str">
        <f>IFERROR(__xludf.DUMMYFUNCTION("REGEXREPLACE(A501, ""[^0-9a-zA-Z .'Ã]"","""")"),"Martin McDonagh")</f>
        <v>Martin McDonagh</v>
      </c>
      <c r="C501" s="30">
        <v>401.0</v>
      </c>
      <c r="D501" s="31">
        <v>1.4989761E7</v>
      </c>
      <c r="E501" s="30" t="s">
        <v>440</v>
      </c>
      <c r="F501" s="9">
        <f t="shared" si="1"/>
        <v>2</v>
      </c>
      <c r="G501" s="30" t="s">
        <v>2027</v>
      </c>
      <c r="H501" s="11" t="str">
        <f>IFERROR(__xludf.DUMMYFUNCTION("REGEXREPLACE(G501, ""[^0-9a-zA-Z .'Ã]"","""")"),"Abbie Cornish")</f>
        <v>Abbie Cornish</v>
      </c>
      <c r="I501" s="32" t="s">
        <v>2028</v>
      </c>
      <c r="J501" s="30">
        <v>185845.0</v>
      </c>
      <c r="K501" s="30" t="s">
        <v>2029</v>
      </c>
      <c r="L501" s="30">
        <v>284.0</v>
      </c>
      <c r="M501" s="30" t="s">
        <v>24</v>
      </c>
      <c r="N501" s="30" t="s">
        <v>130</v>
      </c>
      <c r="O501" s="31">
        <v>1.5E7</v>
      </c>
      <c r="P501" s="10">
        <f t="shared" si="2"/>
        <v>0</v>
      </c>
      <c r="Q501" s="12">
        <f t="shared" si="3"/>
        <v>10239</v>
      </c>
      <c r="R501" s="30">
        <v>2012.0</v>
      </c>
      <c r="S501" s="30">
        <v>7.2</v>
      </c>
    </row>
    <row r="502" ht="15.75" customHeight="1">
      <c r="A502" s="17" t="s">
        <v>255</v>
      </c>
      <c r="B502" s="8" t="str">
        <f>IFERROR(__xludf.DUMMYFUNCTION("REGEXREPLACE(A502, ""[^0-9a-zA-Z .'Ã]"","""")"),"Eric Darnell")</f>
        <v>Eric Darnell</v>
      </c>
      <c r="C502" s="18">
        <v>153.0</v>
      </c>
      <c r="D502" s="19">
        <v>8.334892E7</v>
      </c>
      <c r="E502" s="18" t="s">
        <v>1813</v>
      </c>
      <c r="F502" s="9">
        <f t="shared" si="1"/>
        <v>4</v>
      </c>
      <c r="G502" s="18" t="s">
        <v>558</v>
      </c>
      <c r="H502" s="11" t="str">
        <f>IFERROR(__xludf.DUMMYFUNCTION("REGEXREPLACE(G502, ""[^0-9a-zA-Z .'Ã]"","""")"),"Benedict Cumberbatch")</f>
        <v>Benedict Cumberbatch</v>
      </c>
      <c r="I502" s="20" t="s">
        <v>2030</v>
      </c>
      <c r="J502" s="18">
        <v>60230.0</v>
      </c>
      <c r="K502" s="18" t="s">
        <v>2031</v>
      </c>
      <c r="L502" s="18">
        <v>118.0</v>
      </c>
      <c r="M502" s="18" t="s">
        <v>24</v>
      </c>
      <c r="N502" s="18" t="s">
        <v>25</v>
      </c>
      <c r="O502" s="19">
        <v>1.32E8</v>
      </c>
      <c r="P502" s="10">
        <f t="shared" si="2"/>
        <v>0</v>
      </c>
      <c r="Q502" s="12">
        <f t="shared" si="3"/>
        <v>48651080</v>
      </c>
      <c r="R502" s="18">
        <v>2014.0</v>
      </c>
      <c r="S502" s="18">
        <v>6.7</v>
      </c>
    </row>
    <row r="503" ht="15.75" customHeight="1">
      <c r="A503" s="7" t="s">
        <v>2032</v>
      </c>
      <c r="B503" s="8" t="str">
        <f>IFERROR(__xludf.DUMMYFUNCTION("REGEXREPLACE(A503, ""[^0-9a-zA-Z -.'Ã]"","""")"),"Florent-Emilio Siri")</f>
        <v>Florent-Emilio Siri</v>
      </c>
      <c r="C503" s="9">
        <v>152.0</v>
      </c>
      <c r="D503" s="10">
        <v>3.4636443E7</v>
      </c>
      <c r="E503" s="9" t="s">
        <v>610</v>
      </c>
      <c r="F503" s="9">
        <f t="shared" si="1"/>
        <v>5</v>
      </c>
      <c r="G503" s="9" t="s">
        <v>466</v>
      </c>
      <c r="H503" s="11" t="str">
        <f>IFERROR(__xludf.DUMMYFUNCTION("REGEXREPLACE(G503, ""[^0-9a-zA-Z .'Ã]"","""")"),"Jimmy Bennett")</f>
        <v>Jimmy Bennett</v>
      </c>
      <c r="I503" s="11" t="s">
        <v>2033</v>
      </c>
      <c r="J503" s="9">
        <v>93790.0</v>
      </c>
      <c r="K503" s="9" t="s">
        <v>2034</v>
      </c>
      <c r="L503" s="9">
        <v>288.0</v>
      </c>
      <c r="M503" s="9" t="s">
        <v>24</v>
      </c>
      <c r="N503" s="9" t="s">
        <v>25</v>
      </c>
      <c r="O503" s="10">
        <v>5.2E7</v>
      </c>
      <c r="P503" s="10">
        <f t="shared" si="2"/>
        <v>0</v>
      </c>
      <c r="Q503" s="12">
        <f t="shared" si="3"/>
        <v>17363557</v>
      </c>
      <c r="R503" s="9">
        <v>2005.0</v>
      </c>
      <c r="S503" s="9">
        <v>6.6</v>
      </c>
    </row>
    <row r="504" ht="15.75" customHeight="1">
      <c r="A504" s="17" t="s">
        <v>2035</v>
      </c>
      <c r="B504" s="8" t="str">
        <f>IFERROR(__xludf.DUMMYFUNCTION("REGEXREPLACE(A504, ""[^0-9a-zA-Z .'Ã]"","""")"),"Joseph Sargent")</f>
        <v>Joseph Sargent</v>
      </c>
      <c r="C504" s="18">
        <v>80.0</v>
      </c>
      <c r="D504" s="19">
        <v>2.0763013E7</v>
      </c>
      <c r="E504" s="18" t="s">
        <v>2036</v>
      </c>
      <c r="F504" s="9">
        <f t="shared" si="1"/>
        <v>3</v>
      </c>
      <c r="G504" s="18" t="s">
        <v>2037</v>
      </c>
      <c r="H504" s="11" t="str">
        <f>IFERROR(__xludf.DUMMYFUNCTION("REGEXREPLACE(G504, ""[^0-9a-zA-Z .'Ã]"","""")"),"Judith Barsi")</f>
        <v>Judith Barsi</v>
      </c>
      <c r="I504" s="20" t="s">
        <v>2038</v>
      </c>
      <c r="J504" s="18">
        <v>30840.0</v>
      </c>
      <c r="K504" s="18" t="s">
        <v>2039</v>
      </c>
      <c r="L504" s="18">
        <v>383.0</v>
      </c>
      <c r="M504" s="18" t="s">
        <v>24</v>
      </c>
      <c r="N504" s="18" t="s">
        <v>25</v>
      </c>
      <c r="O504" s="19">
        <v>2.3E7</v>
      </c>
      <c r="P504" s="10">
        <f t="shared" si="2"/>
        <v>0</v>
      </c>
      <c r="Q504" s="12">
        <f t="shared" si="3"/>
        <v>2236987</v>
      </c>
      <c r="R504" s="18">
        <v>1987.0</v>
      </c>
      <c r="S504" s="18">
        <v>2.8</v>
      </c>
    </row>
    <row r="505" ht="15.75" customHeight="1">
      <c r="A505" s="21" t="s">
        <v>2040</v>
      </c>
      <c r="B505" s="8" t="str">
        <f>IFERROR(__xludf.DUMMYFUNCTION("REGEXREPLACE(A505, ""[^0-9a-zA-Z .'Ã]"","""")"),"Andrew Wilson")</f>
        <v>Andrew Wilson</v>
      </c>
      <c r="C505" s="22">
        <v>32.0</v>
      </c>
      <c r="D505" s="23">
        <v>127144.0</v>
      </c>
      <c r="E505" s="22" t="s">
        <v>159</v>
      </c>
      <c r="F505" s="9">
        <f t="shared" si="1"/>
        <v>3</v>
      </c>
      <c r="G505" s="22" t="s">
        <v>441</v>
      </c>
      <c r="H505" s="11" t="str">
        <f>IFERROR(__xludf.DUMMYFUNCTION("REGEXREPLACE(G505, ""[^0-9a-zA-Z .'Ã]"","""")"),"Will Ferrell")</f>
        <v>Will Ferrell</v>
      </c>
      <c r="I505" s="24" t="s">
        <v>2041</v>
      </c>
      <c r="J505" s="22">
        <v>5159.0</v>
      </c>
      <c r="K505" s="22" t="s">
        <v>2042</v>
      </c>
      <c r="L505" s="22">
        <v>27.0</v>
      </c>
      <c r="M505" s="22" t="s">
        <v>24</v>
      </c>
      <c r="N505" s="22" t="s">
        <v>25</v>
      </c>
      <c r="O505" s="23">
        <v>8000000.0</v>
      </c>
      <c r="P505" s="10">
        <f t="shared" si="2"/>
        <v>0</v>
      </c>
      <c r="Q505" s="12">
        <f t="shared" si="3"/>
        <v>7872856</v>
      </c>
      <c r="R505" s="22">
        <v>2005.0</v>
      </c>
      <c r="S505" s="22">
        <v>5.5</v>
      </c>
    </row>
    <row r="506" ht="15.75" customHeight="1">
      <c r="A506" s="21" t="s">
        <v>2043</v>
      </c>
      <c r="B506" s="8" t="str">
        <f>IFERROR(__xludf.DUMMYFUNCTION("REGEXREPLACE(A506, ""[^0-9a-zA-Z .'Ã]"","""")"),"Akiva Schaffer")</f>
        <v>Akiva Schaffer</v>
      </c>
      <c r="C506" s="22">
        <v>265.0</v>
      </c>
      <c r="D506" s="23">
        <v>3.4350553E7</v>
      </c>
      <c r="E506" s="22" t="s">
        <v>1704</v>
      </c>
      <c r="F506" s="9">
        <f t="shared" si="1"/>
        <v>3</v>
      </c>
      <c r="G506" s="22" t="s">
        <v>1275</v>
      </c>
      <c r="H506" s="11" t="str">
        <f>IFERROR(__xludf.DUMMYFUNCTION("REGEXREPLACE(G506, ""[^0-9a-zA-Z .'Ã]"","""")"),"Will Forte")</f>
        <v>Will Forte</v>
      </c>
      <c r="I506" s="24" t="s">
        <v>2044</v>
      </c>
      <c r="J506" s="22">
        <v>104066.0</v>
      </c>
      <c r="K506" s="22" t="s">
        <v>2045</v>
      </c>
      <c r="L506" s="22">
        <v>207.0</v>
      </c>
      <c r="M506" s="22" t="s">
        <v>24</v>
      </c>
      <c r="N506" s="22" t="s">
        <v>25</v>
      </c>
      <c r="O506" s="23">
        <v>6.8E7</v>
      </c>
      <c r="P506" s="10">
        <f t="shared" si="2"/>
        <v>0</v>
      </c>
      <c r="Q506" s="12">
        <f t="shared" si="3"/>
        <v>33649447</v>
      </c>
      <c r="R506" s="22">
        <v>2012.0</v>
      </c>
      <c r="S506" s="22">
        <v>5.7</v>
      </c>
    </row>
    <row r="507" ht="15.75" customHeight="1">
      <c r="A507" s="29" t="s">
        <v>2046</v>
      </c>
      <c r="B507" s="8" t="str">
        <f>IFERROR(__xludf.DUMMYFUNCTION("REGEXREPLACE(A507, ""[^0-9a-zA-Z .'Ã]"","""")"),"John Fortenberry")</f>
        <v>John Fortenberry</v>
      </c>
      <c r="C507" s="30">
        <v>63.0</v>
      </c>
      <c r="D507" s="31">
        <v>3.0324946E7</v>
      </c>
      <c r="E507" s="30" t="s">
        <v>2047</v>
      </c>
      <c r="F507" s="9">
        <f t="shared" si="1"/>
        <v>3</v>
      </c>
      <c r="G507" s="30" t="s">
        <v>441</v>
      </c>
      <c r="H507" s="11" t="str">
        <f>IFERROR(__xludf.DUMMYFUNCTION("REGEXREPLACE(G507, ""[^0-9a-zA-Z .'Ã]"","""")"),"Will Ferrell")</f>
        <v>Will Ferrell</v>
      </c>
      <c r="I507" s="32" t="s">
        <v>2048</v>
      </c>
      <c r="J507" s="30">
        <v>48458.0</v>
      </c>
      <c r="K507" s="30" t="s">
        <v>2049</v>
      </c>
      <c r="L507" s="30">
        <v>239.0</v>
      </c>
      <c r="M507" s="30" t="s">
        <v>24</v>
      </c>
      <c r="N507" s="30" t="s">
        <v>25</v>
      </c>
      <c r="O507" s="31">
        <v>1.7E7</v>
      </c>
      <c r="P507" s="10">
        <f t="shared" si="2"/>
        <v>13324946</v>
      </c>
      <c r="Q507" s="12">
        <f t="shared" si="3"/>
        <v>0</v>
      </c>
      <c r="R507" s="30">
        <v>1998.0</v>
      </c>
      <c r="S507" s="30">
        <v>6.2</v>
      </c>
    </row>
    <row r="508" ht="15.75" customHeight="1">
      <c r="A508" s="29" t="s">
        <v>2050</v>
      </c>
      <c r="B508" s="8" t="str">
        <f>IFERROR(__xludf.DUMMYFUNCTION("REGEXREPLACE(A508, ""[^0-9a-zA-Z .'Ã]"","""")"),"George Roy Hill")</f>
        <v>George Roy Hill</v>
      </c>
      <c r="C508" s="30">
        <v>119.0</v>
      </c>
      <c r="D508" s="31">
        <v>1.596E8</v>
      </c>
      <c r="E508" s="30" t="s">
        <v>169</v>
      </c>
      <c r="F508" s="9">
        <f t="shared" si="1"/>
        <v>3</v>
      </c>
      <c r="G508" s="30" t="s">
        <v>2051</v>
      </c>
      <c r="H508" s="11" t="str">
        <f>IFERROR(__xludf.DUMMYFUNCTION("REGEXREPLACE(G508, ""[^0-9a-zA-Z .'Ã]"","""")"),"Eileen Brennan")</f>
        <v>Eileen Brennan</v>
      </c>
      <c r="I508" s="32" t="s">
        <v>2052</v>
      </c>
      <c r="J508" s="30">
        <v>175607.0</v>
      </c>
      <c r="K508" s="30" t="s">
        <v>2053</v>
      </c>
      <c r="L508" s="30">
        <v>252.0</v>
      </c>
      <c r="M508" s="30" t="s">
        <v>24</v>
      </c>
      <c r="N508" s="30" t="s">
        <v>25</v>
      </c>
      <c r="O508" s="31">
        <v>5500000.0</v>
      </c>
      <c r="P508" s="10">
        <f t="shared" si="2"/>
        <v>154100000</v>
      </c>
      <c r="Q508" s="12">
        <f t="shared" si="3"/>
        <v>0</v>
      </c>
      <c r="R508" s="30">
        <v>1973.0</v>
      </c>
      <c r="S508" s="30">
        <v>8.3</v>
      </c>
    </row>
    <row r="509" ht="15.75" customHeight="1">
      <c r="A509" s="21" t="s">
        <v>2054</v>
      </c>
      <c r="B509" s="8" t="str">
        <f>IFERROR(__xludf.DUMMYFUNCTION("REGEXREPLACE(A509, ""[^0-9a-zA-Z .'Ã]"","""")"),"Kevin Costner")</f>
        <v>Kevin Costner</v>
      </c>
      <c r="C509" s="22">
        <v>92.0</v>
      </c>
      <c r="D509" s="23">
        <v>1.84208848E8</v>
      </c>
      <c r="E509" s="22" t="s">
        <v>2055</v>
      </c>
      <c r="F509" s="9">
        <f t="shared" si="1"/>
        <v>3</v>
      </c>
      <c r="G509" s="22" t="s">
        <v>2056</v>
      </c>
      <c r="H509" s="11" t="str">
        <f>IFERROR(__xludf.DUMMYFUNCTION("REGEXREPLACE(G509, ""[^0-9a-zA-Z .'Ã]"","""")"),"Mary McDonnell")</f>
        <v>Mary McDonnell</v>
      </c>
      <c r="I509" s="24" t="s">
        <v>2057</v>
      </c>
      <c r="J509" s="22">
        <v>186485.0</v>
      </c>
      <c r="K509" s="22" t="s">
        <v>2058</v>
      </c>
      <c r="L509" s="22">
        <v>382.0</v>
      </c>
      <c r="M509" s="22" t="s">
        <v>24</v>
      </c>
      <c r="N509" s="22" t="s">
        <v>25</v>
      </c>
      <c r="O509" s="23">
        <v>2.2E7</v>
      </c>
      <c r="P509" s="10">
        <f t="shared" si="2"/>
        <v>162208848</v>
      </c>
      <c r="Q509" s="12">
        <f t="shared" si="3"/>
        <v>0</v>
      </c>
      <c r="R509" s="22">
        <v>1990.0</v>
      </c>
      <c r="S509" s="22">
        <v>8.0</v>
      </c>
    </row>
    <row r="510" ht="15.75" customHeight="1">
      <c r="A510" s="7" t="s">
        <v>2059</v>
      </c>
      <c r="B510" s="8" t="str">
        <f>IFERROR(__xludf.DUMMYFUNCTION("REGEXREPLACE(A510, ""[^0-9a-zA-Z .'Ã]"","""")"),"John Pasquin")</f>
        <v>John Pasquin</v>
      </c>
      <c r="C510" s="9">
        <v>64.0</v>
      </c>
      <c r="D510" s="10">
        <v>1.44833357E8</v>
      </c>
      <c r="E510" s="9" t="s">
        <v>2060</v>
      </c>
      <c r="F510" s="9">
        <f t="shared" si="1"/>
        <v>4</v>
      </c>
      <c r="G510" s="9" t="s">
        <v>2061</v>
      </c>
      <c r="H510" s="11" t="str">
        <f>IFERROR(__xludf.DUMMYFUNCTION("REGEXREPLACE(G510, ""[^0-9a-zA-Z .'Ã]"","""")"),"Judge Reinhold")</f>
        <v>Judge Reinhold</v>
      </c>
      <c r="I510" s="11" t="s">
        <v>2062</v>
      </c>
      <c r="J510" s="9">
        <v>64742.0</v>
      </c>
      <c r="K510" s="9" t="s">
        <v>2063</v>
      </c>
      <c r="L510" s="9">
        <v>111.0</v>
      </c>
      <c r="M510" s="9" t="s">
        <v>24</v>
      </c>
      <c r="N510" s="9" t="s">
        <v>25</v>
      </c>
      <c r="O510" s="10">
        <v>2.2E7</v>
      </c>
      <c r="P510" s="10">
        <f t="shared" si="2"/>
        <v>122833357</v>
      </c>
      <c r="Q510" s="12">
        <f t="shared" si="3"/>
        <v>0</v>
      </c>
      <c r="R510" s="9">
        <v>1994.0</v>
      </c>
      <c r="S510" s="9">
        <v>6.4</v>
      </c>
    </row>
    <row r="511" ht="15.75" customHeight="1">
      <c r="A511" s="13" t="s">
        <v>2064</v>
      </c>
      <c r="B511" s="8" t="str">
        <f>IFERROR(__xludf.DUMMYFUNCTION("REGEXREPLACE(A511, ""[^0-9a-zA-Z .'Ã]"","""")"),"Marc Webb")</f>
        <v>Marc Webb</v>
      </c>
      <c r="C511" s="14">
        <v>599.0</v>
      </c>
      <c r="D511" s="15">
        <v>2.62030663E8</v>
      </c>
      <c r="E511" s="14" t="s">
        <v>278</v>
      </c>
      <c r="F511" s="9">
        <f t="shared" si="1"/>
        <v>3</v>
      </c>
      <c r="G511" s="14" t="s">
        <v>497</v>
      </c>
      <c r="H511" s="11" t="str">
        <f>IFERROR(__xludf.DUMMYFUNCTION("REGEXREPLACE(G511, ""[^0-9a-zA-Z .'Ã]"","""")"),"Emma Stone")</f>
        <v>Emma Stone</v>
      </c>
      <c r="I511" s="16" t="s">
        <v>2065</v>
      </c>
      <c r="J511" s="14">
        <v>451803.0</v>
      </c>
      <c r="K511" s="14" t="s">
        <v>2066</v>
      </c>
      <c r="L511" s="14">
        <v>1225.0</v>
      </c>
      <c r="M511" s="14" t="s">
        <v>24</v>
      </c>
      <c r="N511" s="14" t="s">
        <v>25</v>
      </c>
      <c r="O511" s="15">
        <v>2.3E8</v>
      </c>
      <c r="P511" s="10">
        <f t="shared" si="2"/>
        <v>32030663</v>
      </c>
      <c r="Q511" s="12">
        <f t="shared" si="3"/>
        <v>0</v>
      </c>
      <c r="R511" s="14">
        <v>2012.0</v>
      </c>
      <c r="S511" s="14">
        <v>7.0</v>
      </c>
    </row>
    <row r="512" ht="15.75" customHeight="1">
      <c r="A512" s="7" t="s">
        <v>269</v>
      </c>
      <c r="B512" s="8" t="str">
        <f>IFERROR(__xludf.DUMMYFUNCTION("REGEXREPLACE(A512, ""[^0-9a-zA-Z .'Ã]"","""")"),"Lee Tamahori")</f>
        <v>Lee Tamahori</v>
      </c>
      <c r="C512" s="9">
        <v>167.0</v>
      </c>
      <c r="D512" s="10">
        <v>1357042.0</v>
      </c>
      <c r="E512" s="9" t="s">
        <v>431</v>
      </c>
      <c r="F512" s="9">
        <f t="shared" si="1"/>
        <v>3</v>
      </c>
      <c r="G512" s="9" t="s">
        <v>2067</v>
      </c>
      <c r="H512" s="11" t="str">
        <f>IFERROR(__xludf.DUMMYFUNCTION("REGEXREPLACE(G512, ""[^0-9a-zA-Z .'Ã]"","""")"),"Mem Ferda")</f>
        <v>Mem Ferda</v>
      </c>
      <c r="I512" s="11" t="s">
        <v>2068</v>
      </c>
      <c r="J512" s="9">
        <v>53977.0</v>
      </c>
      <c r="K512" s="9" t="s">
        <v>2069</v>
      </c>
      <c r="L512" s="9">
        <v>125.0</v>
      </c>
      <c r="M512" s="9" t="s">
        <v>24</v>
      </c>
      <c r="N512" s="9" t="s">
        <v>2070</v>
      </c>
      <c r="O512" s="10">
        <v>1.5E7</v>
      </c>
      <c r="P512" s="10">
        <f t="shared" si="2"/>
        <v>0</v>
      </c>
      <c r="Q512" s="12">
        <f t="shared" si="3"/>
        <v>13642958</v>
      </c>
      <c r="R512" s="9">
        <v>2011.0</v>
      </c>
      <c r="S512" s="9">
        <v>7.1</v>
      </c>
    </row>
    <row r="513" ht="15.75" customHeight="1">
      <c r="A513" s="29" t="s">
        <v>2071</v>
      </c>
      <c r="B513" s="8" t="str">
        <f>IFERROR(__xludf.DUMMYFUNCTION("REGEXREPLACE(A513, ""[^0-9a-zA-Z .'Ã]"","""")"),"Oliver Parker")</f>
        <v>Oliver Parker</v>
      </c>
      <c r="C513" s="30">
        <v>104.0</v>
      </c>
      <c r="D513" s="31">
        <v>8378141.0</v>
      </c>
      <c r="E513" s="30" t="s">
        <v>159</v>
      </c>
      <c r="F513" s="9">
        <f t="shared" si="1"/>
        <v>3</v>
      </c>
      <c r="G513" s="30" t="s">
        <v>542</v>
      </c>
      <c r="H513" s="11" t="str">
        <f>IFERROR(__xludf.DUMMYFUNCTION("REGEXREPLACE(G513, ""[^0-9a-zA-Z .'Ã]"","""")"),"Colin Firth")</f>
        <v>Colin Firth</v>
      </c>
      <c r="I513" s="32" t="s">
        <v>2072</v>
      </c>
      <c r="J513" s="30">
        <v>18966.0</v>
      </c>
      <c r="K513" s="30" t="s">
        <v>2073</v>
      </c>
      <c r="L513" s="30">
        <v>141.0</v>
      </c>
      <c r="M513" s="30" t="s">
        <v>24</v>
      </c>
      <c r="N513" s="30" t="s">
        <v>130</v>
      </c>
      <c r="O513" s="31">
        <v>1.5E7</v>
      </c>
      <c r="P513" s="10">
        <f t="shared" si="2"/>
        <v>0</v>
      </c>
      <c r="Q513" s="12">
        <f t="shared" si="3"/>
        <v>6621859</v>
      </c>
      <c r="R513" s="30">
        <v>2002.0</v>
      </c>
      <c r="S513" s="30">
        <v>6.9</v>
      </c>
    </row>
    <row r="514" ht="15.75" customHeight="1">
      <c r="A514" s="7" t="s">
        <v>2074</v>
      </c>
      <c r="B514" s="8" t="str">
        <f>IFERROR(__xludf.DUMMYFUNCTION("REGEXREPLACE(A514, ""[^0-9a-zA-Z .'Ã]"","""")"),"James Bobin")</f>
        <v>James Bobin</v>
      </c>
      <c r="C514" s="9">
        <v>398.0</v>
      </c>
      <c r="D514" s="10">
        <v>8.8625922E7</v>
      </c>
      <c r="E514" s="9" t="s">
        <v>2075</v>
      </c>
      <c r="F514" s="9">
        <f t="shared" si="1"/>
        <v>4</v>
      </c>
      <c r="G514" s="9" t="s">
        <v>942</v>
      </c>
      <c r="H514" s="11" t="str">
        <f>IFERROR(__xludf.DUMMYFUNCTION("REGEXREPLACE(G514, ""[^0-9a-zA-Z .'Ã]"","""")"),"Bill Cobbs")</f>
        <v>Bill Cobbs</v>
      </c>
      <c r="I514" s="11" t="s">
        <v>2076</v>
      </c>
      <c r="J514" s="9">
        <v>75176.0</v>
      </c>
      <c r="K514" s="9" t="s">
        <v>2077</v>
      </c>
      <c r="L514" s="9">
        <v>252.0</v>
      </c>
      <c r="M514" s="9" t="s">
        <v>24</v>
      </c>
      <c r="N514" s="9" t="s">
        <v>25</v>
      </c>
      <c r="O514" s="10">
        <v>4.5E7</v>
      </c>
      <c r="P514" s="10">
        <f t="shared" si="2"/>
        <v>43625922</v>
      </c>
      <c r="Q514" s="12">
        <f t="shared" si="3"/>
        <v>0</v>
      </c>
      <c r="R514" s="9">
        <v>2011.0</v>
      </c>
      <c r="S514" s="9">
        <v>7.1</v>
      </c>
    </row>
    <row r="515" ht="15.75" customHeight="1">
      <c r="A515" s="7" t="s">
        <v>2078</v>
      </c>
      <c r="B515" s="8" t="str">
        <f>IFERROR(__xludf.DUMMYFUNCTION("REGEXREPLACE(A515, ""[^0-9a-zA-Z .'Ã]"","""")"),"Howard Zieff")</f>
        <v>Howard Zieff</v>
      </c>
      <c r="C515" s="9">
        <v>31.0</v>
      </c>
      <c r="D515" s="10">
        <v>5.9847242E7</v>
      </c>
      <c r="E515" s="9" t="s">
        <v>2079</v>
      </c>
      <c r="F515" s="9">
        <f t="shared" si="1"/>
        <v>4</v>
      </c>
      <c r="G515" s="9" t="s">
        <v>2080</v>
      </c>
      <c r="H515" s="11" t="str">
        <f>IFERROR(__xludf.DUMMYFUNCTION("REGEXREPLACE(G515, ""[^0-9a-zA-Z .'Ã]"","""")"),"Macaulay Culkin")</f>
        <v>Macaulay Culkin</v>
      </c>
      <c r="I515" s="11" t="s">
        <v>2081</v>
      </c>
      <c r="J515" s="9">
        <v>55895.0</v>
      </c>
      <c r="K515" s="9" t="s">
        <v>2082</v>
      </c>
      <c r="L515" s="9">
        <v>115.0</v>
      </c>
      <c r="M515" s="9" t="s">
        <v>24</v>
      </c>
      <c r="N515" s="9" t="s">
        <v>25</v>
      </c>
      <c r="O515" s="10">
        <v>1.65E7</v>
      </c>
      <c r="P515" s="10">
        <f t="shared" si="2"/>
        <v>43347242</v>
      </c>
      <c r="Q515" s="12">
        <f t="shared" si="3"/>
        <v>0</v>
      </c>
      <c r="R515" s="9">
        <v>1991.0</v>
      </c>
      <c r="S515" s="9">
        <v>6.8</v>
      </c>
    </row>
    <row r="516" ht="15.75" customHeight="1">
      <c r="A516" s="21" t="s">
        <v>860</v>
      </c>
      <c r="B516" s="8" t="str">
        <f>IFERROR(__xludf.DUMMYFUNCTION("REGEXREPLACE(A516, ""[^0-9a-zA-Z .'Ã]"","""")"),"Michael Bay")</f>
        <v>Michael Bay</v>
      </c>
      <c r="C516" s="22">
        <v>122.0</v>
      </c>
      <c r="D516" s="23">
        <v>1.34006721E8</v>
      </c>
      <c r="E516" s="22" t="s">
        <v>474</v>
      </c>
      <c r="F516" s="9">
        <f t="shared" si="1"/>
        <v>3</v>
      </c>
      <c r="G516" s="22" t="s">
        <v>458</v>
      </c>
      <c r="H516" s="11" t="str">
        <f>IFERROR(__xludf.DUMMYFUNCTION("REGEXREPLACE(G516, ""[^0-9a-zA-Z .'Ã]"","""")"),"Nicolas Cage")</f>
        <v>Nicolas Cage</v>
      </c>
      <c r="I516" s="24" t="s">
        <v>2083</v>
      </c>
      <c r="J516" s="22">
        <v>259492.0</v>
      </c>
      <c r="K516" s="22" t="s">
        <v>2084</v>
      </c>
      <c r="L516" s="22">
        <v>415.0</v>
      </c>
      <c r="M516" s="22" t="s">
        <v>24</v>
      </c>
      <c r="N516" s="22" t="s">
        <v>25</v>
      </c>
      <c r="O516" s="23">
        <v>7.5E7</v>
      </c>
      <c r="P516" s="10">
        <f t="shared" si="2"/>
        <v>59006721</v>
      </c>
      <c r="Q516" s="12">
        <f t="shared" si="3"/>
        <v>0</v>
      </c>
      <c r="R516" s="22">
        <v>1996.0</v>
      </c>
      <c r="S516" s="22">
        <v>7.4</v>
      </c>
    </row>
    <row r="517" ht="15.75" customHeight="1">
      <c r="A517" s="7" t="s">
        <v>2085</v>
      </c>
      <c r="B517" s="8" t="str">
        <f>IFERROR(__xludf.DUMMYFUNCTION("REGEXREPLACE(A517, ""[^0-9a-zA-Z .'Ã]"","""")"),"Finn Taylor")</f>
        <v>Finn Taylor</v>
      </c>
      <c r="C517" s="9">
        <v>28.0</v>
      </c>
      <c r="D517" s="10">
        <v>464655.0</v>
      </c>
      <c r="E517" s="9" t="s">
        <v>454</v>
      </c>
      <c r="F517" s="9">
        <f t="shared" si="1"/>
        <v>2</v>
      </c>
      <c r="G517" s="9" t="s">
        <v>2086</v>
      </c>
      <c r="H517" s="11" t="str">
        <f>IFERROR(__xludf.DUMMYFUNCTION("REGEXREPLACE(G517, ""[^0-9a-zA-Z .'Ã]"","""")"),"David Arquette")</f>
        <v>David Arquette</v>
      </c>
      <c r="I517" s="11" t="s">
        <v>2087</v>
      </c>
      <c r="J517" s="9">
        <v>1524.0</v>
      </c>
      <c r="K517" s="9" t="s">
        <v>2088</v>
      </c>
      <c r="L517" s="9">
        <v>29.0</v>
      </c>
      <c r="M517" s="9" t="s">
        <v>24</v>
      </c>
      <c r="N517" s="9" t="s">
        <v>25</v>
      </c>
      <c r="O517" s="10">
        <v>1000000.0</v>
      </c>
      <c r="P517" s="10">
        <f t="shared" si="2"/>
        <v>0</v>
      </c>
      <c r="Q517" s="12">
        <f t="shared" si="3"/>
        <v>535345</v>
      </c>
      <c r="R517" s="9">
        <v>1997.0</v>
      </c>
      <c r="S517" s="9">
        <v>7.0</v>
      </c>
    </row>
    <row r="518" ht="15.75" customHeight="1">
      <c r="A518" s="29" t="s">
        <v>2089</v>
      </c>
      <c r="B518" s="8" t="str">
        <f>IFERROR(__xludf.DUMMYFUNCTION("REGEXREPLACE(A518, ""[^0-9a-zA-Z .'Ã]"","""")"),"Ken Kwapis")</f>
        <v>Ken Kwapis</v>
      </c>
      <c r="C518" s="30">
        <v>88.0</v>
      </c>
      <c r="D518" s="31">
        <v>3.9008741E7</v>
      </c>
      <c r="E518" s="30" t="s">
        <v>2079</v>
      </c>
      <c r="F518" s="9">
        <f t="shared" si="1"/>
        <v>4</v>
      </c>
      <c r="G518" s="30" t="s">
        <v>2090</v>
      </c>
      <c r="H518" s="11" t="str">
        <f>IFERROR(__xludf.DUMMYFUNCTION("REGEXREPLACE(G518, ""[^0-9a-zA-Z .'Ã]"","""")"),"Mike Vogel")</f>
        <v>Mike Vogel</v>
      </c>
      <c r="I518" s="32" t="s">
        <v>2091</v>
      </c>
      <c r="J518" s="30">
        <v>44838.0</v>
      </c>
      <c r="K518" s="30" t="s">
        <v>2092</v>
      </c>
      <c r="L518" s="30">
        <v>223.0</v>
      </c>
      <c r="M518" s="30" t="s">
        <v>24</v>
      </c>
      <c r="N518" s="30" t="s">
        <v>25</v>
      </c>
      <c r="O518" s="31">
        <v>2.5E7</v>
      </c>
      <c r="P518" s="10">
        <f t="shared" si="2"/>
        <v>14008741</v>
      </c>
      <c r="Q518" s="12">
        <f t="shared" si="3"/>
        <v>0</v>
      </c>
      <c r="R518" s="30">
        <v>2005.0</v>
      </c>
      <c r="S518" s="30">
        <v>6.6</v>
      </c>
    </row>
    <row r="519" ht="15.75" customHeight="1">
      <c r="A519" s="7" t="s">
        <v>714</v>
      </c>
      <c r="B519" s="8" t="str">
        <f>IFERROR(__xludf.DUMMYFUNCTION("REGEXREPLACE(A519, ""[^0-9a-zA-Z .'Ã]"","""")"),"Jon M. Chu")</f>
        <v>Jon M. Chu</v>
      </c>
      <c r="C519" s="9">
        <v>196.0</v>
      </c>
      <c r="D519" s="10">
        <v>6.4685359E7</v>
      </c>
      <c r="E519" s="9" t="s">
        <v>2093</v>
      </c>
      <c r="F519" s="9">
        <f t="shared" si="1"/>
        <v>6</v>
      </c>
      <c r="G519" s="9" t="s">
        <v>2094</v>
      </c>
      <c r="H519" s="11" t="str">
        <f>IFERROR(__xludf.DUMMYFUNCTION("REGEXREPLACE(G519, ""[^0-9a-zA-Z .'Ã]"","""")"),"Daniel Radcliffe")</f>
        <v>Daniel Radcliffe</v>
      </c>
      <c r="I519" s="11" t="s">
        <v>2095</v>
      </c>
      <c r="J519" s="9">
        <v>40862.0</v>
      </c>
      <c r="K519" s="9" t="s">
        <v>2096</v>
      </c>
      <c r="L519" s="9">
        <v>139.0</v>
      </c>
      <c r="M519" s="9" t="s">
        <v>24</v>
      </c>
      <c r="N519" s="9" t="s">
        <v>25</v>
      </c>
      <c r="O519" s="10">
        <v>9.0E7</v>
      </c>
      <c r="P519" s="10">
        <f t="shared" si="2"/>
        <v>0</v>
      </c>
      <c r="Q519" s="12">
        <f t="shared" si="3"/>
        <v>25314641</v>
      </c>
      <c r="R519" s="9">
        <v>2016.0</v>
      </c>
      <c r="S519" s="9">
        <v>6.9</v>
      </c>
    </row>
    <row r="520" ht="15.75" customHeight="1">
      <c r="A520" s="21" t="s">
        <v>2097</v>
      </c>
      <c r="B520" s="8" t="str">
        <f>IFERROR(__xludf.DUMMYFUNCTION("REGEXREPLACE(A520, ""[^0-9a-zA-Z .'Ã]"","""")"),"Dennis Dugan")</f>
        <v>Dennis Dugan</v>
      </c>
      <c r="C520" s="22">
        <v>139.0</v>
      </c>
      <c r="D520" s="23">
        <v>1.33668525E8</v>
      </c>
      <c r="E520" s="22" t="s">
        <v>137</v>
      </c>
      <c r="F520" s="9">
        <f t="shared" si="1"/>
        <v>1</v>
      </c>
      <c r="G520" s="22" t="s">
        <v>453</v>
      </c>
      <c r="H520" s="11" t="str">
        <f>IFERROR(__xludf.DUMMYFUNCTION("REGEXREPLACE(G520, ""[^0-9a-zA-Z .'Ã]"","""")"),"Steve Buscemi")</f>
        <v>Steve Buscemi</v>
      </c>
      <c r="I520" s="24" t="s">
        <v>2098</v>
      </c>
      <c r="J520" s="22">
        <v>107817.0</v>
      </c>
      <c r="K520" s="22" t="s">
        <v>2099</v>
      </c>
      <c r="L520" s="22">
        <v>255.0</v>
      </c>
      <c r="M520" s="22" t="s">
        <v>24</v>
      </c>
      <c r="N520" s="22" t="s">
        <v>25</v>
      </c>
      <c r="O520" s="23">
        <v>8.0E7</v>
      </c>
      <c r="P520" s="10">
        <f t="shared" si="2"/>
        <v>53668525</v>
      </c>
      <c r="Q520" s="12">
        <f t="shared" si="3"/>
        <v>0</v>
      </c>
      <c r="R520" s="22">
        <v>2013.0</v>
      </c>
      <c r="S520" s="22">
        <v>5.4</v>
      </c>
    </row>
    <row r="521" ht="15.75" customHeight="1">
      <c r="A521" s="21" t="s">
        <v>1371</v>
      </c>
      <c r="B521" s="8" t="str">
        <f>IFERROR(__xludf.DUMMYFUNCTION("REGEXREPLACE(A521, ""[^0-9a-zA-Z .'Ã]"","""")"),"J.J. Abrams")</f>
        <v>J.J. Abrams</v>
      </c>
      <c r="C521" s="22">
        <v>518.0</v>
      </c>
      <c r="D521" s="23">
        <v>2.57704099E8</v>
      </c>
      <c r="E521" s="22" t="s">
        <v>185</v>
      </c>
      <c r="F521" s="9">
        <f t="shared" si="1"/>
        <v>3</v>
      </c>
      <c r="G521" s="22" t="s">
        <v>1439</v>
      </c>
      <c r="H521" s="11" t="str">
        <f>IFERROR(__xludf.DUMMYFUNCTION("REGEXREPLACE(G521, ""[^0-9a-zA-Z .'Ã]"","""")"),"Chris Hemsworth")</f>
        <v>Chris Hemsworth</v>
      </c>
      <c r="I521" s="24" t="s">
        <v>2100</v>
      </c>
      <c r="J521" s="22">
        <v>504419.0</v>
      </c>
      <c r="K521" s="22" t="s">
        <v>2101</v>
      </c>
      <c r="L521" s="22">
        <v>1559.0</v>
      </c>
      <c r="M521" s="22" t="s">
        <v>24</v>
      </c>
      <c r="N521" s="22" t="s">
        <v>25</v>
      </c>
      <c r="O521" s="23">
        <v>1.5E8</v>
      </c>
      <c r="P521" s="10">
        <f t="shared" si="2"/>
        <v>107704099</v>
      </c>
      <c r="Q521" s="12">
        <f t="shared" si="3"/>
        <v>0</v>
      </c>
      <c r="R521" s="22">
        <v>2009.0</v>
      </c>
      <c r="S521" s="22">
        <v>8.0</v>
      </c>
    </row>
    <row r="522" ht="15.75" customHeight="1">
      <c r="A522" s="29" t="s">
        <v>2102</v>
      </c>
      <c r="B522" s="8" t="str">
        <f>IFERROR(__xludf.DUMMYFUNCTION("REGEXREPLACE(A522, ""[^0-9a-zA-Z .'Ã]"","""")"),"James Gunn")</f>
        <v>James Gunn</v>
      </c>
      <c r="C522" s="30">
        <v>238.0</v>
      </c>
      <c r="D522" s="31">
        <v>322157.0</v>
      </c>
      <c r="E522" s="30" t="s">
        <v>169</v>
      </c>
      <c r="F522" s="9">
        <f t="shared" si="1"/>
        <v>3</v>
      </c>
      <c r="G522" s="30" t="s">
        <v>2103</v>
      </c>
      <c r="H522" s="11" t="str">
        <f>IFERROR(__xludf.DUMMYFUNCTION("REGEXREPLACE(G522, ""[^0-9a-zA-Z .'Ã]"","""")"),"Linda Cardellini")</f>
        <v>Linda Cardellini</v>
      </c>
      <c r="I522" s="32" t="s">
        <v>2104</v>
      </c>
      <c r="J522" s="30">
        <v>61787.0</v>
      </c>
      <c r="K522" s="30" t="s">
        <v>2105</v>
      </c>
      <c r="L522" s="30">
        <v>203.0</v>
      </c>
      <c r="M522" s="30" t="s">
        <v>24</v>
      </c>
      <c r="N522" s="30" t="s">
        <v>25</v>
      </c>
      <c r="O522" s="31">
        <v>2500000.0</v>
      </c>
      <c r="P522" s="10">
        <f t="shared" si="2"/>
        <v>0</v>
      </c>
      <c r="Q522" s="12">
        <f t="shared" si="3"/>
        <v>2177843</v>
      </c>
      <c r="R522" s="30">
        <v>2010.0</v>
      </c>
      <c r="S522" s="30">
        <v>6.8</v>
      </c>
    </row>
    <row r="523" ht="15.75" customHeight="1">
      <c r="A523" s="29" t="s">
        <v>2106</v>
      </c>
      <c r="B523" s="8" t="str">
        <f>IFERROR(__xludf.DUMMYFUNCTION("REGEXREPLACE(A523, ""[^0-9a-zA-Z .'Ã]"","""")"),"Mic Rodgers")</f>
        <v>Mic Rodgers</v>
      </c>
      <c r="C523" s="30">
        <v>75.0</v>
      </c>
      <c r="D523" s="31">
        <v>1.043122E7</v>
      </c>
      <c r="E523" s="30" t="s">
        <v>848</v>
      </c>
      <c r="F523" s="9">
        <f t="shared" si="1"/>
        <v>2</v>
      </c>
      <c r="G523" s="30" t="s">
        <v>2107</v>
      </c>
      <c r="H523" s="11" t="str">
        <f>IFERROR(__xludf.DUMMYFUNCTION("REGEXREPLACE(G523, ""[^0-9a-zA-Z .'Ã]"","""")"),"Michael Jai White")</f>
        <v>Michael Jai White</v>
      </c>
      <c r="I523" s="32" t="s">
        <v>2108</v>
      </c>
      <c r="J523" s="30">
        <v>24216.0</v>
      </c>
      <c r="K523" s="30" t="s">
        <v>2109</v>
      </c>
      <c r="L523" s="30">
        <v>162.0</v>
      </c>
      <c r="M523" s="30" t="s">
        <v>24</v>
      </c>
      <c r="N523" s="30" t="s">
        <v>25</v>
      </c>
      <c r="O523" s="31">
        <v>2.4E7</v>
      </c>
      <c r="P523" s="10">
        <f t="shared" si="2"/>
        <v>0</v>
      </c>
      <c r="Q523" s="12">
        <f t="shared" si="3"/>
        <v>13568780</v>
      </c>
      <c r="R523" s="30">
        <v>1999.0</v>
      </c>
      <c r="S523" s="30">
        <v>4.1</v>
      </c>
    </row>
    <row r="524" ht="15.75" customHeight="1">
      <c r="A524" s="7" t="s">
        <v>174</v>
      </c>
      <c r="B524" s="8" t="str">
        <f>IFERROR(__xludf.DUMMYFUNCTION("REGEXREPLACE(A524, ""[^0-9a-zA-Z .'Ã]"","""")"),"Roland Emmerich")</f>
        <v>Roland Emmerich</v>
      </c>
      <c r="C524" s="9">
        <v>367.0</v>
      </c>
      <c r="D524" s="10">
        <v>1.66112167E8</v>
      </c>
      <c r="E524" s="9" t="s">
        <v>185</v>
      </c>
      <c r="F524" s="9">
        <f t="shared" si="1"/>
        <v>3</v>
      </c>
      <c r="G524" s="9" t="s">
        <v>109</v>
      </c>
      <c r="H524" s="11" t="str">
        <f>IFERROR(__xludf.DUMMYFUNCTION("REGEXREPLACE(G524, ""[^0-9a-zA-Z .'Ã]"","""")"),"Oliver Platt")</f>
        <v>Oliver Platt</v>
      </c>
      <c r="I524" s="11" t="s">
        <v>2110</v>
      </c>
      <c r="J524" s="9">
        <v>283418.0</v>
      </c>
      <c r="K524" s="9" t="s">
        <v>2111</v>
      </c>
      <c r="L524" s="9">
        <v>1055.0</v>
      </c>
      <c r="M524" s="9" t="s">
        <v>24</v>
      </c>
      <c r="N524" s="9" t="s">
        <v>25</v>
      </c>
      <c r="O524" s="10">
        <v>2.0E8</v>
      </c>
      <c r="P524" s="10">
        <f t="shared" si="2"/>
        <v>0</v>
      </c>
      <c r="Q524" s="12">
        <f t="shared" si="3"/>
        <v>33887833</v>
      </c>
      <c r="R524" s="9">
        <v>2009.0</v>
      </c>
      <c r="S524" s="9">
        <v>5.8</v>
      </c>
    </row>
    <row r="525" ht="15.75" customHeight="1">
      <c r="A525" s="7" t="s">
        <v>672</v>
      </c>
      <c r="B525" s="8" t="str">
        <f>IFERROR(__xludf.DUMMYFUNCTION("REGEXREPLACE(A525, ""[^0-9a-zA-Z .'Ã]"","""")"),"Peter Weir")</f>
        <v>Peter Weir</v>
      </c>
      <c r="C525" s="9">
        <v>213.0</v>
      </c>
      <c r="D525" s="10">
        <v>1.2560336E8</v>
      </c>
      <c r="E525" s="9" t="s">
        <v>2112</v>
      </c>
      <c r="F525" s="9">
        <f t="shared" si="1"/>
        <v>3</v>
      </c>
      <c r="G525" s="9" t="s">
        <v>2113</v>
      </c>
      <c r="H525" s="11" t="str">
        <f>IFERROR(__xludf.DUMMYFUNCTION("REGEXREPLACE(G525, ""[^0-9a-zA-Z .'Ã]"","""")"),"Natascha McElhone")</f>
        <v>Natascha McElhone</v>
      </c>
      <c r="I525" s="11" t="s">
        <v>2114</v>
      </c>
      <c r="J525" s="9">
        <v>667983.0</v>
      </c>
      <c r="K525" s="9" t="s">
        <v>2115</v>
      </c>
      <c r="L525" s="9">
        <v>877.0</v>
      </c>
      <c r="M525" s="9" t="s">
        <v>24</v>
      </c>
      <c r="N525" s="9" t="s">
        <v>25</v>
      </c>
      <c r="O525" s="10">
        <v>6.0E7</v>
      </c>
      <c r="P525" s="10">
        <f t="shared" si="2"/>
        <v>65603360</v>
      </c>
      <c r="Q525" s="12">
        <f t="shared" si="3"/>
        <v>0</v>
      </c>
      <c r="R525" s="9">
        <v>1998.0</v>
      </c>
      <c r="S525" s="9">
        <v>8.1</v>
      </c>
    </row>
    <row r="526" ht="15.75" customHeight="1">
      <c r="A526" s="17" t="s">
        <v>2116</v>
      </c>
      <c r="B526" s="8" t="str">
        <f>IFERROR(__xludf.DUMMYFUNCTION("REGEXREPLACE(A526, ""[^0-9a-zA-Z .'Ã]"","""")"),"Franco Zeffirelli")</f>
        <v>Franco Zeffirelli</v>
      </c>
      <c r="C526" s="18">
        <v>62.0</v>
      </c>
      <c r="D526" s="19">
        <v>1.4348123E7</v>
      </c>
      <c r="E526" s="18" t="s">
        <v>2117</v>
      </c>
      <c r="F526" s="9">
        <f t="shared" si="1"/>
        <v>3</v>
      </c>
      <c r="G526" s="18" t="s">
        <v>2118</v>
      </c>
      <c r="H526" s="11" t="str">
        <f>IFERROR(__xludf.DUMMYFUNCTION("REGEXREPLACE(G526, ""[^0-9a-zA-Z .'Ã]"","""")"),"Lily Tomlin")</f>
        <v>Lily Tomlin</v>
      </c>
      <c r="I526" s="20" t="s">
        <v>2119</v>
      </c>
      <c r="J526" s="18">
        <v>9323.0</v>
      </c>
      <c r="K526" s="18" t="s">
        <v>2120</v>
      </c>
      <c r="L526" s="18">
        <v>157.0</v>
      </c>
      <c r="M526" s="18" t="s">
        <v>24</v>
      </c>
      <c r="N526" s="18" t="s">
        <v>42</v>
      </c>
      <c r="O526" s="19">
        <v>1.2E7</v>
      </c>
      <c r="P526" s="10">
        <f t="shared" si="2"/>
        <v>2348123</v>
      </c>
      <c r="Q526" s="12">
        <f t="shared" si="3"/>
        <v>0</v>
      </c>
      <c r="R526" s="18">
        <v>1999.0</v>
      </c>
      <c r="S526" s="18">
        <v>6.9</v>
      </c>
    </row>
    <row r="527" ht="15.75" customHeight="1">
      <c r="A527" s="7" t="s">
        <v>281</v>
      </c>
      <c r="B527" s="8" t="str">
        <f>IFERROR(__xludf.DUMMYFUNCTION("REGEXREPLACE(A527, ""[^0-9a-zA-Z .'Ã]"","""")"),"Adam McKay")</f>
        <v>Adam McKay</v>
      </c>
      <c r="C527" s="9">
        <v>173.0</v>
      </c>
      <c r="D527" s="10">
        <v>1.00468793E8</v>
      </c>
      <c r="E527" s="9" t="s">
        <v>137</v>
      </c>
      <c r="F527" s="9">
        <f t="shared" si="1"/>
        <v>1</v>
      </c>
      <c r="G527" s="9" t="s">
        <v>441</v>
      </c>
      <c r="H527" s="11" t="str">
        <f>IFERROR(__xludf.DUMMYFUNCTION("REGEXREPLACE(G527, ""[^0-9a-zA-Z .'Ã]"","""")"),"Will Ferrell")</f>
        <v>Will Ferrell</v>
      </c>
      <c r="I527" s="11" t="s">
        <v>2121</v>
      </c>
      <c r="J527" s="9">
        <v>212499.0</v>
      </c>
      <c r="K527" s="9" t="s">
        <v>2122</v>
      </c>
      <c r="L527" s="9">
        <v>277.0</v>
      </c>
      <c r="M527" s="9" t="s">
        <v>24</v>
      </c>
      <c r="N527" s="9" t="s">
        <v>25</v>
      </c>
      <c r="O527" s="10">
        <v>6.5E7</v>
      </c>
      <c r="P527" s="10">
        <f t="shared" si="2"/>
        <v>35468793</v>
      </c>
      <c r="Q527" s="12">
        <f t="shared" si="3"/>
        <v>0</v>
      </c>
      <c r="R527" s="9">
        <v>2008.0</v>
      </c>
      <c r="S527" s="9">
        <v>6.9</v>
      </c>
    </row>
    <row r="528" ht="15.75" customHeight="1">
      <c r="A528" s="7" t="s">
        <v>655</v>
      </c>
      <c r="B528" s="8" t="str">
        <f>IFERROR(__xludf.DUMMYFUNCTION("REGEXREPLACE(A528, ""[^0-9a-zA-Z .'Ã]"","""")"),"Mathieu Kassovitz")</f>
        <v>Mathieu Kassovitz</v>
      </c>
      <c r="C528" s="9">
        <v>164.0</v>
      </c>
      <c r="D528" s="10">
        <v>2.2531698E7</v>
      </c>
      <c r="E528" s="9" t="s">
        <v>794</v>
      </c>
      <c r="F528" s="9">
        <f t="shared" si="1"/>
        <v>4</v>
      </c>
      <c r="G528" s="9" t="s">
        <v>917</v>
      </c>
      <c r="H528" s="11" t="str">
        <f>IFERROR(__xludf.DUMMYFUNCTION("REGEXREPLACE(G528, ""[^0-9a-zA-Z .'Ã]"","""")"),"Vin Diesel")</f>
        <v>Vin Diesel</v>
      </c>
      <c r="I528" s="11" t="s">
        <v>2123</v>
      </c>
      <c r="J528" s="9">
        <v>81523.0</v>
      </c>
      <c r="K528" s="9" t="s">
        <v>2124</v>
      </c>
      <c r="L528" s="9">
        <v>214.0</v>
      </c>
      <c r="M528" s="9" t="s">
        <v>24</v>
      </c>
      <c r="N528" s="9" t="s">
        <v>608</v>
      </c>
      <c r="O528" s="10">
        <v>7.0E7</v>
      </c>
      <c r="P528" s="10">
        <f t="shared" si="2"/>
        <v>0</v>
      </c>
      <c r="Q528" s="12">
        <f t="shared" si="3"/>
        <v>47468302</v>
      </c>
      <c r="R528" s="9">
        <v>2008.0</v>
      </c>
      <c r="S528" s="9">
        <v>5.6</v>
      </c>
    </row>
    <row r="529" ht="15.75" customHeight="1">
      <c r="A529" s="7" t="s">
        <v>635</v>
      </c>
      <c r="B529" s="8" t="str">
        <f>IFERROR(__xludf.DUMMYFUNCTION("REGEXREPLACE(A529, ""[^0-9a-zA-Z .'Ã]"","""")"),"Steven Spielberg")</f>
        <v>Steven Spielberg</v>
      </c>
      <c r="C529" s="9">
        <v>149.0</v>
      </c>
      <c r="D529" s="10">
        <v>1.97171806E8</v>
      </c>
      <c r="E529" s="9" t="s">
        <v>278</v>
      </c>
      <c r="F529" s="9">
        <f t="shared" si="1"/>
        <v>3</v>
      </c>
      <c r="G529" s="9" t="s">
        <v>637</v>
      </c>
      <c r="H529" s="11" t="str">
        <f>IFERROR(__xludf.DUMMYFUNCTION("REGEXREPLACE(G529, ""[^0-9a-zA-Z .'Ã]"","""")"),"Harrison Ford")</f>
        <v>Harrison Ford</v>
      </c>
      <c r="I529" s="11" t="s">
        <v>2125</v>
      </c>
      <c r="J529" s="9">
        <v>515306.0</v>
      </c>
      <c r="K529" s="9" t="s">
        <v>2126</v>
      </c>
      <c r="L529" s="9">
        <v>477.0</v>
      </c>
      <c r="M529" s="9" t="s">
        <v>24</v>
      </c>
      <c r="N529" s="9" t="s">
        <v>25</v>
      </c>
      <c r="O529" s="10">
        <v>4.8E7</v>
      </c>
      <c r="P529" s="10">
        <f t="shared" si="2"/>
        <v>149171806</v>
      </c>
      <c r="Q529" s="12">
        <f t="shared" si="3"/>
        <v>0</v>
      </c>
      <c r="R529" s="9">
        <v>1989.0</v>
      </c>
      <c r="S529" s="9">
        <v>8.3</v>
      </c>
    </row>
    <row r="530" ht="15.75" customHeight="1">
      <c r="A530" s="17" t="s">
        <v>2127</v>
      </c>
      <c r="B530" s="8" t="str">
        <f>IFERROR(__xludf.DUMMYFUNCTION("REGEXREPLACE(A530, ""[^0-9a-zA-Z .'Ã]"","""")"),"Angelo Pizzo")</f>
        <v>Angelo Pizzo</v>
      </c>
      <c r="C530" s="18">
        <v>27.0</v>
      </c>
      <c r="D530" s="19">
        <v>2246000.0</v>
      </c>
      <c r="E530" s="18" t="s">
        <v>1124</v>
      </c>
      <c r="F530" s="9">
        <f t="shared" si="1"/>
        <v>3</v>
      </c>
      <c r="G530" s="18" t="s">
        <v>2128</v>
      </c>
      <c r="H530" s="11" t="str">
        <f>IFERROR(__xludf.DUMMYFUNCTION("REGEXREPLACE(G530, ""[^0-9a-zA-Z .'Ã]"","""")"),"Donny Boaz")</f>
        <v>Donny Boaz</v>
      </c>
      <c r="I530" s="20" t="s">
        <v>2129</v>
      </c>
      <c r="J530" s="18">
        <v>2302.0</v>
      </c>
      <c r="K530" s="18" t="s">
        <v>2130</v>
      </c>
      <c r="L530" s="18">
        <v>20.0</v>
      </c>
      <c r="M530" s="18" t="s">
        <v>24</v>
      </c>
      <c r="N530" s="18" t="s">
        <v>25</v>
      </c>
      <c r="O530" s="19">
        <v>2.0E7</v>
      </c>
      <c r="P530" s="10">
        <f t="shared" si="2"/>
        <v>0</v>
      </c>
      <c r="Q530" s="12">
        <f t="shared" si="3"/>
        <v>17754000</v>
      </c>
      <c r="R530" s="18">
        <v>2015.0</v>
      </c>
      <c r="S530" s="18">
        <v>7.0</v>
      </c>
    </row>
    <row r="531" ht="15.75" customHeight="1">
      <c r="A531" s="17" t="s">
        <v>2131</v>
      </c>
      <c r="B531" s="8" t="str">
        <f>IFERROR(__xludf.DUMMYFUNCTION("REGEXREPLACE(A531, ""[^0-9a-zA-Z .'Ã]"","""")"),"Patrick Tatopoulos")</f>
        <v>Patrick Tatopoulos</v>
      </c>
      <c r="C531" s="18">
        <v>164.0</v>
      </c>
      <c r="D531" s="19">
        <v>4.5802315E7</v>
      </c>
      <c r="E531" s="18" t="s">
        <v>449</v>
      </c>
      <c r="F531" s="9">
        <f t="shared" si="1"/>
        <v>5</v>
      </c>
      <c r="G531" s="18" t="s">
        <v>2132</v>
      </c>
      <c r="H531" s="11" t="str">
        <f>IFERROR(__xludf.DUMMYFUNCTION("REGEXREPLACE(G531, ""[^0-9a-zA-Z .'Ã]"","""")"),"Craig Parker")</f>
        <v>Craig Parker</v>
      </c>
      <c r="I531" s="20" t="s">
        <v>2133</v>
      </c>
      <c r="J531" s="18">
        <v>119974.0</v>
      </c>
      <c r="K531" s="18" t="s">
        <v>2134</v>
      </c>
      <c r="L531" s="18">
        <v>169.0</v>
      </c>
      <c r="M531" s="18" t="s">
        <v>24</v>
      </c>
      <c r="N531" s="18" t="s">
        <v>25</v>
      </c>
      <c r="O531" s="19">
        <v>3.5E7</v>
      </c>
      <c r="P531" s="10">
        <f t="shared" si="2"/>
        <v>10802315</v>
      </c>
      <c r="Q531" s="12">
        <f t="shared" si="3"/>
        <v>0</v>
      </c>
      <c r="R531" s="18">
        <v>2009.0</v>
      </c>
      <c r="S531" s="18">
        <v>6.6</v>
      </c>
    </row>
    <row r="532" ht="15.75" customHeight="1">
      <c r="A532" s="7" t="s">
        <v>2135</v>
      </c>
      <c r="B532" s="8" t="str">
        <f>IFERROR(__xludf.DUMMYFUNCTION("REGEXREPLACE(A532, ""[^0-9a-zA-Z .'Ã]"","""")"),"Nora Ephron")</f>
        <v>Nora Ephron</v>
      </c>
      <c r="C532" s="9">
        <v>60.0</v>
      </c>
      <c r="D532" s="10">
        <v>1.0014234E7</v>
      </c>
      <c r="E532" s="9" t="s">
        <v>440</v>
      </c>
      <c r="F532" s="9">
        <f t="shared" si="1"/>
        <v>2</v>
      </c>
      <c r="G532" s="9" t="s">
        <v>2136</v>
      </c>
      <c r="H532" s="11" t="str">
        <f>IFERROR(__xludf.DUMMYFUNCTION("REGEXREPLACE(G532, ""[^0-9a-zA-Z .'Ã]"","""")"),"Michael Rapaport")</f>
        <v>Michael Rapaport</v>
      </c>
      <c r="I532" s="11" t="s">
        <v>2137</v>
      </c>
      <c r="J532" s="9">
        <v>8560.0</v>
      </c>
      <c r="K532" s="9" t="s">
        <v>2138</v>
      </c>
      <c r="L532" s="9">
        <v>69.0</v>
      </c>
      <c r="M532" s="9" t="s">
        <v>24</v>
      </c>
      <c r="N532" s="9" t="s">
        <v>608</v>
      </c>
      <c r="O532" s="10">
        <v>6.5E7</v>
      </c>
      <c r="P532" s="10">
        <f t="shared" si="2"/>
        <v>0</v>
      </c>
      <c r="Q532" s="12">
        <f t="shared" si="3"/>
        <v>54985766</v>
      </c>
      <c r="R532" s="9">
        <v>2000.0</v>
      </c>
      <c r="S532" s="9">
        <v>5.0</v>
      </c>
    </row>
    <row r="533" ht="15.75" customHeight="1">
      <c r="A533" s="21" t="s">
        <v>2139</v>
      </c>
      <c r="B533" s="8" t="str">
        <f>IFERROR(__xludf.DUMMYFUNCTION("REGEXREPLACE(A533, ""[^0-9a-zA-Z .'Ã]"","""")"),"Neil Marshall")</f>
        <v>Neil Marshall</v>
      </c>
      <c r="C533" s="22">
        <v>254.0</v>
      </c>
      <c r="D533" s="23">
        <v>1.0955425E7</v>
      </c>
      <c r="E533" s="22" t="s">
        <v>1734</v>
      </c>
      <c r="F533" s="9">
        <f t="shared" si="1"/>
        <v>3</v>
      </c>
      <c r="G533" s="22" t="s">
        <v>2140</v>
      </c>
      <c r="H533" s="11" t="str">
        <f>IFERROR(__xludf.DUMMYFUNCTION("REGEXREPLACE(G533, ""[^0-9a-zA-Z .'Ã]"","""")"),"Ryan Kruger")</f>
        <v>Ryan Kruger</v>
      </c>
      <c r="I533" s="24" t="s">
        <v>2141</v>
      </c>
      <c r="J533" s="22">
        <v>62770.0</v>
      </c>
      <c r="K533" s="22" t="s">
        <v>2142</v>
      </c>
      <c r="L533" s="22">
        <v>396.0</v>
      </c>
      <c r="M533" s="22" t="s">
        <v>24</v>
      </c>
      <c r="N533" s="22" t="s">
        <v>130</v>
      </c>
      <c r="O533" s="23">
        <v>3.0E7</v>
      </c>
      <c r="P533" s="10">
        <f t="shared" si="2"/>
        <v>0</v>
      </c>
      <c r="Q533" s="12">
        <f t="shared" si="3"/>
        <v>19044575</v>
      </c>
      <c r="R533" s="22">
        <v>2008.0</v>
      </c>
      <c r="S533" s="22">
        <v>6.0</v>
      </c>
    </row>
    <row r="534" ht="15.75" customHeight="1">
      <c r="A534" s="7" t="s">
        <v>1350</v>
      </c>
      <c r="B534" s="8" t="str">
        <f>IFERROR(__xludf.DUMMYFUNCTION("REGEXREPLACE(A534, ""[^0-9a-zA-Z .'Ã]"","""")"),"Christopher Nolan")</f>
        <v>Christopher Nolan</v>
      </c>
      <c r="C534" s="9">
        <v>813.0</v>
      </c>
      <c r="D534" s="10">
        <v>4.48130642E8</v>
      </c>
      <c r="E534" s="9" t="s">
        <v>1096</v>
      </c>
      <c r="F534" s="9">
        <f t="shared" si="1"/>
        <v>2</v>
      </c>
      <c r="G534" s="9" t="s">
        <v>1634</v>
      </c>
      <c r="H534" s="11" t="str">
        <f>IFERROR(__xludf.DUMMYFUNCTION("REGEXREPLACE(G534, ""[^0-9a-zA-Z .'Ã]"","""")"),"Tom Hardy")</f>
        <v>Tom Hardy</v>
      </c>
      <c r="I534" s="11" t="s">
        <v>2143</v>
      </c>
      <c r="J534" s="9">
        <v>1144337.0</v>
      </c>
      <c r="K534" s="9" t="s">
        <v>2144</v>
      </c>
      <c r="L534" s="9">
        <v>2701.0</v>
      </c>
      <c r="M534" s="9" t="s">
        <v>24</v>
      </c>
      <c r="N534" s="9" t="s">
        <v>25</v>
      </c>
      <c r="O534" s="10">
        <v>2.5E8</v>
      </c>
      <c r="P534" s="10">
        <f t="shared" si="2"/>
        <v>198130642</v>
      </c>
      <c r="Q534" s="12">
        <f t="shared" si="3"/>
        <v>0</v>
      </c>
      <c r="R534" s="9">
        <v>2012.0</v>
      </c>
      <c r="S534" s="9">
        <v>8.5</v>
      </c>
    </row>
    <row r="535" ht="15.75" customHeight="1">
      <c r="A535" s="13" t="s">
        <v>2145</v>
      </c>
      <c r="B535" s="8" t="str">
        <f>IFERROR(__xludf.DUMMYFUNCTION("REGEXREPLACE(A535, ""[^0-9a-zA-Z .'Ã]"","""")"),"Jonathan Kaplan")</f>
        <v>Jonathan Kaplan</v>
      </c>
      <c r="C535" s="14">
        <v>70.0</v>
      </c>
      <c r="D535" s="15">
        <v>1.0114315E7</v>
      </c>
      <c r="E535" s="14" t="s">
        <v>311</v>
      </c>
      <c r="F535" s="9">
        <f t="shared" si="1"/>
        <v>3</v>
      </c>
      <c r="G535" s="14" t="s">
        <v>2146</v>
      </c>
      <c r="H535" s="11" t="str">
        <f>IFERROR(__xludf.DUMMYFUNCTION("REGEXREPLACE(G535, ""[^0-9a-zA-Z .'Ã]"","""")"),"John Doe")</f>
        <v>John Doe</v>
      </c>
      <c r="I535" s="16" t="s">
        <v>2147</v>
      </c>
      <c r="J535" s="14">
        <v>18693.0</v>
      </c>
      <c r="K535" s="14" t="s">
        <v>2148</v>
      </c>
      <c r="L535" s="14">
        <v>187.0</v>
      </c>
      <c r="M535" s="14" t="s">
        <v>24</v>
      </c>
      <c r="N535" s="14" t="s">
        <v>25</v>
      </c>
      <c r="O535" s="15">
        <v>2.5E7</v>
      </c>
      <c r="P535" s="10">
        <f t="shared" si="2"/>
        <v>0</v>
      </c>
      <c r="Q535" s="12">
        <f t="shared" si="3"/>
        <v>14885685</v>
      </c>
      <c r="R535" s="14">
        <v>1999.0</v>
      </c>
      <c r="S535" s="14">
        <v>6.4</v>
      </c>
    </row>
    <row r="536" ht="15.75" customHeight="1">
      <c r="A536" s="21" t="s">
        <v>1894</v>
      </c>
      <c r="B536" s="8" t="str">
        <f>IFERROR(__xludf.DUMMYFUNCTION("REGEXREPLACE(A536, ""[^0-9a-zA-Z .'Ã]"","""")"),"Luc Besson")</f>
        <v>Luc Besson</v>
      </c>
      <c r="C536" s="22">
        <v>173.0</v>
      </c>
      <c r="D536" s="23">
        <v>6.354002E7</v>
      </c>
      <c r="E536" s="22" t="s">
        <v>185</v>
      </c>
      <c r="F536" s="9">
        <f t="shared" si="1"/>
        <v>3</v>
      </c>
      <c r="G536" s="22" t="s">
        <v>65</v>
      </c>
      <c r="H536" s="11" t="str">
        <f>IFERROR(__xludf.DUMMYFUNCTION("REGEXREPLACE(G536, ""[^0-9a-zA-Z .'Ã]"","""")"),"Milla Jovovich")</f>
        <v>Milla Jovovich</v>
      </c>
      <c r="I536" s="24" t="s">
        <v>2149</v>
      </c>
      <c r="J536" s="22">
        <v>343274.0</v>
      </c>
      <c r="K536" s="22" t="s">
        <v>2150</v>
      </c>
      <c r="L536" s="22">
        <v>742.0</v>
      </c>
      <c r="M536" s="22" t="s">
        <v>24</v>
      </c>
      <c r="N536" s="22" t="s">
        <v>608</v>
      </c>
      <c r="O536" s="23">
        <v>9.3E7</v>
      </c>
      <c r="P536" s="10">
        <f t="shared" si="2"/>
        <v>0</v>
      </c>
      <c r="Q536" s="12">
        <f t="shared" si="3"/>
        <v>29459980</v>
      </c>
      <c r="R536" s="22">
        <v>1997.0</v>
      </c>
      <c r="S536" s="22">
        <v>7.7</v>
      </c>
    </row>
    <row r="537" ht="15.75" customHeight="1">
      <c r="A537" s="29" t="s">
        <v>760</v>
      </c>
      <c r="B537" s="8" t="str">
        <f>IFERROR(__xludf.DUMMYFUNCTION("REGEXREPLACE(A537, ""[^0-9a-zA-Z .'Ã]"","""")"),"Martin Scorsese")</f>
        <v>Martin Scorsese</v>
      </c>
      <c r="C537" s="30">
        <v>352.0</v>
      </c>
      <c r="D537" s="31">
        <v>1.32373442E8</v>
      </c>
      <c r="E537" s="30" t="s">
        <v>113</v>
      </c>
      <c r="F537" s="9">
        <f t="shared" si="1"/>
        <v>3</v>
      </c>
      <c r="G537" s="30" t="s">
        <v>1351</v>
      </c>
      <c r="H537" s="11" t="str">
        <f>IFERROR(__xludf.DUMMYFUNCTION("REGEXREPLACE(G537, ""[^0-9a-zA-Z .'Ã]"","""")"),"Leonardo DiCaprio")</f>
        <v>Leonardo DiCaprio</v>
      </c>
      <c r="I537" s="32" t="s">
        <v>2151</v>
      </c>
      <c r="J537" s="30">
        <v>873649.0</v>
      </c>
      <c r="K537" s="30" t="s">
        <v>2152</v>
      </c>
      <c r="L537" s="30">
        <v>2054.0</v>
      </c>
      <c r="M537" s="30" t="s">
        <v>24</v>
      </c>
      <c r="N537" s="30" t="s">
        <v>25</v>
      </c>
      <c r="O537" s="31">
        <v>9.0E7</v>
      </c>
      <c r="P537" s="10">
        <f t="shared" si="2"/>
        <v>42373442</v>
      </c>
      <c r="Q537" s="12">
        <f t="shared" si="3"/>
        <v>0</v>
      </c>
      <c r="R537" s="30">
        <v>2006.0</v>
      </c>
      <c r="S537" s="30">
        <v>8.5</v>
      </c>
    </row>
    <row r="538" ht="15.75" customHeight="1">
      <c r="A538" s="29" t="s">
        <v>1691</v>
      </c>
      <c r="B538" s="8" t="str">
        <f>IFERROR(__xludf.DUMMYFUNCTION("REGEXREPLACE(A538, ""[^0-9a-zA-Z -.'Ã]"","""")"),"Alejandro G. IÃÃrritu")</f>
        <v>Alejandro G. IÃÃrritu</v>
      </c>
      <c r="C538" s="30">
        <v>157.0</v>
      </c>
      <c r="D538" s="31">
        <v>5383834.0</v>
      </c>
      <c r="E538" s="30" t="s">
        <v>369</v>
      </c>
      <c r="F538" s="9">
        <f t="shared" si="1"/>
        <v>2</v>
      </c>
      <c r="G538" s="30" t="s">
        <v>2153</v>
      </c>
      <c r="H538" s="11" t="str">
        <f>IFERROR(__xludf.DUMMYFUNCTION("REGEXREPLACE(G538, ""[^0-9a-zA-Z .'Ã]"","""")"),"Adriana Barraza")</f>
        <v>Adriana Barraza</v>
      </c>
      <c r="I538" s="32" t="s">
        <v>2154</v>
      </c>
      <c r="J538" s="30">
        <v>173551.0</v>
      </c>
      <c r="K538" s="30" t="s">
        <v>2155</v>
      </c>
      <c r="L538" s="30">
        <v>361.0</v>
      </c>
      <c r="M538" s="30" t="s">
        <v>1553</v>
      </c>
      <c r="N538" s="30" t="s">
        <v>1893</v>
      </c>
      <c r="O538" s="31">
        <v>2000000.0</v>
      </c>
      <c r="P538" s="10">
        <f t="shared" si="2"/>
        <v>3383834</v>
      </c>
      <c r="Q538" s="12">
        <f t="shared" si="3"/>
        <v>0</v>
      </c>
      <c r="R538" s="30">
        <v>2000.0</v>
      </c>
      <c r="S538" s="30">
        <v>8.1</v>
      </c>
    </row>
    <row r="539" ht="15.75" customHeight="1">
      <c r="A539" s="7" t="s">
        <v>163</v>
      </c>
      <c r="B539" s="8" t="str">
        <f>IFERROR(__xludf.DUMMYFUNCTION("REGEXREPLACE(A539, ""[^0-9a-zA-Z .'Ã]"","""")"),"F. Gary Gray")</f>
        <v>F. Gary Gray</v>
      </c>
      <c r="C539" s="9">
        <v>349.0</v>
      </c>
      <c r="D539" s="10">
        <v>1.6102927E8</v>
      </c>
      <c r="E539" s="9" t="s">
        <v>2156</v>
      </c>
      <c r="F539" s="9">
        <f t="shared" si="1"/>
        <v>5</v>
      </c>
      <c r="G539" s="9" t="s">
        <v>2157</v>
      </c>
      <c r="H539" s="11" t="str">
        <f>IFERROR(__xludf.DUMMYFUNCTION("REGEXREPLACE(G539, ""[^0-9a-zA-Z .'Ã]"","""")"),"Aldis Hodge")</f>
        <v>Aldis Hodge</v>
      </c>
      <c r="I539" s="11" t="s">
        <v>2158</v>
      </c>
      <c r="J539" s="9">
        <v>119928.0</v>
      </c>
      <c r="K539" s="9" t="s">
        <v>2159</v>
      </c>
      <c r="L539" s="9">
        <v>331.0</v>
      </c>
      <c r="M539" s="9" t="s">
        <v>24</v>
      </c>
      <c r="N539" s="9" t="s">
        <v>25</v>
      </c>
      <c r="O539" s="10">
        <v>2.8E7</v>
      </c>
      <c r="P539" s="10">
        <f t="shared" si="2"/>
        <v>133029270</v>
      </c>
      <c r="Q539" s="12">
        <f t="shared" si="3"/>
        <v>0</v>
      </c>
      <c r="R539" s="9">
        <v>2015.0</v>
      </c>
      <c r="S539" s="9">
        <v>7.9</v>
      </c>
    </row>
    <row r="540" ht="15.75" customHeight="1">
      <c r="A540" s="7" t="s">
        <v>2160</v>
      </c>
      <c r="B540" s="8" t="str">
        <f>IFERROR(__xludf.DUMMYFUNCTION("REGEXREPLACE(A540, ""[^0-9a-zA-Z .'Ã]"","""")"),"David Bowers")</f>
        <v>David Bowers</v>
      </c>
      <c r="C540" s="9">
        <v>138.0</v>
      </c>
      <c r="D540" s="10">
        <v>1.9548064E7</v>
      </c>
      <c r="E540" s="9" t="s">
        <v>2161</v>
      </c>
      <c r="F540" s="9">
        <f t="shared" si="1"/>
        <v>5</v>
      </c>
      <c r="G540" s="9" t="s">
        <v>458</v>
      </c>
      <c r="H540" s="11" t="str">
        <f>IFERROR(__xludf.DUMMYFUNCTION("REGEXREPLACE(G540, ""[^0-9a-zA-Z .'Ã]"","""")"),"Nicolas Cage")</f>
        <v>Nicolas Cage</v>
      </c>
      <c r="I540" s="11" t="s">
        <v>2162</v>
      </c>
      <c r="J540" s="9">
        <v>25681.0</v>
      </c>
      <c r="K540" s="9" t="s">
        <v>2163</v>
      </c>
      <c r="L540" s="9">
        <v>77.0</v>
      </c>
      <c r="M540" s="9" t="s">
        <v>24</v>
      </c>
      <c r="N540" s="9" t="s">
        <v>157</v>
      </c>
      <c r="O540" s="10">
        <v>6.5E7</v>
      </c>
      <c r="P540" s="10">
        <f t="shared" si="2"/>
        <v>0</v>
      </c>
      <c r="Q540" s="12">
        <f t="shared" si="3"/>
        <v>45451936</v>
      </c>
      <c r="R540" s="9">
        <v>2009.0</v>
      </c>
      <c r="S540" s="9">
        <v>6.3</v>
      </c>
    </row>
    <row r="541" ht="15.75" customHeight="1">
      <c r="A541" s="7" t="s">
        <v>998</v>
      </c>
      <c r="B541" s="8" t="str">
        <f>IFERROR(__xludf.DUMMYFUNCTION("REGEXREPLACE(A541, ""[^0-9a-zA-Z .'Ã]"","""")"),"Peter Jackson")</f>
        <v>Peter Jackson</v>
      </c>
      <c r="C541" s="9">
        <v>297.0</v>
      </c>
      <c r="D541" s="10">
        <v>3.13837577E8</v>
      </c>
      <c r="E541" s="9" t="s">
        <v>1029</v>
      </c>
      <c r="F541" s="9">
        <f t="shared" si="1"/>
        <v>4</v>
      </c>
      <c r="G541" s="9" t="s">
        <v>1030</v>
      </c>
      <c r="H541" s="11" t="str">
        <f>IFERROR(__xludf.DUMMYFUNCTION("REGEXREPLACE(G541, ""[^0-9a-zA-Z .'Ã]"","""")"),"Christopher Lee")</f>
        <v>Christopher Lee</v>
      </c>
      <c r="I541" s="11" t="s">
        <v>2164</v>
      </c>
      <c r="J541" s="9">
        <v>1238746.0</v>
      </c>
      <c r="K541" s="9" t="s">
        <v>2165</v>
      </c>
      <c r="L541" s="9">
        <v>5060.0</v>
      </c>
      <c r="M541" s="9" t="s">
        <v>24</v>
      </c>
      <c r="N541" s="9" t="s">
        <v>1002</v>
      </c>
      <c r="O541" s="10">
        <v>9.3E7</v>
      </c>
      <c r="P541" s="10">
        <f t="shared" si="2"/>
        <v>220837577</v>
      </c>
      <c r="Q541" s="12">
        <f t="shared" si="3"/>
        <v>0</v>
      </c>
      <c r="R541" s="9">
        <v>2001.0</v>
      </c>
      <c r="S541" s="9">
        <v>8.8</v>
      </c>
    </row>
    <row r="542" ht="15.75" customHeight="1">
      <c r="A542" s="21" t="s">
        <v>1610</v>
      </c>
      <c r="B542" s="8" t="str">
        <f>IFERROR(__xludf.DUMMYFUNCTION("REGEXREPLACE(A542, ""[^0-9a-zA-Z .'Ã]"","""")"),"Peter Cattaneo")</f>
        <v>Peter Cattaneo</v>
      </c>
      <c r="C542" s="22">
        <v>24.0</v>
      </c>
      <c r="D542" s="23">
        <v>13751.0</v>
      </c>
      <c r="E542" s="22" t="s">
        <v>2166</v>
      </c>
      <c r="F542" s="9">
        <f t="shared" si="1"/>
        <v>2</v>
      </c>
      <c r="G542" s="22" t="s">
        <v>2167</v>
      </c>
      <c r="H542" s="11" t="str">
        <f>IFERROR(__xludf.DUMMYFUNCTION("REGEXREPLACE(G542, ""[^0-9a-zA-Z .'Ã]"","""")"),"Jacqueline McKenzie")</f>
        <v>Jacqueline McKenzie</v>
      </c>
      <c r="I542" s="24" t="s">
        <v>2168</v>
      </c>
      <c r="J542" s="22">
        <v>813.0</v>
      </c>
      <c r="K542" s="22" t="s">
        <v>2169</v>
      </c>
      <c r="L542" s="22">
        <v>6.0</v>
      </c>
      <c r="M542" s="22" t="s">
        <v>24</v>
      </c>
      <c r="N542" s="22" t="s">
        <v>146</v>
      </c>
      <c r="O542" s="23">
        <v>1.14E7</v>
      </c>
      <c r="P542" s="10">
        <f t="shared" si="2"/>
        <v>0</v>
      </c>
      <c r="Q542" s="12">
        <f t="shared" si="3"/>
        <v>11386249</v>
      </c>
      <c r="R542" s="22">
        <v>2006.0</v>
      </c>
      <c r="S542" s="22">
        <v>6.6</v>
      </c>
    </row>
    <row r="543" ht="15.75" customHeight="1">
      <c r="A543" s="7" t="s">
        <v>1332</v>
      </c>
      <c r="B543" s="8" t="str">
        <f>IFERROR(__xludf.DUMMYFUNCTION("REGEXREPLACE(A543, ""[^0-9a-zA-Z .'Ã]"","""")"),"Kirk Jones")</f>
        <v>Kirk Jones</v>
      </c>
      <c r="C543" s="9">
        <v>156.0</v>
      </c>
      <c r="D543" s="10">
        <v>5.9573085E7</v>
      </c>
      <c r="E543" s="9" t="s">
        <v>289</v>
      </c>
      <c r="F543" s="9">
        <f t="shared" si="1"/>
        <v>3</v>
      </c>
      <c r="G543" s="9" t="s">
        <v>290</v>
      </c>
      <c r="H543" s="11" t="str">
        <f>IFERROR(__xludf.DUMMYFUNCTION("REGEXREPLACE(G543, ""[^0-9a-zA-Z .'Ã]"","""")"),"Nia Vardalos")</f>
        <v>Nia Vardalos</v>
      </c>
      <c r="I543" s="11" t="s">
        <v>2170</v>
      </c>
      <c r="J543" s="9">
        <v>13562.0</v>
      </c>
      <c r="K543" s="9" t="s">
        <v>2171</v>
      </c>
      <c r="L543" s="9">
        <v>103.0</v>
      </c>
      <c r="M543" s="9" t="s">
        <v>24</v>
      </c>
      <c r="N543" s="9" t="s">
        <v>25</v>
      </c>
      <c r="O543" s="10">
        <v>1.8E7</v>
      </c>
      <c r="P543" s="10">
        <f t="shared" si="2"/>
        <v>41573085</v>
      </c>
      <c r="Q543" s="12">
        <f t="shared" si="3"/>
        <v>0</v>
      </c>
      <c r="R543" s="9">
        <v>2016.0</v>
      </c>
      <c r="S543" s="9">
        <v>6.1</v>
      </c>
    </row>
    <row r="544" ht="15.75" customHeight="1">
      <c r="A544" s="29" t="s">
        <v>2172</v>
      </c>
      <c r="B544" s="8" t="str">
        <f>IFERROR(__xludf.DUMMYFUNCTION("REGEXREPLACE(A544, ""[^0-9a-zA-Z .'Ã]"","""")"),"Richard Kelly")</f>
        <v>Richard Kelly</v>
      </c>
      <c r="C544" s="30">
        <v>287.0</v>
      </c>
      <c r="D544" s="31">
        <v>1.5045676E7</v>
      </c>
      <c r="E544" s="30" t="s">
        <v>2173</v>
      </c>
      <c r="F544" s="9">
        <f t="shared" si="1"/>
        <v>4</v>
      </c>
      <c r="G544" s="30" t="s">
        <v>2174</v>
      </c>
      <c r="H544" s="11" t="str">
        <f>IFERROR(__xludf.DUMMYFUNCTION("REGEXREPLACE(G544, ""[^0-9a-zA-Z .'Ã]"","""")"),"Frank Langella")</f>
        <v>Frank Langella</v>
      </c>
      <c r="I544" s="32" t="s">
        <v>2175</v>
      </c>
      <c r="J544" s="30">
        <v>76303.0</v>
      </c>
      <c r="K544" s="30" t="s">
        <v>2176</v>
      </c>
      <c r="L544" s="30">
        <v>376.0</v>
      </c>
      <c r="M544" s="30" t="s">
        <v>24</v>
      </c>
      <c r="N544" s="30" t="s">
        <v>25</v>
      </c>
      <c r="O544" s="31">
        <v>1.6E7</v>
      </c>
      <c r="P544" s="10">
        <f t="shared" si="2"/>
        <v>0</v>
      </c>
      <c r="Q544" s="12">
        <f t="shared" si="3"/>
        <v>954324</v>
      </c>
      <c r="R544" s="30">
        <v>2009.0</v>
      </c>
      <c r="S544" s="30">
        <v>5.6</v>
      </c>
    </row>
    <row r="545" ht="15.75" customHeight="1">
      <c r="A545" s="7" t="s">
        <v>1554</v>
      </c>
      <c r="B545" s="8" t="str">
        <f>IFERROR(__xludf.DUMMYFUNCTION("REGEXREPLACE(A545, ""[^0-9a-zA-Z .'Ã]"","""")"),"Andrzej Bartkowiak")</f>
        <v>Andrzej Bartkowiak</v>
      </c>
      <c r="C545" s="9">
        <v>107.0</v>
      </c>
      <c r="D545" s="10">
        <v>5.1758599E7</v>
      </c>
      <c r="E545" s="9" t="s">
        <v>2177</v>
      </c>
      <c r="F545" s="9">
        <f t="shared" si="1"/>
        <v>5</v>
      </c>
      <c r="G545" s="9" t="s">
        <v>2107</v>
      </c>
      <c r="H545" s="11" t="str">
        <f>IFERROR(__xludf.DUMMYFUNCTION("REGEXREPLACE(G545, ""[^0-9a-zA-Z .'Ã]"","""")"),"Michael Jai White")</f>
        <v>Michael Jai White</v>
      </c>
      <c r="I545" s="11" t="s">
        <v>2178</v>
      </c>
      <c r="J545" s="9">
        <v>27580.0</v>
      </c>
      <c r="K545" s="9" t="s">
        <v>2179</v>
      </c>
      <c r="L545" s="9">
        <v>232.0</v>
      </c>
      <c r="M545" s="9" t="s">
        <v>24</v>
      </c>
      <c r="N545" s="9" t="s">
        <v>25</v>
      </c>
      <c r="O545" s="10">
        <v>3.3E7</v>
      </c>
      <c r="P545" s="10">
        <f t="shared" si="2"/>
        <v>18758599</v>
      </c>
      <c r="Q545" s="12">
        <f t="shared" si="3"/>
        <v>0</v>
      </c>
      <c r="R545" s="9">
        <v>2001.0</v>
      </c>
      <c r="S545" s="9">
        <v>5.5</v>
      </c>
    </row>
    <row r="546" ht="15.75" customHeight="1">
      <c r="A546" s="7" t="s">
        <v>2180</v>
      </c>
      <c r="B546" s="8" t="str">
        <f>IFERROR(__xludf.DUMMYFUNCTION("REGEXREPLACE(A546, ""[^0-9a-zA-Z .'Ã]"","""")"),"Whit Stillman")</f>
        <v>Whit Stillman</v>
      </c>
      <c r="C546" s="9">
        <v>71.0</v>
      </c>
      <c r="D546" s="10">
        <v>2938208.0</v>
      </c>
      <c r="E546" s="9" t="s">
        <v>159</v>
      </c>
      <c r="F546" s="9">
        <f t="shared" si="1"/>
        <v>3</v>
      </c>
      <c r="G546" s="9" t="s">
        <v>2181</v>
      </c>
      <c r="H546" s="11" t="str">
        <f>IFERROR(__xludf.DUMMYFUNCTION("REGEXREPLACE(G546, ""[^0-9a-zA-Z .'Ã]"","""")"),"Chris Eigeman")</f>
        <v>Chris Eigeman</v>
      </c>
      <c r="I546" s="11" t="s">
        <v>2182</v>
      </c>
      <c r="J546" s="9">
        <v>7143.0</v>
      </c>
      <c r="K546" s="9" t="s">
        <v>2183</v>
      </c>
      <c r="L546" s="9">
        <v>52.0</v>
      </c>
      <c r="M546" s="9" t="s">
        <v>24</v>
      </c>
      <c r="N546" s="9" t="s">
        <v>25</v>
      </c>
      <c r="O546" s="10">
        <v>225000.0</v>
      </c>
      <c r="P546" s="10">
        <f t="shared" si="2"/>
        <v>2713208</v>
      </c>
      <c r="Q546" s="12">
        <f t="shared" si="3"/>
        <v>0</v>
      </c>
      <c r="R546" s="9">
        <v>1990.0</v>
      </c>
      <c r="S546" s="9">
        <v>7.5</v>
      </c>
    </row>
    <row r="547" ht="15.75" customHeight="1">
      <c r="A547" s="7" t="s">
        <v>1536</v>
      </c>
      <c r="B547" s="8" t="str">
        <f>IFERROR(__xludf.DUMMYFUNCTION("REGEXREPLACE(A547, ""[^0-9a-zA-Z .'Ã]"","""")"),"Josh Trank")</f>
        <v>Josh Trank</v>
      </c>
      <c r="C547" s="9">
        <v>414.0</v>
      </c>
      <c r="D547" s="10">
        <v>6.4572496E7</v>
      </c>
      <c r="E547" s="9" t="s">
        <v>1231</v>
      </c>
      <c r="F547" s="9">
        <f t="shared" si="1"/>
        <v>3</v>
      </c>
      <c r="G547" s="9" t="s">
        <v>2184</v>
      </c>
      <c r="H547" s="11" t="str">
        <f>IFERROR(__xludf.DUMMYFUNCTION("REGEXREPLACE(G547, ""[^0-9a-zA-Z .'Ã]"","""")"),"Michael Kelly")</f>
        <v>Michael Kelly</v>
      </c>
      <c r="I547" s="11" t="s">
        <v>2185</v>
      </c>
      <c r="J547" s="9">
        <v>204327.0</v>
      </c>
      <c r="K547" s="9" t="s">
        <v>2186</v>
      </c>
      <c r="L547" s="9">
        <v>471.0</v>
      </c>
      <c r="M547" s="9" t="s">
        <v>24</v>
      </c>
      <c r="N547" s="9" t="s">
        <v>25</v>
      </c>
      <c r="O547" s="10">
        <v>1.2E7</v>
      </c>
      <c r="P547" s="10">
        <f t="shared" si="2"/>
        <v>52572496</v>
      </c>
      <c r="Q547" s="12">
        <f t="shared" si="3"/>
        <v>0</v>
      </c>
      <c r="R547" s="9">
        <v>2012.0</v>
      </c>
      <c r="S547" s="9">
        <v>7.1</v>
      </c>
    </row>
    <row r="548" ht="15.75" customHeight="1">
      <c r="A548" s="7" t="s">
        <v>2187</v>
      </c>
      <c r="B548" s="8" t="str">
        <f>IFERROR(__xludf.DUMMYFUNCTION("REGEXREPLACE(A548, ""[^0-9a-zA-Z .'Ã]"","""")"),"Raja Gosnell")</f>
        <v>Raja Gosnell</v>
      </c>
      <c r="C548" s="9">
        <v>100.0</v>
      </c>
      <c r="D548" s="10">
        <v>1.17559438E8</v>
      </c>
      <c r="E548" s="9" t="s">
        <v>265</v>
      </c>
      <c r="F548" s="9">
        <f t="shared" si="1"/>
        <v>3</v>
      </c>
      <c r="G548" s="9" t="s">
        <v>1215</v>
      </c>
      <c r="H548" s="11" t="str">
        <f>IFERROR(__xludf.DUMMYFUNCTION("REGEXREPLACE(G548, ""[^0-9a-zA-Z .'Ã]"","""")"),"Nia Long")</f>
        <v>Nia Long</v>
      </c>
      <c r="I548" s="11" t="s">
        <v>2188</v>
      </c>
      <c r="J548" s="9">
        <v>66941.0</v>
      </c>
      <c r="K548" s="9" t="s">
        <v>2189</v>
      </c>
      <c r="L548" s="9">
        <v>148.0</v>
      </c>
      <c r="M548" s="9" t="s">
        <v>24</v>
      </c>
      <c r="N548" s="9" t="s">
        <v>25</v>
      </c>
      <c r="O548" s="10">
        <v>3.0E7</v>
      </c>
      <c r="P548" s="10">
        <f t="shared" si="2"/>
        <v>87559438</v>
      </c>
      <c r="Q548" s="12">
        <f t="shared" si="3"/>
        <v>0</v>
      </c>
      <c r="R548" s="9">
        <v>2000.0</v>
      </c>
      <c r="S548" s="9">
        <v>5.1</v>
      </c>
    </row>
    <row r="549" ht="15.75" customHeight="1">
      <c r="A549" s="17" t="s">
        <v>2190</v>
      </c>
      <c r="B549" s="8" t="str">
        <f>IFERROR(__xludf.DUMMYFUNCTION("REGEXREPLACE(A549, ""[^0-9a-zA-Z .'Ã]"","""")"),"Ben Stiller")</f>
        <v>Ben Stiller</v>
      </c>
      <c r="C549" s="18">
        <v>72.0</v>
      </c>
      <c r="D549" s="19">
        <v>6.0154431E7</v>
      </c>
      <c r="E549" s="18" t="s">
        <v>2191</v>
      </c>
      <c r="F549" s="9">
        <f t="shared" si="1"/>
        <v>3</v>
      </c>
      <c r="G549" s="18" t="s">
        <v>2192</v>
      </c>
      <c r="H549" s="11" t="str">
        <f>IFERROR(__xludf.DUMMYFUNCTION("REGEXREPLACE(G549, ""[^0-9a-zA-Z .'Ã]"","""")"),"Matthew Broderick")</f>
        <v>Matthew Broderick</v>
      </c>
      <c r="I549" s="20" t="s">
        <v>2193</v>
      </c>
      <c r="J549" s="18">
        <v>122347.0</v>
      </c>
      <c r="K549" s="18" t="s">
        <v>2194</v>
      </c>
      <c r="L549" s="18">
        <v>345.0</v>
      </c>
      <c r="M549" s="18" t="s">
        <v>24</v>
      </c>
      <c r="N549" s="18" t="s">
        <v>25</v>
      </c>
      <c r="O549" s="19">
        <v>4.7E7</v>
      </c>
      <c r="P549" s="10">
        <f t="shared" si="2"/>
        <v>13154431</v>
      </c>
      <c r="Q549" s="12">
        <f t="shared" si="3"/>
        <v>0</v>
      </c>
      <c r="R549" s="18">
        <v>1996.0</v>
      </c>
      <c r="S549" s="18">
        <v>6.0</v>
      </c>
    </row>
    <row r="550" ht="15.75" customHeight="1">
      <c r="A550" s="7" t="s">
        <v>2195</v>
      </c>
      <c r="B550" s="8" t="str">
        <f>IFERROR(__xludf.DUMMYFUNCTION("REGEXREPLACE(A550, ""[^0-9a-zA-Z .'Ã]"","""")"),"Phil Joanou")</f>
        <v>Phil Joanou</v>
      </c>
      <c r="C550" s="9">
        <v>85.0</v>
      </c>
      <c r="D550" s="10">
        <v>3.8432823E7</v>
      </c>
      <c r="E550" s="9" t="s">
        <v>2196</v>
      </c>
      <c r="F550" s="9">
        <f t="shared" si="1"/>
        <v>3</v>
      </c>
      <c r="G550" s="9" t="s">
        <v>50</v>
      </c>
      <c r="H550" s="11" t="str">
        <f>IFERROR(__xludf.DUMMYFUNCTION("REGEXREPLACE(G550, ""[^0-9a-zA-Z .'Ã]"","""")"),"Dwayne Johnson")</f>
        <v>Dwayne Johnson</v>
      </c>
      <c r="I550" s="11" t="s">
        <v>2197</v>
      </c>
      <c r="J550" s="9">
        <v>33067.0</v>
      </c>
      <c r="K550" s="9" t="s">
        <v>2198</v>
      </c>
      <c r="L550" s="9">
        <v>134.0</v>
      </c>
      <c r="M550" s="9" t="s">
        <v>24</v>
      </c>
      <c r="N550" s="9" t="s">
        <v>25</v>
      </c>
      <c r="O550" s="10">
        <v>3.0E7</v>
      </c>
      <c r="P550" s="10">
        <f t="shared" si="2"/>
        <v>8432823</v>
      </c>
      <c r="Q550" s="12">
        <f t="shared" si="3"/>
        <v>0</v>
      </c>
      <c r="R550" s="9">
        <v>2006.0</v>
      </c>
      <c r="S550" s="9">
        <v>6.9</v>
      </c>
    </row>
    <row r="551" ht="15.75" customHeight="1">
      <c r="A551" s="21" t="s">
        <v>2199</v>
      </c>
      <c r="B551" s="8" t="str">
        <f>IFERROR(__xludf.DUMMYFUNCTION("REGEXREPLACE(A551, ""[^0-9a-zA-Z .'Ã]"","""")"),"Rupert Wainwright")</f>
        <v>Rupert Wainwright</v>
      </c>
      <c r="C551" s="22">
        <v>131.0</v>
      </c>
      <c r="D551" s="23">
        <v>5.0041732E7</v>
      </c>
      <c r="E551" s="22" t="s">
        <v>148</v>
      </c>
      <c r="F551" s="9">
        <f t="shared" si="1"/>
        <v>1</v>
      </c>
      <c r="G551" s="22" t="s">
        <v>1215</v>
      </c>
      <c r="H551" s="11" t="str">
        <f>IFERROR(__xludf.DUMMYFUNCTION("REGEXREPLACE(G551, ""[^0-9a-zA-Z .'Ã]"","""")"),"Nia Long")</f>
        <v>Nia Long</v>
      </c>
      <c r="I551" s="24" t="s">
        <v>2200</v>
      </c>
      <c r="J551" s="22">
        <v>54390.0</v>
      </c>
      <c r="K551" s="22" t="s">
        <v>2201</v>
      </c>
      <c r="L551" s="22">
        <v>398.0</v>
      </c>
      <c r="M551" s="22" t="s">
        <v>24</v>
      </c>
      <c r="N551" s="22" t="s">
        <v>25</v>
      </c>
      <c r="O551" s="23">
        <v>2.9E7</v>
      </c>
      <c r="P551" s="10">
        <f t="shared" si="2"/>
        <v>21041732</v>
      </c>
      <c r="Q551" s="12">
        <f t="shared" si="3"/>
        <v>0</v>
      </c>
      <c r="R551" s="22">
        <v>1999.0</v>
      </c>
      <c r="S551" s="22">
        <v>6.2</v>
      </c>
    </row>
    <row r="552" ht="15.75" customHeight="1">
      <c r="A552" s="7" t="s">
        <v>665</v>
      </c>
      <c r="B552" s="8" t="str">
        <f>IFERROR(__xludf.DUMMYFUNCTION("REGEXREPLACE(A552, ""[^0-9a-zA-Z .'Ã]"","""")"),"Yash Chopra")</f>
        <v>Yash Chopra</v>
      </c>
      <c r="C552" s="9">
        <v>50.0</v>
      </c>
      <c r="D552" s="10">
        <v>3047539.0</v>
      </c>
      <c r="E552" s="9" t="s">
        <v>232</v>
      </c>
      <c r="F552" s="9">
        <f t="shared" si="1"/>
        <v>2</v>
      </c>
      <c r="G552" s="9" t="s">
        <v>667</v>
      </c>
      <c r="H552" s="11" t="str">
        <f>IFERROR(__xludf.DUMMYFUNCTION("REGEXREPLACE(G552, ""[^0-9a-zA-Z .'Ã]"","""")"),"Shah Rukh Khan")</f>
        <v>Shah Rukh Khan</v>
      </c>
      <c r="I552" s="11" t="s">
        <v>2202</v>
      </c>
      <c r="J552" s="9">
        <v>42296.0</v>
      </c>
      <c r="K552" s="9" t="s">
        <v>2203</v>
      </c>
      <c r="L552" s="9">
        <v>286.0</v>
      </c>
      <c r="M552" s="9" t="s">
        <v>670</v>
      </c>
      <c r="N552" s="9" t="s">
        <v>671</v>
      </c>
      <c r="O552" s="10">
        <v>7217600.0</v>
      </c>
      <c r="P552" s="10">
        <f t="shared" si="2"/>
        <v>0</v>
      </c>
      <c r="Q552" s="12">
        <f t="shared" si="3"/>
        <v>4170061</v>
      </c>
      <c r="R552" s="9">
        <v>2012.0</v>
      </c>
      <c r="S552" s="9">
        <v>6.9</v>
      </c>
    </row>
    <row r="553" ht="15.75" customHeight="1">
      <c r="A553" s="25" t="s">
        <v>2204</v>
      </c>
      <c r="B553" s="8" t="str">
        <f>IFERROR(__xludf.DUMMYFUNCTION("REGEXREPLACE(A553, ""[^0-9a-zA-Z .'Ã]"","""")"),"Stephan Elliott")</f>
        <v>Stephan Elliott</v>
      </c>
      <c r="C553" s="26">
        <v>88.0</v>
      </c>
      <c r="D553" s="27">
        <v>1.6459004E7</v>
      </c>
      <c r="E553" s="26" t="s">
        <v>311</v>
      </c>
      <c r="F553" s="9">
        <f t="shared" si="1"/>
        <v>3</v>
      </c>
      <c r="G553" s="26" t="s">
        <v>2205</v>
      </c>
      <c r="H553" s="11" t="str">
        <f>IFERROR(__xludf.DUMMYFUNCTION("REGEXREPLACE(G553, ""[^0-9a-zA-Z .'Ã]"","""")"),"Jason Priestley")</f>
        <v>Jason Priestley</v>
      </c>
      <c r="I553" s="28" t="s">
        <v>2206</v>
      </c>
      <c r="J553" s="26">
        <v>13320.0</v>
      </c>
      <c r="K553" s="26" t="s">
        <v>2207</v>
      </c>
      <c r="L553" s="26">
        <v>415.0</v>
      </c>
      <c r="M553" s="26" t="s">
        <v>24</v>
      </c>
      <c r="N553" s="26" t="s">
        <v>624</v>
      </c>
      <c r="O553" s="27">
        <v>1.5E7</v>
      </c>
      <c r="P553" s="10">
        <f t="shared" si="2"/>
        <v>1459004</v>
      </c>
      <c r="Q553" s="12">
        <f t="shared" si="3"/>
        <v>0</v>
      </c>
      <c r="R553" s="26">
        <v>1999.0</v>
      </c>
      <c r="S553" s="26">
        <v>4.9</v>
      </c>
    </row>
    <row r="554" ht="15.75" customHeight="1">
      <c r="A554" s="7" t="s">
        <v>1655</v>
      </c>
      <c r="B554" s="8" t="str">
        <f>IFERROR(__xludf.DUMMYFUNCTION("REGEXREPLACE(A554, ""[^0-9a-zA-Z .'Ã]"","""")"),"Francis Ford Coppola")</f>
        <v>Francis Ford Coppola</v>
      </c>
      <c r="C554" s="9">
        <v>261.0</v>
      </c>
      <c r="D554" s="10">
        <v>7.88E7</v>
      </c>
      <c r="E554" s="9" t="s">
        <v>679</v>
      </c>
      <c r="F554" s="9">
        <f t="shared" si="1"/>
        <v>2</v>
      </c>
      <c r="G554" s="9" t="s">
        <v>637</v>
      </c>
      <c r="H554" s="11" t="str">
        <f>IFERROR(__xludf.DUMMYFUNCTION("REGEXREPLACE(G554, ""[^0-9a-zA-Z .'Ã]"","""")"),"Harrison Ford")</f>
        <v>Harrison Ford</v>
      </c>
      <c r="I554" s="11" t="s">
        <v>2208</v>
      </c>
      <c r="J554" s="9">
        <v>450676.0</v>
      </c>
      <c r="K554" s="9" t="s">
        <v>2209</v>
      </c>
      <c r="L554" s="9">
        <v>983.0</v>
      </c>
      <c r="M554" s="9" t="s">
        <v>24</v>
      </c>
      <c r="N554" s="9" t="s">
        <v>25</v>
      </c>
      <c r="O554" s="10">
        <v>3.15E7</v>
      </c>
      <c r="P554" s="10">
        <f t="shared" si="2"/>
        <v>47300000</v>
      </c>
      <c r="Q554" s="12">
        <f t="shared" si="3"/>
        <v>0</v>
      </c>
      <c r="R554" s="9">
        <v>1979.0</v>
      </c>
      <c r="S554" s="9">
        <v>8.5</v>
      </c>
    </row>
    <row r="555" ht="15.75" customHeight="1">
      <c r="A555" s="17" t="s">
        <v>2210</v>
      </c>
      <c r="B555" s="8" t="str">
        <f>IFERROR(__xludf.DUMMYFUNCTION("REGEXREPLACE(A555, ""[^0-9a-zA-Z .'Ã]"","""")"),"Matthew O'Callaghan")</f>
        <v>Matthew O'Callaghan</v>
      </c>
      <c r="C555" s="18">
        <v>87.0</v>
      </c>
      <c r="D555" s="19">
        <v>5.8336565E7</v>
      </c>
      <c r="E555" s="18" t="s">
        <v>1813</v>
      </c>
      <c r="F555" s="9">
        <f t="shared" si="1"/>
        <v>4</v>
      </c>
      <c r="G555" s="18" t="s">
        <v>441</v>
      </c>
      <c r="H555" s="11" t="str">
        <f>IFERROR(__xludf.DUMMYFUNCTION("REGEXREPLACE(G555, ""[^0-9a-zA-Z .'Ã]"","""")"),"Will Ferrell")</f>
        <v>Will Ferrell</v>
      </c>
      <c r="I555" s="20" t="s">
        <v>2211</v>
      </c>
      <c r="J555" s="18">
        <v>12845.0</v>
      </c>
      <c r="K555" s="18" t="s">
        <v>2212</v>
      </c>
      <c r="L555" s="18">
        <v>118.0</v>
      </c>
      <c r="M555" s="18" t="s">
        <v>24</v>
      </c>
      <c r="N555" s="18" t="s">
        <v>25</v>
      </c>
      <c r="O555" s="19">
        <v>5.0E7</v>
      </c>
      <c r="P555" s="10">
        <f t="shared" si="2"/>
        <v>8336565</v>
      </c>
      <c r="Q555" s="12">
        <f t="shared" si="3"/>
        <v>0</v>
      </c>
      <c r="R555" s="18">
        <v>2006.0</v>
      </c>
      <c r="S555" s="18">
        <v>6.6</v>
      </c>
    </row>
    <row r="556" ht="15.75" customHeight="1">
      <c r="A556" s="7" t="s">
        <v>1187</v>
      </c>
      <c r="B556" s="8" t="str">
        <f>IFERROR(__xludf.DUMMYFUNCTION("REGEXREPLACE(A556, ""[^0-9a-zA-Z .'Ã]"","""")"),"Ang Lee")</f>
        <v>Ang Lee</v>
      </c>
      <c r="C556" s="9">
        <v>124.0</v>
      </c>
      <c r="D556" s="10">
        <v>7837632.0</v>
      </c>
      <c r="E556" s="9" t="s">
        <v>103</v>
      </c>
      <c r="F556" s="9">
        <f t="shared" si="1"/>
        <v>1</v>
      </c>
      <c r="G556" s="9" t="s">
        <v>2213</v>
      </c>
      <c r="H556" s="11" t="str">
        <f>IFERROR(__xludf.DUMMYFUNCTION("REGEXREPLACE(G556, ""[^0-9a-zA-Z .'Ã]"","""")"),"Joan Allen")</f>
        <v>Joan Allen</v>
      </c>
      <c r="I556" s="11" t="s">
        <v>2214</v>
      </c>
      <c r="J556" s="9">
        <v>46396.0</v>
      </c>
      <c r="K556" s="9" t="s">
        <v>2215</v>
      </c>
      <c r="L556" s="9">
        <v>287.0</v>
      </c>
      <c r="M556" s="9" t="s">
        <v>24</v>
      </c>
      <c r="N556" s="9" t="s">
        <v>25</v>
      </c>
      <c r="O556" s="10">
        <v>1.8E7</v>
      </c>
      <c r="P556" s="10">
        <f t="shared" si="2"/>
        <v>0</v>
      </c>
      <c r="Q556" s="12">
        <f t="shared" si="3"/>
        <v>10162368</v>
      </c>
      <c r="R556" s="9">
        <v>1997.0</v>
      </c>
      <c r="S556" s="9">
        <v>7.5</v>
      </c>
    </row>
    <row r="557" ht="15.75" customHeight="1">
      <c r="A557" s="21" t="s">
        <v>877</v>
      </c>
      <c r="B557" s="8" t="str">
        <f>IFERROR(__xludf.DUMMYFUNCTION("REGEXREPLACE(A557, ""[^0-9a-zA-Z .'Ã]"","""")"),"David Ayer")</f>
        <v>David Ayer</v>
      </c>
      <c r="C557" s="22">
        <v>233.0</v>
      </c>
      <c r="D557" s="23">
        <v>1.0499968E7</v>
      </c>
      <c r="E557" s="22" t="s">
        <v>501</v>
      </c>
      <c r="F557" s="9">
        <f t="shared" si="1"/>
        <v>4</v>
      </c>
      <c r="G557" s="22" t="s">
        <v>2216</v>
      </c>
      <c r="H557" s="11" t="str">
        <f>IFERROR(__xludf.DUMMYFUNCTION("REGEXREPLACE(G557, ""[^0-9a-zA-Z .'Ã]"","""")"),"Mireille Enos")</f>
        <v>Mireille Enos</v>
      </c>
      <c r="I557" s="24" t="s">
        <v>2217</v>
      </c>
      <c r="J557" s="22">
        <v>47502.0</v>
      </c>
      <c r="K557" s="22" t="s">
        <v>2218</v>
      </c>
      <c r="L557" s="22">
        <v>212.0</v>
      </c>
      <c r="M557" s="22" t="s">
        <v>24</v>
      </c>
      <c r="N557" s="22" t="s">
        <v>25</v>
      </c>
      <c r="O557" s="23">
        <v>3.5E7</v>
      </c>
      <c r="P557" s="10">
        <f t="shared" si="2"/>
        <v>0</v>
      </c>
      <c r="Q557" s="12">
        <f t="shared" si="3"/>
        <v>24500032</v>
      </c>
      <c r="R557" s="22">
        <v>2014.0</v>
      </c>
      <c r="S557" s="22">
        <v>5.7</v>
      </c>
    </row>
    <row r="558" ht="15.75" customHeight="1">
      <c r="A558" s="7" t="s">
        <v>2219</v>
      </c>
      <c r="B558" s="8" t="str">
        <f>IFERROR(__xludf.DUMMYFUNCTION("REGEXREPLACE(A558, ""[^0-9a-zA-Z -.'Ã]"","""")"),"Juan JosÃ Campanella")</f>
        <v>Juan JosÃ Campanella</v>
      </c>
      <c r="C558" s="9">
        <v>262.0</v>
      </c>
      <c r="D558" s="10">
        <v>2.0167424E7</v>
      </c>
      <c r="E558" s="9" t="s">
        <v>311</v>
      </c>
      <c r="F558" s="9">
        <f t="shared" si="1"/>
        <v>3</v>
      </c>
      <c r="G558" s="9" t="s">
        <v>2220</v>
      </c>
      <c r="H558" s="11" t="str">
        <f>IFERROR(__xludf.DUMMYFUNCTION("REGEXREPLACE(G558, ""[^0-9a-zA-Z .'Ã]"","""")"),"Ricardo DarÃn")</f>
        <v>Ricardo DarÃn</v>
      </c>
      <c r="I558" s="11" t="s">
        <v>2221</v>
      </c>
      <c r="J558" s="9">
        <v>131831.0</v>
      </c>
      <c r="K558" s="9" t="s">
        <v>2222</v>
      </c>
      <c r="L558" s="9">
        <v>231.0</v>
      </c>
      <c r="M558" s="9" t="s">
        <v>1553</v>
      </c>
      <c r="N558" s="9" t="s">
        <v>2223</v>
      </c>
      <c r="O558" s="10">
        <v>2000000.0</v>
      </c>
      <c r="P558" s="10">
        <f t="shared" si="2"/>
        <v>18167424</v>
      </c>
      <c r="Q558" s="12">
        <f t="shared" si="3"/>
        <v>0</v>
      </c>
      <c r="R558" s="9">
        <v>2009.0</v>
      </c>
      <c r="S558" s="9">
        <v>8.2</v>
      </c>
    </row>
    <row r="559" ht="15.75" customHeight="1">
      <c r="A559" s="13" t="s">
        <v>2224</v>
      </c>
      <c r="B559" s="8" t="str">
        <f>IFERROR(__xludf.DUMMYFUNCTION("REGEXREPLACE(A559, ""[^0-9a-zA-Z .'Ã]"","""")"),"Agnieszka Holland")</f>
        <v>Agnieszka Holland</v>
      </c>
      <c r="C559" s="14">
        <v>78.0</v>
      </c>
      <c r="D559" s="15">
        <v>352786.0</v>
      </c>
      <c r="E559" s="14" t="s">
        <v>2225</v>
      </c>
      <c r="F559" s="9">
        <f t="shared" si="1"/>
        <v>3</v>
      </c>
      <c r="G559" s="14" t="s">
        <v>2226</v>
      </c>
      <c r="H559" s="11" t="str">
        <f>IFERROR(__xludf.DUMMYFUNCTION("REGEXREPLACE(G559, ""[^0-9a-zA-Z .'Ã]"","""")"),"Phyllida Law")</f>
        <v>Phyllida Law</v>
      </c>
      <c r="I559" s="16" t="s">
        <v>2227</v>
      </c>
      <c r="J559" s="14">
        <v>11132.0</v>
      </c>
      <c r="K559" s="14" t="s">
        <v>2228</v>
      </c>
      <c r="L559" s="14">
        <v>86.0</v>
      </c>
      <c r="M559" s="14" t="s">
        <v>24</v>
      </c>
      <c r="N559" s="14" t="s">
        <v>25</v>
      </c>
      <c r="O559" s="15">
        <v>1.1E7</v>
      </c>
      <c r="P559" s="10">
        <f t="shared" si="2"/>
        <v>0</v>
      </c>
      <c r="Q559" s="12">
        <f t="shared" si="3"/>
        <v>10647214</v>
      </c>
      <c r="R559" s="14">
        <v>2006.0</v>
      </c>
      <c r="S559" s="14">
        <v>6.8</v>
      </c>
    </row>
    <row r="560" ht="15.75" customHeight="1">
      <c r="A560" s="7" t="s">
        <v>2229</v>
      </c>
      <c r="B560" s="8" t="str">
        <f>IFERROR(__xludf.DUMMYFUNCTION("REGEXREPLACE(A560, ""[^0-9a-zA-Z .'Ã]"","""")"),"Harold Becker")</f>
        <v>Harold Becker</v>
      </c>
      <c r="C560" s="9">
        <v>98.0</v>
      </c>
      <c r="D560" s="10">
        <v>4.5207112E7</v>
      </c>
      <c r="E560" s="9" t="s">
        <v>575</v>
      </c>
      <c r="F560" s="9">
        <f t="shared" si="1"/>
        <v>3</v>
      </c>
      <c r="G560" s="9" t="s">
        <v>453</v>
      </c>
      <c r="H560" s="11" t="str">
        <f>IFERROR(__xludf.DUMMYFUNCTION("REGEXREPLACE(G560, ""[^0-9a-zA-Z .'Ã]"","""")"),"Steve Buscemi")</f>
        <v>Steve Buscemi</v>
      </c>
      <c r="I560" s="11" t="s">
        <v>2230</v>
      </c>
      <c r="J560" s="9">
        <v>21283.0</v>
      </c>
      <c r="K560" s="9" t="s">
        <v>2231</v>
      </c>
      <c r="L560" s="9">
        <v>190.0</v>
      </c>
      <c r="M560" s="9" t="s">
        <v>24</v>
      </c>
      <c r="N560" s="9" t="s">
        <v>25</v>
      </c>
      <c r="O560" s="10">
        <v>5.3E7</v>
      </c>
      <c r="P560" s="10">
        <f t="shared" si="2"/>
        <v>0</v>
      </c>
      <c r="Q560" s="12">
        <f t="shared" si="3"/>
        <v>7792888</v>
      </c>
      <c r="R560" s="9">
        <v>2001.0</v>
      </c>
      <c r="S560" s="9">
        <v>5.5</v>
      </c>
    </row>
    <row r="561" ht="15.75" customHeight="1">
      <c r="A561" s="25" t="s">
        <v>2232</v>
      </c>
      <c r="B561" s="8" t="str">
        <f>IFERROR(__xludf.DUMMYFUNCTION("REGEXREPLACE(A561, ""[^0-9a-zA-Z .'Ã]"","""")"),"Julie Taymor")</f>
        <v>Julie Taymor</v>
      </c>
      <c r="C561" s="26">
        <v>156.0</v>
      </c>
      <c r="D561" s="27">
        <v>2.4343673E7</v>
      </c>
      <c r="E561" s="26" t="s">
        <v>2233</v>
      </c>
      <c r="F561" s="9">
        <f t="shared" si="1"/>
        <v>4</v>
      </c>
      <c r="G561" s="26" t="s">
        <v>2234</v>
      </c>
      <c r="H561" s="11" t="str">
        <f>IFERROR(__xludf.DUMMYFUNCTION("REGEXREPLACE(G561, ""[^0-9a-zA-Z .'Ã]"","""")"),"Jim Sturgess")</f>
        <v>Jim Sturgess</v>
      </c>
      <c r="I561" s="28" t="s">
        <v>2235</v>
      </c>
      <c r="J561" s="26">
        <v>91863.0</v>
      </c>
      <c r="K561" s="26" t="s">
        <v>2236</v>
      </c>
      <c r="L561" s="26">
        <v>524.0</v>
      </c>
      <c r="M561" s="26" t="s">
        <v>24</v>
      </c>
      <c r="N561" s="26" t="s">
        <v>25</v>
      </c>
      <c r="O561" s="27">
        <v>4.5E7</v>
      </c>
      <c r="P561" s="10">
        <f t="shared" si="2"/>
        <v>0</v>
      </c>
      <c r="Q561" s="12">
        <f t="shared" si="3"/>
        <v>20656327</v>
      </c>
      <c r="R561" s="26">
        <v>2007.0</v>
      </c>
      <c r="S561" s="26">
        <v>7.4</v>
      </c>
    </row>
    <row r="562" ht="15.75" customHeight="1">
      <c r="A562" s="21" t="s">
        <v>2237</v>
      </c>
      <c r="B562" s="8" t="str">
        <f>IFERROR(__xludf.DUMMYFUNCTION("REGEXREPLACE(A562, ""[^0-9a-zA-Z .'Ã]"","""")"),"Herbert Ross")</f>
        <v>Herbert Ross</v>
      </c>
      <c r="C562" s="22">
        <v>60.0</v>
      </c>
      <c r="D562" s="23">
        <v>8.0E7</v>
      </c>
      <c r="E562" s="22" t="s">
        <v>734</v>
      </c>
      <c r="F562" s="9">
        <f t="shared" si="1"/>
        <v>3</v>
      </c>
      <c r="G562" s="22" t="s">
        <v>2238</v>
      </c>
      <c r="H562" s="11" t="str">
        <f>IFERROR(__xludf.DUMMYFUNCTION("REGEXREPLACE(G562, ""[^0-9a-zA-Z .'Ã]"","""")"),"Dianne Wiest")</f>
        <v>Dianne Wiest</v>
      </c>
      <c r="I562" s="24" t="s">
        <v>2239</v>
      </c>
      <c r="J562" s="22">
        <v>51459.0</v>
      </c>
      <c r="K562" s="22" t="s">
        <v>2240</v>
      </c>
      <c r="L562" s="22">
        <v>113.0</v>
      </c>
      <c r="M562" s="22" t="s">
        <v>24</v>
      </c>
      <c r="N562" s="22" t="s">
        <v>25</v>
      </c>
      <c r="O562" s="23">
        <v>8200000.0</v>
      </c>
      <c r="P562" s="10">
        <f t="shared" si="2"/>
        <v>71800000</v>
      </c>
      <c r="Q562" s="12">
        <f t="shared" si="3"/>
        <v>0</v>
      </c>
      <c r="R562" s="22">
        <v>1984.0</v>
      </c>
      <c r="S562" s="22">
        <v>6.5</v>
      </c>
    </row>
    <row r="563" ht="15.75" customHeight="1">
      <c r="A563" s="17" t="s">
        <v>1120</v>
      </c>
      <c r="B563" s="8" t="str">
        <f>IFERROR(__xludf.DUMMYFUNCTION("REGEXREPLACE(A563, ""[^0-9a-zA-Z .'Ã]"","""")"),"Brad Silberling")</f>
        <v>Brad Silberling</v>
      </c>
      <c r="C563" s="18">
        <v>26.0</v>
      </c>
      <c r="D563" s="19">
        <v>1.00328194E8</v>
      </c>
      <c r="E563" s="18" t="s">
        <v>514</v>
      </c>
      <c r="F563" s="9">
        <f t="shared" si="1"/>
        <v>3</v>
      </c>
      <c r="G563" s="18" t="s">
        <v>2241</v>
      </c>
      <c r="H563" s="11" t="str">
        <f>IFERROR(__xludf.DUMMYFUNCTION("REGEXREPLACE(G563, ""[^0-9a-zA-Z .'Ã]"","""")"),"Eric Idle")</f>
        <v>Eric Idle</v>
      </c>
      <c r="I563" s="20" t="s">
        <v>2242</v>
      </c>
      <c r="J563" s="18">
        <v>85903.0</v>
      </c>
      <c r="K563" s="18" t="s">
        <v>2243</v>
      </c>
      <c r="L563" s="18">
        <v>92.0</v>
      </c>
      <c r="M563" s="18" t="s">
        <v>24</v>
      </c>
      <c r="N563" s="18" t="s">
        <v>25</v>
      </c>
      <c r="O563" s="19">
        <v>5.0E7</v>
      </c>
      <c r="P563" s="10">
        <f t="shared" si="2"/>
        <v>50328194</v>
      </c>
      <c r="Q563" s="12">
        <f t="shared" si="3"/>
        <v>0</v>
      </c>
      <c r="R563" s="18">
        <v>1995.0</v>
      </c>
      <c r="S563" s="18">
        <v>6.0</v>
      </c>
    </row>
    <row r="564" ht="15.75" customHeight="1">
      <c r="A564" s="29" t="s">
        <v>2244</v>
      </c>
      <c r="B564" s="8" t="str">
        <f>IFERROR(__xludf.DUMMYFUNCTION("REGEXREPLACE(A564, ""[^0-9a-zA-Z .'Ã]"","""")"),"Dave Borthwick")</f>
        <v>Dave Borthwick</v>
      </c>
      <c r="C564" s="30">
        <v>31.0</v>
      </c>
      <c r="D564" s="31">
        <v>7382993.0</v>
      </c>
      <c r="E564" s="30" t="s">
        <v>301</v>
      </c>
      <c r="F564" s="9">
        <f t="shared" si="1"/>
        <v>5</v>
      </c>
      <c r="G564" s="30" t="s">
        <v>2245</v>
      </c>
      <c r="H564" s="11" t="str">
        <f>IFERROR(__xludf.DUMMYFUNCTION("REGEXREPLACE(G564, ""[^0-9a-zA-Z .'Ã]"","""")"),"Jimmy Fallon")</f>
        <v>Jimmy Fallon</v>
      </c>
      <c r="I564" s="32" t="s">
        <v>2246</v>
      </c>
      <c r="J564" s="30">
        <v>3851.0</v>
      </c>
      <c r="K564" s="30" t="s">
        <v>2247</v>
      </c>
      <c r="L564" s="30">
        <v>114.0</v>
      </c>
      <c r="M564" s="30" t="s">
        <v>24</v>
      </c>
      <c r="N564" s="30" t="s">
        <v>25</v>
      </c>
      <c r="O564" s="31">
        <v>2.0E7</v>
      </c>
      <c r="P564" s="10">
        <f t="shared" si="2"/>
        <v>0</v>
      </c>
      <c r="Q564" s="12">
        <f t="shared" si="3"/>
        <v>12617007</v>
      </c>
      <c r="R564" s="30">
        <v>2006.0</v>
      </c>
      <c r="S564" s="30">
        <v>2.8</v>
      </c>
    </row>
    <row r="565" ht="15.75" customHeight="1">
      <c r="A565" s="7" t="s">
        <v>2248</v>
      </c>
      <c r="B565" s="8" t="str">
        <f>IFERROR(__xludf.DUMMYFUNCTION("REGEXREPLACE(A565, ""[^0-9a-zA-Z .'Ã]"","""")"),"Andy Tennant")</f>
        <v>Andy Tennant</v>
      </c>
      <c r="C565" s="9">
        <v>176.0</v>
      </c>
      <c r="D565" s="10">
        <v>7.0224196E7</v>
      </c>
      <c r="E565" s="9" t="s">
        <v>2249</v>
      </c>
      <c r="F565" s="9">
        <f t="shared" si="1"/>
        <v>5</v>
      </c>
      <c r="G565" s="9" t="s">
        <v>80</v>
      </c>
      <c r="H565" s="11" t="str">
        <f>IFERROR(__xludf.DUMMYFUNCTION("REGEXREPLACE(G565, ""[^0-9a-zA-Z .'Ã]"","""")"),"Matthew McConaughey")</f>
        <v>Matthew McConaughey</v>
      </c>
      <c r="I565" s="11" t="s">
        <v>2250</v>
      </c>
      <c r="J565" s="9">
        <v>59352.0</v>
      </c>
      <c r="K565" s="9" t="s">
        <v>2251</v>
      </c>
      <c r="L565" s="9">
        <v>138.0</v>
      </c>
      <c r="M565" s="9" t="s">
        <v>24</v>
      </c>
      <c r="N565" s="9" t="s">
        <v>25</v>
      </c>
      <c r="O565" s="10">
        <v>7.0E7</v>
      </c>
      <c r="P565" s="10">
        <f t="shared" si="2"/>
        <v>224196</v>
      </c>
      <c r="Q565" s="12">
        <f t="shared" si="3"/>
        <v>0</v>
      </c>
      <c r="R565" s="9">
        <v>2008.0</v>
      </c>
      <c r="S565" s="9">
        <v>5.6</v>
      </c>
    </row>
    <row r="566" ht="15.75" customHeight="1">
      <c r="A566" s="21" t="s">
        <v>2252</v>
      </c>
      <c r="B566" s="8" t="str">
        <f>IFERROR(__xludf.DUMMYFUNCTION("REGEXREPLACE(A566, ""[^0-9a-zA-Z .'Ã]"","""")"),"Ruben Fleischer")</f>
        <v>Ruben Fleischer</v>
      </c>
      <c r="C566" s="22">
        <v>415.0</v>
      </c>
      <c r="D566" s="23">
        <v>4.5996718E7</v>
      </c>
      <c r="E566" s="22" t="s">
        <v>501</v>
      </c>
      <c r="F566" s="9">
        <f t="shared" si="1"/>
        <v>4</v>
      </c>
      <c r="G566" s="22" t="s">
        <v>224</v>
      </c>
      <c r="H566" s="11" t="str">
        <f>IFERROR(__xludf.DUMMYFUNCTION("REGEXREPLACE(G566, ""[^0-9a-zA-Z .'Ã]"","""")"),"Ryan Gosling")</f>
        <v>Ryan Gosling</v>
      </c>
      <c r="I566" s="24" t="s">
        <v>2253</v>
      </c>
      <c r="J566" s="22">
        <v>173530.0</v>
      </c>
      <c r="K566" s="22" t="s">
        <v>2254</v>
      </c>
      <c r="L566" s="22">
        <v>264.0</v>
      </c>
      <c r="M566" s="22" t="s">
        <v>24</v>
      </c>
      <c r="N566" s="22" t="s">
        <v>25</v>
      </c>
      <c r="O566" s="23">
        <v>6.0E7</v>
      </c>
      <c r="P566" s="10">
        <f t="shared" si="2"/>
        <v>0</v>
      </c>
      <c r="Q566" s="12">
        <f t="shared" si="3"/>
        <v>14003282</v>
      </c>
      <c r="R566" s="22">
        <v>2013.0</v>
      </c>
      <c r="S566" s="22">
        <v>6.7</v>
      </c>
    </row>
    <row r="567" ht="15.75" customHeight="1">
      <c r="A567" s="7" t="s">
        <v>1962</v>
      </c>
      <c r="B567" s="8" t="str">
        <f>IFERROR(__xludf.DUMMYFUNCTION("REGEXREPLACE(A567, ""[^0-9a-zA-Z .'Ã]"","""")"),"Michel Gondry")</f>
        <v>Michel Gondry</v>
      </c>
      <c r="C567" s="9">
        <v>248.0</v>
      </c>
      <c r="D567" s="10">
        <v>1.1169531E7</v>
      </c>
      <c r="E567" s="9" t="s">
        <v>137</v>
      </c>
      <c r="F567" s="9">
        <f t="shared" si="1"/>
        <v>1</v>
      </c>
      <c r="G567" s="9" t="s">
        <v>2255</v>
      </c>
      <c r="H567" s="11" t="str">
        <f>IFERROR(__xludf.DUMMYFUNCTION("REGEXREPLACE(G567, ""[^0-9a-zA-Z .'Ã]"","""")"),"Quinton Aaron")</f>
        <v>Quinton Aaron</v>
      </c>
      <c r="I567" s="11" t="s">
        <v>2256</v>
      </c>
      <c r="J567" s="9">
        <v>79855.0</v>
      </c>
      <c r="K567" s="9" t="s">
        <v>2257</v>
      </c>
      <c r="L567" s="9">
        <v>235.0</v>
      </c>
      <c r="M567" s="9" t="s">
        <v>24</v>
      </c>
      <c r="N567" s="9" t="s">
        <v>130</v>
      </c>
      <c r="O567" s="10">
        <v>2.0E7</v>
      </c>
      <c r="P567" s="10">
        <f t="shared" si="2"/>
        <v>0</v>
      </c>
      <c r="Q567" s="12">
        <f t="shared" si="3"/>
        <v>8830469</v>
      </c>
      <c r="R567" s="9">
        <v>2008.0</v>
      </c>
      <c r="S567" s="9">
        <v>6.4</v>
      </c>
    </row>
    <row r="568" ht="15.75" customHeight="1">
      <c r="A568" s="29" t="s">
        <v>2258</v>
      </c>
      <c r="B568" s="8" t="str">
        <f>IFERROR(__xludf.DUMMYFUNCTION("REGEXREPLACE(A568, ""[^0-9a-zA-Z .'Ã]"","""")"),"Thor Freudenthal")</f>
        <v>Thor Freudenthal</v>
      </c>
      <c r="C568" s="30">
        <v>111.0</v>
      </c>
      <c r="D568" s="31">
        <v>6.4001297E7</v>
      </c>
      <c r="E568" s="30" t="s">
        <v>857</v>
      </c>
      <c r="F568" s="9">
        <f t="shared" si="1"/>
        <v>2</v>
      </c>
      <c r="G568" s="30" t="s">
        <v>2259</v>
      </c>
      <c r="H568" s="11" t="str">
        <f>IFERROR(__xludf.DUMMYFUNCTION("REGEXREPLACE(G568, ""[^0-9a-zA-Z .'Ã]"","""")"),"ChloÃ Grace Moretz")</f>
        <v>ChloÃ Grace Moretz</v>
      </c>
      <c r="I568" s="32" t="s">
        <v>2260</v>
      </c>
      <c r="J568" s="30">
        <v>32002.0</v>
      </c>
      <c r="K568" s="30" t="s">
        <v>2261</v>
      </c>
      <c r="L568" s="30">
        <v>103.0</v>
      </c>
      <c r="M568" s="30" t="s">
        <v>24</v>
      </c>
      <c r="N568" s="30" t="s">
        <v>25</v>
      </c>
      <c r="O568" s="31">
        <v>1.5E7</v>
      </c>
      <c r="P568" s="10">
        <f t="shared" si="2"/>
        <v>49001297</v>
      </c>
      <c r="Q568" s="12">
        <f t="shared" si="3"/>
        <v>0</v>
      </c>
      <c r="R568" s="30">
        <v>2010.0</v>
      </c>
      <c r="S568" s="30">
        <v>6.2</v>
      </c>
    </row>
    <row r="569" ht="15.75" customHeight="1">
      <c r="A569" s="21" t="s">
        <v>631</v>
      </c>
      <c r="B569" s="8" t="str">
        <f>IFERROR(__xludf.DUMMYFUNCTION("REGEXREPLACE(A569, ""[^0-9a-zA-Z .'Ã]"","""")"),"Richard Donner")</f>
        <v>Richard Donner</v>
      </c>
      <c r="C569" s="22">
        <v>141.0</v>
      </c>
      <c r="D569" s="23">
        <v>1.29734803E8</v>
      </c>
      <c r="E569" s="22" t="s">
        <v>152</v>
      </c>
      <c r="F569" s="9">
        <f t="shared" si="1"/>
        <v>3</v>
      </c>
      <c r="G569" s="22" t="s">
        <v>1555</v>
      </c>
      <c r="H569" s="11" t="str">
        <f>IFERROR(__xludf.DUMMYFUNCTION("REGEXREPLACE(G569, ""[^0-9a-zA-Z .'Ã]"","""")"),"Jet Li")</f>
        <v>Jet Li</v>
      </c>
      <c r="I569" s="24" t="s">
        <v>2262</v>
      </c>
      <c r="J569" s="22">
        <v>127497.0</v>
      </c>
      <c r="K569" s="22" t="s">
        <v>2263</v>
      </c>
      <c r="L569" s="22">
        <v>287.0</v>
      </c>
      <c r="M569" s="22" t="s">
        <v>24</v>
      </c>
      <c r="N569" s="22" t="s">
        <v>25</v>
      </c>
      <c r="O569" s="23">
        <v>1.4E8</v>
      </c>
      <c r="P569" s="10">
        <f t="shared" si="2"/>
        <v>0</v>
      </c>
      <c r="Q569" s="12">
        <f t="shared" si="3"/>
        <v>10265197</v>
      </c>
      <c r="R569" s="22">
        <v>1998.0</v>
      </c>
      <c r="S569" s="22">
        <v>6.6</v>
      </c>
    </row>
    <row r="570" ht="15.75" customHeight="1">
      <c r="A570" s="7" t="s">
        <v>2264</v>
      </c>
      <c r="B570" s="8" t="str">
        <f>IFERROR(__xludf.DUMMYFUNCTION("REGEXREPLACE(A570, ""[^0-9a-zA-Z .'Ã]"","""")"),"Derrick Borte")</f>
        <v>Derrick Borte</v>
      </c>
      <c r="C570" s="9">
        <v>144.0</v>
      </c>
      <c r="D570" s="10">
        <v>1474508.0</v>
      </c>
      <c r="E570" s="9" t="s">
        <v>454</v>
      </c>
      <c r="F570" s="9">
        <f t="shared" si="1"/>
        <v>2</v>
      </c>
      <c r="G570" s="9" t="s">
        <v>1559</v>
      </c>
      <c r="H570" s="11" t="str">
        <f>IFERROR(__xludf.DUMMYFUNCTION("REGEXREPLACE(G570, ""[^0-9a-zA-Z .'Ã]"","""")"),"Demi Moore")</f>
        <v>Demi Moore</v>
      </c>
      <c r="I570" s="11" t="s">
        <v>2265</v>
      </c>
      <c r="J570" s="9">
        <v>33473.0</v>
      </c>
      <c r="K570" s="9" t="s">
        <v>2266</v>
      </c>
      <c r="L570" s="9">
        <v>88.0</v>
      </c>
      <c r="M570" s="9" t="s">
        <v>24</v>
      </c>
      <c r="N570" s="9" t="s">
        <v>25</v>
      </c>
      <c r="O570" s="10">
        <v>5000000.0</v>
      </c>
      <c r="P570" s="10">
        <f t="shared" si="2"/>
        <v>0</v>
      </c>
      <c r="Q570" s="12">
        <f t="shared" si="3"/>
        <v>3525492</v>
      </c>
      <c r="R570" s="9">
        <v>2009.0</v>
      </c>
      <c r="S570" s="9">
        <v>6.5</v>
      </c>
    </row>
    <row r="571" ht="15.75" customHeight="1">
      <c r="A571" s="25" t="s">
        <v>2102</v>
      </c>
      <c r="B571" s="8" t="str">
        <f>IFERROR(__xludf.DUMMYFUNCTION("REGEXREPLACE(A571, ""[^0-9a-zA-Z .'Ã]"","""")"),"James Gunn")</f>
        <v>James Gunn</v>
      </c>
      <c r="C571" s="26">
        <v>653.0</v>
      </c>
      <c r="D571" s="27">
        <v>3.33130696E8</v>
      </c>
      <c r="E571" s="26" t="s">
        <v>185</v>
      </c>
      <c r="F571" s="9">
        <f t="shared" si="1"/>
        <v>3</v>
      </c>
      <c r="G571" s="26" t="s">
        <v>1903</v>
      </c>
      <c r="H571" s="11" t="str">
        <f>IFERROR(__xludf.DUMMYFUNCTION("REGEXREPLACE(G571, ""[^0-9a-zA-Z .'Ã]"","""")"),"Bradley Cooper")</f>
        <v>Bradley Cooper</v>
      </c>
      <c r="I571" s="28" t="s">
        <v>2267</v>
      </c>
      <c r="J571" s="26">
        <v>682155.0</v>
      </c>
      <c r="K571" s="26" t="s">
        <v>2268</v>
      </c>
      <c r="L571" s="26">
        <v>1097.0</v>
      </c>
      <c r="M571" s="26" t="s">
        <v>24</v>
      </c>
      <c r="N571" s="26" t="s">
        <v>25</v>
      </c>
      <c r="O571" s="27">
        <v>1.7E8</v>
      </c>
      <c r="P571" s="10">
        <f t="shared" si="2"/>
        <v>163130696</v>
      </c>
      <c r="Q571" s="12">
        <f t="shared" si="3"/>
        <v>0</v>
      </c>
      <c r="R571" s="26">
        <v>2014.0</v>
      </c>
      <c r="S571" s="26">
        <v>8.1</v>
      </c>
    </row>
    <row r="572" ht="15.75" customHeight="1">
      <c r="A572" s="17" t="s">
        <v>2269</v>
      </c>
      <c r="B572" s="8" t="str">
        <f>IFERROR(__xludf.DUMMYFUNCTION("REGEXREPLACE(A572, ""[^0-9a-zA-Z .'Ã]"","""")"),"James Cox")</f>
        <v>James Cox</v>
      </c>
      <c r="C572" s="18">
        <v>91.0</v>
      </c>
      <c r="D572" s="19">
        <v>1056102.0</v>
      </c>
      <c r="E572" s="18" t="s">
        <v>435</v>
      </c>
      <c r="F572" s="9">
        <f t="shared" si="1"/>
        <v>4</v>
      </c>
      <c r="G572" s="18" t="s">
        <v>2270</v>
      </c>
      <c r="H572" s="11" t="str">
        <f>IFERROR(__xludf.DUMMYFUNCTION("REGEXREPLACE(G572, ""[^0-9a-zA-Z .'Ã]"","""")"),"Alexis Dziena")</f>
        <v>Alexis Dziena</v>
      </c>
      <c r="I572" s="20" t="s">
        <v>2271</v>
      </c>
      <c r="J572" s="18">
        <v>18792.0</v>
      </c>
      <c r="K572" s="18" t="s">
        <v>2272</v>
      </c>
      <c r="L572" s="18">
        <v>153.0</v>
      </c>
      <c r="M572" s="18" t="s">
        <v>24</v>
      </c>
      <c r="N572" s="18" t="s">
        <v>25</v>
      </c>
      <c r="O572" s="19">
        <v>5000000.0</v>
      </c>
      <c r="P572" s="10">
        <f t="shared" si="2"/>
        <v>0</v>
      </c>
      <c r="Q572" s="12">
        <f t="shared" si="3"/>
        <v>3943898</v>
      </c>
      <c r="R572" s="18">
        <v>2003.0</v>
      </c>
      <c r="S572" s="18">
        <v>6.6</v>
      </c>
    </row>
    <row r="573" ht="15.75" customHeight="1">
      <c r="A573" s="7" t="s">
        <v>924</v>
      </c>
      <c r="B573" s="8" t="str">
        <f>IFERROR(__xludf.DUMMYFUNCTION("REGEXREPLACE(A573, ""[^0-9a-zA-Z .'Ã]"","""")"),"Wolfgang Petersen")</f>
        <v>Wolfgang Petersen</v>
      </c>
      <c r="C573" s="9">
        <v>142.0</v>
      </c>
      <c r="D573" s="10">
        <v>1.72620724E8</v>
      </c>
      <c r="E573" s="9" t="s">
        <v>925</v>
      </c>
      <c r="F573" s="9">
        <f t="shared" si="1"/>
        <v>4</v>
      </c>
      <c r="G573" s="9" t="s">
        <v>637</v>
      </c>
      <c r="H573" s="11" t="str">
        <f>IFERROR(__xludf.DUMMYFUNCTION("REGEXREPLACE(G573, ""[^0-9a-zA-Z .'Ã]"","""")"),"Harrison Ford")</f>
        <v>Harrison Ford</v>
      </c>
      <c r="I573" s="11" t="s">
        <v>2273</v>
      </c>
      <c r="J573" s="9">
        <v>146134.0</v>
      </c>
      <c r="K573" s="9" t="s">
        <v>2274</v>
      </c>
      <c r="L573" s="9">
        <v>393.0</v>
      </c>
      <c r="M573" s="9" t="s">
        <v>24</v>
      </c>
      <c r="N573" s="9" t="s">
        <v>25</v>
      </c>
      <c r="O573" s="10">
        <v>8.5E7</v>
      </c>
      <c r="P573" s="10">
        <f t="shared" si="2"/>
        <v>87620724</v>
      </c>
      <c r="Q573" s="12">
        <f t="shared" si="3"/>
        <v>0</v>
      </c>
      <c r="R573" s="9">
        <v>1997.0</v>
      </c>
      <c r="S573" s="9">
        <v>6.4</v>
      </c>
    </row>
    <row r="574" ht="15.75" customHeight="1">
      <c r="A574" s="21" t="s">
        <v>2275</v>
      </c>
      <c r="B574" s="8" t="str">
        <f>IFERROR(__xludf.DUMMYFUNCTION("REGEXREPLACE(A574, ""[^0-9a-zA-Z .'Ã]"","""")"),"John Lasseter")</f>
        <v>John Lasseter</v>
      </c>
      <c r="C574" s="22">
        <v>117.0</v>
      </c>
      <c r="D574" s="23">
        <v>1.62792677E8</v>
      </c>
      <c r="E574" s="22" t="s">
        <v>301</v>
      </c>
      <c r="F574" s="9">
        <f t="shared" si="1"/>
        <v>5</v>
      </c>
      <c r="G574" s="22" t="s">
        <v>483</v>
      </c>
      <c r="H574" s="11" t="str">
        <f>IFERROR(__xludf.DUMMYFUNCTION("REGEXREPLACE(G574, ""[^0-9a-zA-Z .'Ã]"","""")"),"Kevin Spacey")</f>
        <v>Kevin Spacey</v>
      </c>
      <c r="I574" s="24" t="s">
        <v>2276</v>
      </c>
      <c r="J574" s="22">
        <v>211226.0</v>
      </c>
      <c r="K574" s="22" t="s">
        <v>2277</v>
      </c>
      <c r="L574" s="22">
        <v>317.0</v>
      </c>
      <c r="M574" s="22" t="s">
        <v>24</v>
      </c>
      <c r="N574" s="22" t="s">
        <v>25</v>
      </c>
      <c r="O574" s="23">
        <v>1.2E8</v>
      </c>
      <c r="P574" s="10">
        <f t="shared" si="2"/>
        <v>42792677</v>
      </c>
      <c r="Q574" s="12">
        <f t="shared" si="3"/>
        <v>0</v>
      </c>
      <c r="R574" s="22">
        <v>1998.0</v>
      </c>
      <c r="S574" s="22">
        <v>7.2</v>
      </c>
    </row>
    <row r="575" ht="15.75" customHeight="1">
      <c r="A575" s="7" t="s">
        <v>2278</v>
      </c>
      <c r="B575" s="8" t="str">
        <f>IFERROR(__xludf.DUMMYFUNCTION("REGEXREPLACE(A575, ""[^0-9a-zA-Z .'Ã]"","""")"),"Lee Daniels")</f>
        <v>Lee Daniels</v>
      </c>
      <c r="C575" s="9">
        <v>323.0</v>
      </c>
      <c r="D575" s="10">
        <v>4.7536959E7</v>
      </c>
      <c r="E575" s="9" t="s">
        <v>103</v>
      </c>
      <c r="F575" s="9">
        <f t="shared" si="1"/>
        <v>1</v>
      </c>
      <c r="G575" s="9" t="s">
        <v>2279</v>
      </c>
      <c r="H575" s="11" t="str">
        <f>IFERROR(__xludf.DUMMYFUNCTION("REGEXREPLACE(G575, ""[^0-9a-zA-Z .'Ã]"","""")"),"Mo'Nique")</f>
        <v>Mo'Nique</v>
      </c>
      <c r="I575" s="11" t="s">
        <v>2280</v>
      </c>
      <c r="J575" s="9">
        <v>86956.0</v>
      </c>
      <c r="K575" s="9" t="s">
        <v>2281</v>
      </c>
      <c r="L575" s="9">
        <v>275.0</v>
      </c>
      <c r="M575" s="9" t="s">
        <v>24</v>
      </c>
      <c r="N575" s="9" t="s">
        <v>25</v>
      </c>
      <c r="O575" s="10">
        <v>1.0E7</v>
      </c>
      <c r="P575" s="10">
        <f t="shared" si="2"/>
        <v>37536959</v>
      </c>
      <c r="Q575" s="12">
        <f t="shared" si="3"/>
        <v>0</v>
      </c>
      <c r="R575" s="9">
        <v>2009.0</v>
      </c>
      <c r="S575" s="9">
        <v>7.3</v>
      </c>
    </row>
    <row r="576" ht="15.75" customHeight="1">
      <c r="A576" s="13" t="s">
        <v>413</v>
      </c>
      <c r="B576" s="8" t="str">
        <f>IFERROR(__xludf.DUMMYFUNCTION("REGEXREPLACE(A576, ""[^0-9a-zA-Z .'Ã]"","""")"),"Joe Dante")</f>
        <v>Joe Dante</v>
      </c>
      <c r="C576" s="14">
        <v>105.0</v>
      </c>
      <c r="D576" s="15">
        <v>4.1482207E7</v>
      </c>
      <c r="E576" s="14" t="s">
        <v>1099</v>
      </c>
      <c r="F576" s="9">
        <f t="shared" si="1"/>
        <v>3</v>
      </c>
      <c r="G576" s="14" t="s">
        <v>1030</v>
      </c>
      <c r="H576" s="11" t="str">
        <f>IFERROR(__xludf.DUMMYFUNCTION("REGEXREPLACE(G576, ""[^0-9a-zA-Z .'Ã]"","""")"),"Christopher Lee")</f>
        <v>Christopher Lee</v>
      </c>
      <c r="I576" s="16" t="s">
        <v>2282</v>
      </c>
      <c r="J576" s="14">
        <v>68428.0</v>
      </c>
      <c r="K576" s="14" t="s">
        <v>2283</v>
      </c>
      <c r="L576" s="14">
        <v>148.0</v>
      </c>
      <c r="M576" s="14" t="s">
        <v>24</v>
      </c>
      <c r="N576" s="14" t="s">
        <v>25</v>
      </c>
      <c r="O576" s="15">
        <v>5.0E7</v>
      </c>
      <c r="P576" s="10">
        <f t="shared" si="2"/>
        <v>0</v>
      </c>
      <c r="Q576" s="12">
        <f t="shared" si="3"/>
        <v>8517793</v>
      </c>
      <c r="R576" s="14">
        <v>1990.0</v>
      </c>
      <c r="S576" s="14">
        <v>6.3</v>
      </c>
    </row>
    <row r="577" ht="15.75" customHeight="1">
      <c r="A577" s="17" t="s">
        <v>2284</v>
      </c>
      <c r="B577" s="8" t="str">
        <f>IFERROR(__xludf.DUMMYFUNCTION("REGEXREPLACE(A577, ""[^0-9a-zA-Z .'Ã]"","""")"),"Dave Green")</f>
        <v>Dave Green</v>
      </c>
      <c r="C577" s="18">
        <v>112.0</v>
      </c>
      <c r="D577" s="19">
        <v>3.8916903E7</v>
      </c>
      <c r="E577" s="18" t="s">
        <v>2285</v>
      </c>
      <c r="F577" s="9">
        <f t="shared" si="1"/>
        <v>3</v>
      </c>
      <c r="G577" s="18" t="s">
        <v>2286</v>
      </c>
      <c r="H577" s="11" t="str">
        <f>IFERROR(__xludf.DUMMYFUNCTION("REGEXREPLACE(G577, ""[^0-9a-zA-Z .'Ã]"","""")"),"Teo Halm")</f>
        <v>Teo Halm</v>
      </c>
      <c r="I577" s="20" t="s">
        <v>2287</v>
      </c>
      <c r="J577" s="18">
        <v>15664.0</v>
      </c>
      <c r="K577" s="18" t="s">
        <v>2288</v>
      </c>
      <c r="L577" s="18">
        <v>149.0</v>
      </c>
      <c r="M577" s="18" t="s">
        <v>24</v>
      </c>
      <c r="N577" s="18" t="s">
        <v>25</v>
      </c>
      <c r="O577" s="19">
        <v>1.3E7</v>
      </c>
      <c r="P577" s="10">
        <f t="shared" si="2"/>
        <v>25916903</v>
      </c>
      <c r="Q577" s="12">
        <f t="shared" si="3"/>
        <v>0</v>
      </c>
      <c r="R577" s="18">
        <v>2014.0</v>
      </c>
      <c r="S577" s="18">
        <v>5.8</v>
      </c>
    </row>
    <row r="578" ht="15.75" customHeight="1">
      <c r="A578" s="29" t="s">
        <v>2289</v>
      </c>
      <c r="B578" s="8" t="str">
        <f>IFERROR(__xludf.DUMMYFUNCTION("REGEXREPLACE(A578, ""[^0-9a-zA-Z .'Ã]"","""")"),"Ron Fricke")</f>
        <v>Ron Fricke</v>
      </c>
      <c r="C578" s="30">
        <v>115.0</v>
      </c>
      <c r="D578" s="31">
        <v>2601847.0</v>
      </c>
      <c r="E578" s="30" t="s">
        <v>715</v>
      </c>
      <c r="F578" s="9">
        <f t="shared" si="1"/>
        <v>2</v>
      </c>
      <c r="G578" s="30" t="s">
        <v>2290</v>
      </c>
      <c r="H578" s="11" t="str">
        <f>IFERROR(__xludf.DUMMYFUNCTION("REGEXREPLACE(G578, ""[^0-9a-zA-Z .'Ã]"","""")"),"Collin Alfredo St. Dic")</f>
        <v>Collin Alfredo St. Dic</v>
      </c>
      <c r="I578" s="32" t="s">
        <v>2291</v>
      </c>
      <c r="J578" s="30">
        <v>22457.0</v>
      </c>
      <c r="K578" s="30" t="s">
        <v>2292</v>
      </c>
      <c r="L578" s="30">
        <v>69.0</v>
      </c>
      <c r="M578" s="30" t="s">
        <v>2293</v>
      </c>
      <c r="N578" s="30" t="s">
        <v>25</v>
      </c>
      <c r="O578" s="31">
        <v>4000000.0</v>
      </c>
      <c r="P578" s="10">
        <f t="shared" si="2"/>
        <v>0</v>
      </c>
      <c r="Q578" s="12">
        <f t="shared" si="3"/>
        <v>1398153</v>
      </c>
      <c r="R578" s="30">
        <v>2011.0</v>
      </c>
      <c r="S578" s="30">
        <v>8.5</v>
      </c>
    </row>
    <row r="579" ht="15.75" customHeight="1">
      <c r="A579" s="17" t="s">
        <v>2294</v>
      </c>
      <c r="B579" s="8" t="str">
        <f>IFERROR(__xludf.DUMMYFUNCTION("REGEXREPLACE(A579, ""[^0-9a-zA-Z .'Ã]"","""")"),"Larry Charles")</f>
        <v>Larry Charles</v>
      </c>
      <c r="C579" s="18">
        <v>313.0</v>
      </c>
      <c r="D579" s="19">
        <v>5.9617068E7</v>
      </c>
      <c r="E579" s="18" t="s">
        <v>89</v>
      </c>
      <c r="F579" s="9">
        <f t="shared" si="1"/>
        <v>2</v>
      </c>
      <c r="G579" s="18" t="s">
        <v>2295</v>
      </c>
      <c r="H579" s="11" t="str">
        <f>IFERROR(__xludf.DUMMYFUNCTION("REGEXREPLACE(G579, ""[^0-9a-zA-Z .'Ã]"","""")"),"Sayed Badreya")</f>
        <v>Sayed Badreya</v>
      </c>
      <c r="I579" s="20" t="s">
        <v>2296</v>
      </c>
      <c r="J579" s="18">
        <v>213863.0</v>
      </c>
      <c r="K579" s="18" t="s">
        <v>2297</v>
      </c>
      <c r="L579" s="18">
        <v>310.0</v>
      </c>
      <c r="M579" s="18" t="s">
        <v>24</v>
      </c>
      <c r="N579" s="18" t="s">
        <v>25</v>
      </c>
      <c r="O579" s="19">
        <v>6.5E7</v>
      </c>
      <c r="P579" s="10">
        <f t="shared" si="2"/>
        <v>0</v>
      </c>
      <c r="Q579" s="12">
        <f t="shared" si="3"/>
        <v>5382932</v>
      </c>
      <c r="R579" s="18">
        <v>2012.0</v>
      </c>
      <c r="S579" s="18">
        <v>6.4</v>
      </c>
    </row>
    <row r="580" ht="15.75" customHeight="1">
      <c r="A580" s="17" t="s">
        <v>2298</v>
      </c>
      <c r="B580" s="8" t="str">
        <f>IFERROR(__xludf.DUMMYFUNCTION("REGEXREPLACE(A580, ""[^0-9a-zA-Z .'Ã]"","""")"),"Lucky McKee")</f>
        <v>Lucky McKee</v>
      </c>
      <c r="C580" s="18">
        <v>114.0</v>
      </c>
      <c r="D580" s="19">
        <v>145540.0</v>
      </c>
      <c r="E580" s="18" t="s">
        <v>1466</v>
      </c>
      <c r="F580" s="9">
        <f t="shared" si="1"/>
        <v>2</v>
      </c>
      <c r="G580" s="18" t="s">
        <v>2299</v>
      </c>
      <c r="H580" s="11" t="str">
        <f>IFERROR(__xludf.DUMMYFUNCTION("REGEXREPLACE(G580, ""[^0-9a-zA-Z .'Ã]"","""")"),"James Duval")</f>
        <v>James Duval</v>
      </c>
      <c r="I580" s="20" t="s">
        <v>2300</v>
      </c>
      <c r="J580" s="18">
        <v>26773.0</v>
      </c>
      <c r="K580" s="18" t="s">
        <v>2301</v>
      </c>
      <c r="L580" s="18">
        <v>277.0</v>
      </c>
      <c r="M580" s="18" t="s">
        <v>24</v>
      </c>
      <c r="N580" s="18" t="s">
        <v>25</v>
      </c>
      <c r="O580" s="19">
        <v>500000.0</v>
      </c>
      <c r="P580" s="10">
        <f t="shared" si="2"/>
        <v>0</v>
      </c>
      <c r="Q580" s="12">
        <f t="shared" si="3"/>
        <v>354460</v>
      </c>
      <c r="R580" s="18">
        <v>2002.0</v>
      </c>
      <c r="S580" s="18">
        <v>6.7</v>
      </c>
    </row>
    <row r="581" ht="15.75" customHeight="1">
      <c r="A581" s="7" t="s">
        <v>2302</v>
      </c>
      <c r="B581" s="8" t="str">
        <f>IFERROR(__xludf.DUMMYFUNCTION("REGEXREPLACE(A581, ""[^0-9a-zA-Z .'Ã]"","""")"),"George Tillman Jr.")</f>
        <v>George Tillman Jr.</v>
      </c>
      <c r="C581" s="9">
        <v>196.0</v>
      </c>
      <c r="D581" s="10">
        <v>2.3225911E7</v>
      </c>
      <c r="E581" s="9" t="s">
        <v>501</v>
      </c>
      <c r="F581" s="9">
        <f t="shared" si="1"/>
        <v>4</v>
      </c>
      <c r="G581" s="9" t="s">
        <v>50</v>
      </c>
      <c r="H581" s="11" t="str">
        <f>IFERROR(__xludf.DUMMYFUNCTION("REGEXREPLACE(G581, ""[^0-9a-zA-Z .'Ã]"","""")"),"Dwayne Johnson")</f>
        <v>Dwayne Johnson</v>
      </c>
      <c r="I581" s="11" t="s">
        <v>2303</v>
      </c>
      <c r="J581" s="9">
        <v>80574.0</v>
      </c>
      <c r="K581" s="9" t="s">
        <v>2304</v>
      </c>
      <c r="L581" s="9">
        <v>157.0</v>
      </c>
      <c r="M581" s="9" t="s">
        <v>24</v>
      </c>
      <c r="N581" s="9" t="s">
        <v>25</v>
      </c>
      <c r="O581" s="10">
        <v>2.4E7</v>
      </c>
      <c r="P581" s="10">
        <f t="shared" si="2"/>
        <v>0</v>
      </c>
      <c r="Q581" s="12">
        <f t="shared" si="3"/>
        <v>774089</v>
      </c>
      <c r="R581" s="9">
        <v>2010.0</v>
      </c>
      <c r="S581" s="9">
        <v>6.5</v>
      </c>
    </row>
    <row r="582" ht="15.75" customHeight="1">
      <c r="A582" s="17" t="s">
        <v>1796</v>
      </c>
      <c r="B582" s="8" t="str">
        <f>IFERROR(__xludf.DUMMYFUNCTION("REGEXREPLACE(A582, ""[^0-9a-zA-Z .'Ã]"","""")"),"Harold Ramis")</f>
        <v>Harold Ramis</v>
      </c>
      <c r="C582" s="18">
        <v>147.0</v>
      </c>
      <c r="D582" s="19">
        <v>7.0906973E7</v>
      </c>
      <c r="E582" s="18" t="s">
        <v>1741</v>
      </c>
      <c r="F582" s="9">
        <f t="shared" si="1"/>
        <v>3</v>
      </c>
      <c r="G582" s="18" t="s">
        <v>470</v>
      </c>
      <c r="H582" s="11" t="str">
        <f>IFERROR(__xludf.DUMMYFUNCTION("REGEXREPLACE(G582, ""[^0-9a-zA-Z .'Ã]"","""")"),"Bill Murray")</f>
        <v>Bill Murray</v>
      </c>
      <c r="I582" s="20" t="s">
        <v>2305</v>
      </c>
      <c r="J582" s="18">
        <v>437418.0</v>
      </c>
      <c r="K582" s="18" t="s">
        <v>2306</v>
      </c>
      <c r="L582" s="18">
        <v>609.0</v>
      </c>
      <c r="M582" s="18" t="s">
        <v>24</v>
      </c>
      <c r="N582" s="18" t="s">
        <v>25</v>
      </c>
      <c r="O582" s="19">
        <v>1.46E7</v>
      </c>
      <c r="P582" s="10">
        <f t="shared" si="2"/>
        <v>56306973</v>
      </c>
      <c r="Q582" s="12">
        <f t="shared" si="3"/>
        <v>0</v>
      </c>
      <c r="R582" s="18">
        <v>1993.0</v>
      </c>
      <c r="S582" s="18">
        <v>8.1</v>
      </c>
    </row>
    <row r="583" ht="15.75" customHeight="1">
      <c r="A583" s="17" t="s">
        <v>2307</v>
      </c>
      <c r="B583" s="8" t="str">
        <f>IFERROR(__xludf.DUMMYFUNCTION("REGEXREPLACE(A583, ""[^0-9a-zA-Z .'Ã]"","""")"),"Charles Ferguson")</f>
        <v>Charles Ferguson</v>
      </c>
      <c r="C583" s="18">
        <v>79.0</v>
      </c>
      <c r="D583" s="19">
        <v>1430185.0</v>
      </c>
      <c r="E583" s="18" t="s">
        <v>2308</v>
      </c>
      <c r="F583" s="9">
        <f t="shared" si="1"/>
        <v>2</v>
      </c>
      <c r="G583" s="18" t="s">
        <v>2309</v>
      </c>
      <c r="H583" s="11" t="str">
        <f>IFERROR(__xludf.DUMMYFUNCTION("REGEXREPLACE(G583, ""[^0-9a-zA-Z .'Ã]"","""")"),"Campbell Scott")</f>
        <v>Campbell Scott</v>
      </c>
      <c r="I583" s="20" t="s">
        <v>2310</v>
      </c>
      <c r="J583" s="18">
        <v>7314.0</v>
      </c>
      <c r="K583" s="18" t="s">
        <v>2311</v>
      </c>
      <c r="L583" s="18">
        <v>55.0</v>
      </c>
      <c r="M583" s="18" t="s">
        <v>24</v>
      </c>
      <c r="N583" s="18" t="s">
        <v>25</v>
      </c>
      <c r="O583" s="19">
        <v>2000000.0</v>
      </c>
      <c r="P583" s="10">
        <f t="shared" si="2"/>
        <v>0</v>
      </c>
      <c r="Q583" s="12">
        <f t="shared" si="3"/>
        <v>569815</v>
      </c>
      <c r="R583" s="18">
        <v>2007.0</v>
      </c>
      <c r="S583" s="18">
        <v>8.3</v>
      </c>
    </row>
    <row r="584" ht="15.75" customHeight="1">
      <c r="A584" s="7" t="s">
        <v>2312</v>
      </c>
      <c r="B584" s="8" t="str">
        <f>IFERROR(__xludf.DUMMYFUNCTION("REGEXREPLACE(A584, ""[^0-9a-zA-Z .'Ã]"","""")"),"John Singleton")</f>
        <v>John Singleton</v>
      </c>
      <c r="C584" s="9">
        <v>180.0</v>
      </c>
      <c r="D584" s="10">
        <v>2.8064226E7</v>
      </c>
      <c r="E584" s="9" t="s">
        <v>1155</v>
      </c>
      <c r="F584" s="9">
        <f t="shared" si="1"/>
        <v>3</v>
      </c>
      <c r="G584" s="9" t="s">
        <v>2313</v>
      </c>
      <c r="H584" s="11" t="str">
        <f>IFERROR(__xludf.DUMMYFUNCTION("REGEXREPLACE(G584, ""[^0-9a-zA-Z .'Ã]"","""")"),"Ken Arnold")</f>
        <v>Ken Arnold</v>
      </c>
      <c r="I584" s="11" t="s">
        <v>2314</v>
      </c>
      <c r="J584" s="9">
        <v>65044.0</v>
      </c>
      <c r="K584" s="9" t="s">
        <v>2315</v>
      </c>
      <c r="L584" s="9">
        <v>173.0</v>
      </c>
      <c r="M584" s="9" t="s">
        <v>24</v>
      </c>
      <c r="N584" s="9" t="s">
        <v>25</v>
      </c>
      <c r="O584" s="10">
        <v>3.5E7</v>
      </c>
      <c r="P584" s="10">
        <f t="shared" si="2"/>
        <v>0</v>
      </c>
      <c r="Q584" s="12">
        <f t="shared" si="3"/>
        <v>6935774</v>
      </c>
      <c r="R584" s="9">
        <v>2011.0</v>
      </c>
      <c r="S584" s="9">
        <v>5.0</v>
      </c>
    </row>
    <row r="585" ht="15.75" customHeight="1">
      <c r="A585" s="7" t="s">
        <v>2316</v>
      </c>
      <c r="B585" s="8" t="str">
        <f>IFERROR(__xludf.DUMMYFUNCTION("REGEXREPLACE(A585, ""[^0-9a-zA-Z .'Ã]"","""")"),"Michael Radford")</f>
        <v>Michael Radford</v>
      </c>
      <c r="C585" s="9">
        <v>117.0</v>
      </c>
      <c r="D585" s="10">
        <v>3752725.0</v>
      </c>
      <c r="E585" s="9" t="s">
        <v>232</v>
      </c>
      <c r="F585" s="9">
        <f t="shared" si="1"/>
        <v>2</v>
      </c>
      <c r="G585" s="9" t="s">
        <v>317</v>
      </c>
      <c r="H585" s="11" t="str">
        <f>IFERROR(__xludf.DUMMYFUNCTION("REGEXREPLACE(G585, ""[^0-9a-zA-Z .'Ã]"","""")"),"Al Pacino")</f>
        <v>Al Pacino</v>
      </c>
      <c r="I585" s="11" t="s">
        <v>2317</v>
      </c>
      <c r="J585" s="9">
        <v>29715.0</v>
      </c>
      <c r="K585" s="9" t="s">
        <v>2318</v>
      </c>
      <c r="L585" s="9">
        <v>161.0</v>
      </c>
      <c r="M585" s="9" t="s">
        <v>24</v>
      </c>
      <c r="N585" s="9" t="s">
        <v>25</v>
      </c>
      <c r="O585" s="10">
        <v>1.8E7</v>
      </c>
      <c r="P585" s="10">
        <f t="shared" si="2"/>
        <v>0</v>
      </c>
      <c r="Q585" s="12">
        <f t="shared" si="3"/>
        <v>14247275</v>
      </c>
      <c r="R585" s="9">
        <v>2004.0</v>
      </c>
      <c r="S585" s="9">
        <v>7.1</v>
      </c>
    </row>
    <row r="586" ht="15.75" customHeight="1">
      <c r="A586" s="17" t="s">
        <v>2319</v>
      </c>
      <c r="B586" s="8" t="str">
        <f>IFERROR(__xludf.DUMMYFUNCTION("REGEXREPLACE(A586, ""[^0-9a-zA-Z .'Ã]"","""")"),"Wolfgang Becker")</f>
        <v>Wolfgang Becker</v>
      </c>
      <c r="C586" s="18">
        <v>153.0</v>
      </c>
      <c r="D586" s="19">
        <v>4063859.0</v>
      </c>
      <c r="E586" s="18" t="s">
        <v>232</v>
      </c>
      <c r="F586" s="9">
        <f t="shared" si="1"/>
        <v>2</v>
      </c>
      <c r="G586" s="18" t="s">
        <v>2320</v>
      </c>
      <c r="H586" s="11" t="str">
        <f>IFERROR(__xludf.DUMMYFUNCTION("REGEXREPLACE(G586, ""[^0-9a-zA-Z .'Ã]"","""")"),"Florian Lukas")</f>
        <v>Florian Lukas</v>
      </c>
      <c r="I586" s="20" t="s">
        <v>2321</v>
      </c>
      <c r="J586" s="18">
        <v>114407.0</v>
      </c>
      <c r="K586" s="18" t="s">
        <v>2322</v>
      </c>
      <c r="L586" s="18">
        <v>225.0</v>
      </c>
      <c r="M586" s="18" t="s">
        <v>1042</v>
      </c>
      <c r="N586" s="18" t="s">
        <v>173</v>
      </c>
      <c r="O586" s="19">
        <v>4800000.0</v>
      </c>
      <c r="P586" s="10">
        <f t="shared" si="2"/>
        <v>0</v>
      </c>
      <c r="Q586" s="12">
        <f t="shared" si="3"/>
        <v>736141</v>
      </c>
      <c r="R586" s="18">
        <v>2003.0</v>
      </c>
      <c r="S586" s="18">
        <v>7.7</v>
      </c>
    </row>
    <row r="587" ht="15.75" customHeight="1">
      <c r="A587" s="7" t="s">
        <v>2323</v>
      </c>
      <c r="B587" s="8" t="str">
        <f>IFERROR(__xludf.DUMMYFUNCTION("REGEXREPLACE(A587, ""[^0-9a-zA-Z .'Ã]"","""")"),"Jim Sonzero")</f>
        <v>Jim Sonzero</v>
      </c>
      <c r="C587" s="9">
        <v>148.0</v>
      </c>
      <c r="D587" s="10">
        <v>2.0259297E7</v>
      </c>
      <c r="E587" s="9" t="s">
        <v>2324</v>
      </c>
      <c r="F587" s="9">
        <f t="shared" si="1"/>
        <v>4</v>
      </c>
      <c r="G587" s="9" t="s">
        <v>2325</v>
      </c>
      <c r="H587" s="11" t="str">
        <f>IFERROR(__xludf.DUMMYFUNCTION("REGEXREPLACE(G587, ""[^0-9a-zA-Z .'Ã]"","""")"),"Ian Somerhalder")</f>
        <v>Ian Somerhalder</v>
      </c>
      <c r="I587" s="11" t="s">
        <v>2326</v>
      </c>
      <c r="J587" s="9">
        <v>24969.0</v>
      </c>
      <c r="K587" s="9" t="s">
        <v>2327</v>
      </c>
      <c r="L587" s="9">
        <v>258.0</v>
      </c>
      <c r="M587" s="9" t="s">
        <v>24</v>
      </c>
      <c r="N587" s="9" t="s">
        <v>25</v>
      </c>
      <c r="O587" s="10">
        <v>2.0E7</v>
      </c>
      <c r="P587" s="10">
        <f t="shared" si="2"/>
        <v>259297</v>
      </c>
      <c r="Q587" s="12">
        <f t="shared" si="3"/>
        <v>0</v>
      </c>
      <c r="R587" s="9">
        <v>2006.0</v>
      </c>
      <c r="S587" s="9">
        <v>4.7</v>
      </c>
    </row>
    <row r="588" ht="15.75" customHeight="1">
      <c r="A588" s="17" t="s">
        <v>1675</v>
      </c>
      <c r="B588" s="8" t="str">
        <f>IFERROR(__xludf.DUMMYFUNCTION("REGEXREPLACE(A588, ""[^0-9a-zA-Z .'Ã]"","""")"),"Frank Marshall")</f>
        <v>Frank Marshall</v>
      </c>
      <c r="C588" s="18">
        <v>74.0</v>
      </c>
      <c r="D588" s="19">
        <v>5.3133888E7</v>
      </c>
      <c r="E588" s="18" t="s">
        <v>2328</v>
      </c>
      <c r="F588" s="9">
        <f t="shared" si="1"/>
        <v>4</v>
      </c>
      <c r="G588" s="18" t="s">
        <v>1034</v>
      </c>
      <c r="H588" s="11" t="str">
        <f>IFERROR(__xludf.DUMMYFUNCTION("REGEXREPLACE(G588, ""[^0-9a-zA-Z .'Ã]"","""")"),"Julian Sands")</f>
        <v>Julian Sands</v>
      </c>
      <c r="I588" s="20" t="s">
        <v>2329</v>
      </c>
      <c r="J588" s="18">
        <v>50389.0</v>
      </c>
      <c r="K588" s="18" t="s">
        <v>2330</v>
      </c>
      <c r="L588" s="18">
        <v>136.0</v>
      </c>
      <c r="M588" s="18" t="s">
        <v>24</v>
      </c>
      <c r="N588" s="18" t="s">
        <v>25</v>
      </c>
      <c r="O588" s="19">
        <v>3.1E7</v>
      </c>
      <c r="P588" s="10">
        <f t="shared" si="2"/>
        <v>22133888</v>
      </c>
      <c r="Q588" s="12">
        <f t="shared" si="3"/>
        <v>0</v>
      </c>
      <c r="R588" s="18">
        <v>1990.0</v>
      </c>
      <c r="S588" s="18">
        <v>6.3</v>
      </c>
    </row>
    <row r="589" ht="15.75" customHeight="1">
      <c r="A589" s="21" t="s">
        <v>2331</v>
      </c>
      <c r="B589" s="8" t="str">
        <f>IFERROR(__xludf.DUMMYFUNCTION("REGEXREPLACE(A589, ""[^0-9a-zA-Z .'Ã]"","""")"),"Chris Koch")</f>
        <v>Chris Koch</v>
      </c>
      <c r="C589" s="22">
        <v>81.0</v>
      </c>
      <c r="D589" s="23">
        <v>1.5408822E7</v>
      </c>
      <c r="E589" s="22" t="s">
        <v>89</v>
      </c>
      <c r="F589" s="9">
        <f t="shared" si="1"/>
        <v>2</v>
      </c>
      <c r="G589" s="22" t="s">
        <v>2332</v>
      </c>
      <c r="H589" s="11" t="str">
        <f>IFERROR(__xludf.DUMMYFUNCTION("REGEXREPLACE(G589, ""[^0-9a-zA-Z .'Ã]"","""")"),"Thomas Lennon")</f>
        <v>Thomas Lennon</v>
      </c>
      <c r="I589" s="24" t="s">
        <v>2333</v>
      </c>
      <c r="J589" s="22">
        <v>14147.0</v>
      </c>
      <c r="K589" s="22" t="s">
        <v>2334</v>
      </c>
      <c r="L589" s="22">
        <v>92.0</v>
      </c>
      <c r="M589" s="22" t="s">
        <v>24</v>
      </c>
      <c r="N589" s="22" t="s">
        <v>25</v>
      </c>
      <c r="O589" s="23">
        <v>2.0E7</v>
      </c>
      <c r="P589" s="10">
        <f t="shared" si="2"/>
        <v>0</v>
      </c>
      <c r="Q589" s="12">
        <f t="shared" si="3"/>
        <v>4591178</v>
      </c>
      <c r="R589" s="22">
        <v>2003.0</v>
      </c>
      <c r="S589" s="22">
        <v>5.6</v>
      </c>
    </row>
    <row r="590" ht="15.75" customHeight="1">
      <c r="A590" s="21" t="s">
        <v>1458</v>
      </c>
      <c r="B590" s="8" t="str">
        <f>IFERROR(__xludf.DUMMYFUNCTION("REGEXREPLACE(A590, ""[^0-9a-zA-Z .'Ã]"","""")"),"Bobby Farrelly")</f>
        <v>Bobby Farrelly</v>
      </c>
      <c r="C590" s="22">
        <v>155.0</v>
      </c>
      <c r="D590" s="23">
        <v>9.0567722E7</v>
      </c>
      <c r="E590" s="22" t="s">
        <v>137</v>
      </c>
      <c r="F590" s="9">
        <f t="shared" si="1"/>
        <v>1</v>
      </c>
      <c r="G590" s="22" t="s">
        <v>2335</v>
      </c>
      <c r="H590" s="11" t="str">
        <f>IFERROR(__xludf.DUMMYFUNCTION("REGEXREPLACE(G590, ""[^0-9a-zA-Z .'Ã]"","""")"),"Robert Forster")</f>
        <v>Robert Forster</v>
      </c>
      <c r="I590" s="24" t="s">
        <v>2336</v>
      </c>
      <c r="J590" s="22">
        <v>185878.0</v>
      </c>
      <c r="K590" s="22" t="s">
        <v>2337</v>
      </c>
      <c r="L590" s="22">
        <v>481.0</v>
      </c>
      <c r="M590" s="22" t="s">
        <v>24</v>
      </c>
      <c r="N590" s="22" t="s">
        <v>25</v>
      </c>
      <c r="O590" s="23">
        <v>5.1E7</v>
      </c>
      <c r="P590" s="10">
        <f t="shared" si="2"/>
        <v>39567722</v>
      </c>
      <c r="Q590" s="12">
        <f t="shared" si="3"/>
        <v>0</v>
      </c>
      <c r="R590" s="22">
        <v>2000.0</v>
      </c>
      <c r="S590" s="22">
        <v>6.5</v>
      </c>
    </row>
    <row r="591" ht="15.75" customHeight="1">
      <c r="A591" s="25" t="s">
        <v>2338</v>
      </c>
      <c r="B591" s="8" t="str">
        <f>IFERROR(__xludf.DUMMYFUNCTION("REGEXREPLACE(A591, ""[^0-9a-zA-Z .'Ã]"","""")"),"Jonathan Frakes")</f>
        <v>Jonathan Frakes</v>
      </c>
      <c r="C591" s="26">
        <v>69.0</v>
      </c>
      <c r="D591" s="27">
        <v>3.6985501E7</v>
      </c>
      <c r="E591" s="26" t="s">
        <v>2339</v>
      </c>
      <c r="F591" s="9">
        <f t="shared" si="1"/>
        <v>5</v>
      </c>
      <c r="G591" s="26" t="s">
        <v>186</v>
      </c>
      <c r="H591" s="11" t="str">
        <f>IFERROR(__xludf.DUMMYFUNCTION("REGEXREPLACE(G591, ""[^0-9a-zA-Z .'Ã]"","""")"),"Michael Biehn")</f>
        <v>Michael Biehn</v>
      </c>
      <c r="I591" s="28" t="s">
        <v>2340</v>
      </c>
      <c r="J591" s="26">
        <v>11212.0</v>
      </c>
      <c r="K591" s="26" t="s">
        <v>2341</v>
      </c>
      <c r="L591" s="26">
        <v>94.0</v>
      </c>
      <c r="M591" s="26" t="s">
        <v>24</v>
      </c>
      <c r="N591" s="26" t="s">
        <v>25</v>
      </c>
      <c r="O591" s="27">
        <v>2.6E7</v>
      </c>
      <c r="P591" s="10">
        <f t="shared" si="2"/>
        <v>10985501</v>
      </c>
      <c r="Q591" s="12">
        <f t="shared" si="3"/>
        <v>0</v>
      </c>
      <c r="R591" s="26">
        <v>2002.0</v>
      </c>
      <c r="S591" s="26">
        <v>5.2</v>
      </c>
    </row>
    <row r="592" ht="15.75" customHeight="1">
      <c r="A592" s="13" t="s">
        <v>2342</v>
      </c>
      <c r="B592" s="8" t="str">
        <f>IFERROR(__xludf.DUMMYFUNCTION("REGEXREPLACE(A592, ""[^0-9a-zA-Z -.'Ã]"","""")"),"Jean-FranÃois Richet")</f>
        <v>Jean-FranÃois Richet</v>
      </c>
      <c r="C592" s="14">
        <v>152.0</v>
      </c>
      <c r="D592" s="15">
        <v>1.9976073E7</v>
      </c>
      <c r="E592" s="14" t="s">
        <v>501</v>
      </c>
      <c r="F592" s="9">
        <f t="shared" si="1"/>
        <v>4</v>
      </c>
      <c r="G592" s="14" t="s">
        <v>399</v>
      </c>
      <c r="H592" s="11" t="str">
        <f>IFERROR(__xludf.DUMMYFUNCTION("REGEXREPLACE(G592, ""[^0-9a-zA-Z .'Ã]"","""")"),"Brian Dennehy")</f>
        <v>Brian Dennehy</v>
      </c>
      <c r="I592" s="16" t="s">
        <v>2343</v>
      </c>
      <c r="J592" s="14">
        <v>65979.0</v>
      </c>
      <c r="K592" s="14" t="s">
        <v>2344</v>
      </c>
      <c r="L592" s="14">
        <v>220.0</v>
      </c>
      <c r="M592" s="14" t="s">
        <v>24</v>
      </c>
      <c r="N592" s="14" t="s">
        <v>25</v>
      </c>
      <c r="O592" s="15">
        <v>2.0E7</v>
      </c>
      <c r="P592" s="10">
        <f t="shared" si="2"/>
        <v>0</v>
      </c>
      <c r="Q592" s="12">
        <f t="shared" si="3"/>
        <v>23927</v>
      </c>
      <c r="R592" s="14">
        <v>2005.0</v>
      </c>
      <c r="S592" s="14">
        <v>6.3</v>
      </c>
    </row>
    <row r="593" ht="15.75" customHeight="1">
      <c r="A593" s="7" t="s">
        <v>2345</v>
      </c>
      <c r="B593" s="8" t="str">
        <f>IFERROR(__xludf.DUMMYFUNCTION("REGEXREPLACE(A593, ""[^0-9a-zA-Z .'Ã]"","""")"),"Dito Montiel")</f>
        <v>Dito Montiel</v>
      </c>
      <c r="C593" s="9">
        <v>62.0</v>
      </c>
      <c r="D593" s="10">
        <v>28870.0</v>
      </c>
      <c r="E593" s="9" t="s">
        <v>113</v>
      </c>
      <c r="F593" s="9">
        <f t="shared" si="1"/>
        <v>3</v>
      </c>
      <c r="G593" s="9" t="s">
        <v>176</v>
      </c>
      <c r="H593" s="11" t="str">
        <f>IFERROR(__xludf.DUMMYFUNCTION("REGEXREPLACE(G593, ""[^0-9a-zA-Z .'Ã]"","""")"),"Channing Tatum")</f>
        <v>Channing Tatum</v>
      </c>
      <c r="I593" s="11" t="s">
        <v>2346</v>
      </c>
      <c r="J593" s="9">
        <v>14280.0</v>
      </c>
      <c r="K593" s="9" t="s">
        <v>2347</v>
      </c>
      <c r="L593" s="9">
        <v>41.0</v>
      </c>
      <c r="M593" s="9" t="s">
        <v>24</v>
      </c>
      <c r="N593" s="9" t="s">
        <v>25</v>
      </c>
      <c r="O593" s="10">
        <v>1.5E7</v>
      </c>
      <c r="P593" s="10">
        <f t="shared" si="2"/>
        <v>0</v>
      </c>
      <c r="Q593" s="12">
        <f t="shared" si="3"/>
        <v>14971130</v>
      </c>
      <c r="R593" s="9">
        <v>2011.0</v>
      </c>
      <c r="S593" s="9">
        <v>5.1</v>
      </c>
    </row>
    <row r="594" ht="15.75" customHeight="1">
      <c r="A594" s="29" t="s">
        <v>2348</v>
      </c>
      <c r="B594" s="8" t="str">
        <f>IFERROR(__xludf.DUMMYFUNCTION("REGEXREPLACE(A594, ""[^0-9a-zA-Z .'Ã]"","""")"),"Carlos Saldanha")</f>
        <v>Carlos Saldanha</v>
      </c>
      <c r="C594" s="30">
        <v>188.0</v>
      </c>
      <c r="D594" s="31">
        <v>1.96573705E8</v>
      </c>
      <c r="E594" s="30" t="s">
        <v>256</v>
      </c>
      <c r="F594" s="9">
        <f t="shared" si="1"/>
        <v>5</v>
      </c>
      <c r="G594" s="30" t="s">
        <v>2349</v>
      </c>
      <c r="H594" s="11" t="str">
        <f>IFERROR(__xludf.DUMMYFUNCTION("REGEXREPLACE(G594, ""[^0-9a-zA-Z .'Ã]"","""")"),"Denis Leary")</f>
        <v>Denis Leary</v>
      </c>
      <c r="I594" s="32" t="s">
        <v>2350</v>
      </c>
      <c r="J594" s="30">
        <v>166791.0</v>
      </c>
      <c r="K594" s="30" t="s">
        <v>2351</v>
      </c>
      <c r="L594" s="30">
        <v>132.0</v>
      </c>
      <c r="M594" s="30" t="s">
        <v>24</v>
      </c>
      <c r="N594" s="30" t="s">
        <v>25</v>
      </c>
      <c r="O594" s="31">
        <v>9.0E7</v>
      </c>
      <c r="P594" s="10">
        <f t="shared" si="2"/>
        <v>106573705</v>
      </c>
      <c r="Q594" s="12">
        <f t="shared" si="3"/>
        <v>0</v>
      </c>
      <c r="R594" s="30">
        <v>2009.0</v>
      </c>
      <c r="S594" s="30">
        <v>7.0</v>
      </c>
    </row>
    <row r="595" ht="15.75" customHeight="1">
      <c r="A595" s="17" t="s">
        <v>2352</v>
      </c>
      <c r="B595" s="8" t="str">
        <f>IFERROR(__xludf.DUMMYFUNCTION("REGEXREPLACE(A595, ""[^0-9a-zA-Z .'Ã]"","""")"),"Roger Avary")</f>
        <v>Roger Avary</v>
      </c>
      <c r="C595" s="18">
        <v>37.0</v>
      </c>
      <c r="D595" s="19">
        <v>418953.0</v>
      </c>
      <c r="E595" s="18" t="s">
        <v>113</v>
      </c>
      <c r="F595" s="9">
        <f t="shared" si="1"/>
        <v>3</v>
      </c>
      <c r="G595" s="18" t="s">
        <v>2353</v>
      </c>
      <c r="H595" s="11" t="str">
        <f>IFERROR(__xludf.DUMMYFUNCTION("REGEXREPLACE(G595, ""[^0-9a-zA-Z .'Ã]"","""")"),"Eric Stoltz")</f>
        <v>Eric Stoltz</v>
      </c>
      <c r="I595" s="20" t="s">
        <v>2354</v>
      </c>
      <c r="J595" s="18">
        <v>17322.0</v>
      </c>
      <c r="K595" s="18" t="s">
        <v>2355</v>
      </c>
      <c r="L595" s="18">
        <v>93.0</v>
      </c>
      <c r="M595" s="18" t="s">
        <v>24</v>
      </c>
      <c r="N595" s="18" t="s">
        <v>608</v>
      </c>
      <c r="O595" s="19">
        <v>1500000.0</v>
      </c>
      <c r="P595" s="10">
        <f t="shared" si="2"/>
        <v>0</v>
      </c>
      <c r="Q595" s="12">
        <f t="shared" si="3"/>
        <v>1081047</v>
      </c>
      <c r="R595" s="18">
        <v>1993.0</v>
      </c>
      <c r="S595" s="18">
        <v>6.5</v>
      </c>
    </row>
    <row r="596" ht="15.75" customHeight="1">
      <c r="A596" s="17" t="s">
        <v>2356</v>
      </c>
      <c r="B596" s="8" t="str">
        <f>IFERROR(__xludf.DUMMYFUNCTION("REGEXREPLACE(A596, ""[^0-9a-zA-Z .'Ã]"","""")"),"Robert Schwentke")</f>
        <v>Robert Schwentke</v>
      </c>
      <c r="C596" s="18">
        <v>315.0</v>
      </c>
      <c r="D596" s="19">
        <v>9.0356857E7</v>
      </c>
      <c r="E596" s="18" t="s">
        <v>790</v>
      </c>
      <c r="F596" s="9">
        <f t="shared" si="1"/>
        <v>4</v>
      </c>
      <c r="G596" s="18" t="s">
        <v>55</v>
      </c>
      <c r="H596" s="11" t="str">
        <f>IFERROR(__xludf.DUMMYFUNCTION("REGEXREPLACE(G596, ""[^0-9a-zA-Z .'Ã]"","""")"),"Bruce Willis")</f>
        <v>Bruce Willis</v>
      </c>
      <c r="I596" s="20" t="s">
        <v>2357</v>
      </c>
      <c r="J596" s="18">
        <v>238916.0</v>
      </c>
      <c r="K596" s="18" t="s">
        <v>2358</v>
      </c>
      <c r="L596" s="18">
        <v>328.0</v>
      </c>
      <c r="M596" s="18" t="s">
        <v>24</v>
      </c>
      <c r="N596" s="18" t="s">
        <v>25</v>
      </c>
      <c r="O596" s="19">
        <v>5.8E7</v>
      </c>
      <c r="P596" s="10">
        <f t="shared" si="2"/>
        <v>32356857</v>
      </c>
      <c r="Q596" s="12">
        <f t="shared" si="3"/>
        <v>0</v>
      </c>
      <c r="R596" s="18">
        <v>2010.0</v>
      </c>
      <c r="S596" s="18">
        <v>7.1</v>
      </c>
    </row>
    <row r="597" ht="15.75" customHeight="1">
      <c r="A597" s="7" t="s">
        <v>2359</v>
      </c>
      <c r="B597" s="8" t="str">
        <f>IFERROR(__xludf.DUMMYFUNCTION("REGEXREPLACE(A597, ""[^0-9a-zA-Z .'Ã]"","""")"),"Tom Brady")</f>
        <v>Tom Brady</v>
      </c>
      <c r="C597" s="9">
        <v>49.0</v>
      </c>
      <c r="D597" s="10">
        <v>2331318.0</v>
      </c>
      <c r="E597" s="9" t="s">
        <v>137</v>
      </c>
      <c r="F597" s="9">
        <f t="shared" si="1"/>
        <v>1</v>
      </c>
      <c r="G597" s="9" t="s">
        <v>2360</v>
      </c>
      <c r="H597" s="11" t="str">
        <f>IFERROR(__xludf.DUMMYFUNCTION("REGEXREPLACE(G597, ""[^0-9a-zA-Z .'Ã]"","""")"),"Don Johnson")</f>
        <v>Don Johnson</v>
      </c>
      <c r="I597" s="11" t="s">
        <v>2361</v>
      </c>
      <c r="J597" s="9">
        <v>9541.0</v>
      </c>
      <c r="K597" s="9" t="s">
        <v>2362</v>
      </c>
      <c r="L597" s="9">
        <v>64.0</v>
      </c>
      <c r="M597" s="9" t="s">
        <v>24</v>
      </c>
      <c r="N597" s="9" t="s">
        <v>25</v>
      </c>
      <c r="O597" s="10">
        <v>1.0E7</v>
      </c>
      <c r="P597" s="10">
        <f t="shared" si="2"/>
        <v>0</v>
      </c>
      <c r="Q597" s="12">
        <f t="shared" si="3"/>
        <v>7668682</v>
      </c>
      <c r="R597" s="9">
        <v>2011.0</v>
      </c>
      <c r="S597" s="9">
        <v>3.3</v>
      </c>
    </row>
    <row r="598" ht="15.75" customHeight="1">
      <c r="A598" s="7" t="s">
        <v>2363</v>
      </c>
      <c r="B598" s="8" t="str">
        <f>IFERROR(__xludf.DUMMYFUNCTION("REGEXREPLACE(A598, ""[^0-9a-zA-Z .'Ã]"","""")"),"Stephen Sommers")</f>
        <v>Stephen Sommers</v>
      </c>
      <c r="C598" s="9">
        <v>14.0</v>
      </c>
      <c r="D598" s="10">
        <v>2.4103594E7</v>
      </c>
      <c r="E598" s="9" t="s">
        <v>2364</v>
      </c>
      <c r="F598" s="9">
        <f t="shared" si="1"/>
        <v>4</v>
      </c>
      <c r="G598" s="9" t="s">
        <v>749</v>
      </c>
      <c r="H598" s="11" t="str">
        <f>IFERROR(__xludf.DUMMYFUNCTION("REGEXREPLACE(G598, ""[^0-9a-zA-Z .'Ã]"","""")"),"Curtis Armstrong")</f>
        <v>Curtis Armstrong</v>
      </c>
      <c r="I598" s="11" t="s">
        <v>2365</v>
      </c>
      <c r="J598" s="9">
        <v>6384.0</v>
      </c>
      <c r="K598" s="9" t="s">
        <v>2366</v>
      </c>
      <c r="L598" s="9">
        <v>54.0</v>
      </c>
      <c r="M598" s="9" t="s">
        <v>24</v>
      </c>
      <c r="N598" s="9" t="s">
        <v>25</v>
      </c>
      <c r="O598" s="10">
        <v>6500000.0</v>
      </c>
      <c r="P598" s="10">
        <f t="shared" si="2"/>
        <v>17603594</v>
      </c>
      <c r="Q598" s="12">
        <f t="shared" si="3"/>
        <v>0</v>
      </c>
      <c r="R598" s="9">
        <v>1993.0</v>
      </c>
      <c r="S598" s="9">
        <v>6.2</v>
      </c>
    </row>
    <row r="599" ht="15.75" customHeight="1">
      <c r="A599" s="7" t="s">
        <v>2367</v>
      </c>
      <c r="B599" s="8" t="str">
        <f>IFERROR(__xludf.DUMMYFUNCTION("REGEXREPLACE(A599, ""[^0-9a-zA-Z .'Ã]"","""")"),"Audrey Wells")</f>
        <v>Audrey Wells</v>
      </c>
      <c r="C599" s="9">
        <v>111.0</v>
      </c>
      <c r="D599" s="10">
        <v>4.3601508E7</v>
      </c>
      <c r="E599" s="9" t="s">
        <v>159</v>
      </c>
      <c r="F599" s="9">
        <f t="shared" si="1"/>
        <v>3</v>
      </c>
      <c r="G599" s="9" t="s">
        <v>2368</v>
      </c>
      <c r="H599" s="11" t="str">
        <f>IFERROR(__xludf.DUMMYFUNCTION("REGEXREPLACE(G599, ""[^0-9a-zA-Z .'Ã]"","""")"),"Raoul Bova")</f>
        <v>Raoul Bova</v>
      </c>
      <c r="I599" s="11" t="s">
        <v>2369</v>
      </c>
      <c r="J599" s="9">
        <v>35718.0</v>
      </c>
      <c r="K599" s="9" t="s">
        <v>2370</v>
      </c>
      <c r="L599" s="9">
        <v>317.0</v>
      </c>
      <c r="M599" s="9" t="s">
        <v>24</v>
      </c>
      <c r="N599" s="9" t="s">
        <v>25</v>
      </c>
      <c r="O599" s="10">
        <v>1.8E7</v>
      </c>
      <c r="P599" s="10">
        <f t="shared" si="2"/>
        <v>25601508</v>
      </c>
      <c r="Q599" s="12">
        <f t="shared" si="3"/>
        <v>0</v>
      </c>
      <c r="R599" s="9">
        <v>2003.0</v>
      </c>
      <c r="S599" s="9">
        <v>6.7</v>
      </c>
    </row>
    <row r="600" ht="15.75" customHeight="1">
      <c r="A600" s="7" t="s">
        <v>2371</v>
      </c>
      <c r="B600" s="8" t="str">
        <f>IFERROR(__xludf.DUMMYFUNCTION("REGEXREPLACE(A600, ""[^0-9a-zA-Z .'Ã]"","""")"),"Sydney Pollack")</f>
        <v>Sydney Pollack</v>
      </c>
      <c r="C600" s="9">
        <v>227.0</v>
      </c>
      <c r="D600" s="10">
        <v>7.251536E7</v>
      </c>
      <c r="E600" s="9" t="s">
        <v>575</v>
      </c>
      <c r="F600" s="9">
        <f t="shared" si="1"/>
        <v>3</v>
      </c>
      <c r="G600" s="9" t="s">
        <v>2372</v>
      </c>
      <c r="H600" s="11" t="str">
        <f>IFERROR(__xludf.DUMMYFUNCTION("REGEXREPLACE(G600, ""[^0-9a-zA-Z .'Ã]"","""")"),"Curtiss Cook")</f>
        <v>Curtiss Cook</v>
      </c>
      <c r="I600" s="11" t="s">
        <v>2373</v>
      </c>
      <c r="J600" s="9">
        <v>86152.0</v>
      </c>
      <c r="K600" s="9" t="s">
        <v>2374</v>
      </c>
      <c r="L600" s="9">
        <v>411.0</v>
      </c>
      <c r="M600" s="9" t="s">
        <v>2375</v>
      </c>
      <c r="N600" s="9" t="s">
        <v>130</v>
      </c>
      <c r="O600" s="10">
        <v>8.0E7</v>
      </c>
      <c r="P600" s="10">
        <f t="shared" si="2"/>
        <v>0</v>
      </c>
      <c r="Q600" s="12">
        <f t="shared" si="3"/>
        <v>7484640</v>
      </c>
      <c r="R600" s="9">
        <v>2005.0</v>
      </c>
      <c r="S600" s="9">
        <v>6.4</v>
      </c>
    </row>
    <row r="601" ht="15.75" customHeight="1">
      <c r="A601" s="7" t="s">
        <v>2376</v>
      </c>
      <c r="B601" s="8" t="str">
        <f>IFERROR(__xludf.DUMMYFUNCTION("REGEXREPLACE(A601, ""[^0-9a-zA-Z .'Ã]"","""")"),"John Carney")</f>
        <v>John Carney</v>
      </c>
      <c r="C601" s="9">
        <v>283.0</v>
      </c>
      <c r="D601" s="10">
        <v>1.6168741E7</v>
      </c>
      <c r="E601" s="9" t="s">
        <v>418</v>
      </c>
      <c r="F601" s="9">
        <f t="shared" si="1"/>
        <v>2</v>
      </c>
      <c r="G601" s="9" t="s">
        <v>204</v>
      </c>
      <c r="H601" s="11" t="str">
        <f>IFERROR(__xludf.DUMMYFUNCTION("REGEXREPLACE(G601, ""[^0-9a-zA-Z .'Ã]"","""")"),"James Corden")</f>
        <v>James Corden</v>
      </c>
      <c r="I601" s="11" t="s">
        <v>2377</v>
      </c>
      <c r="J601" s="9">
        <v>99430.0</v>
      </c>
      <c r="K601" s="9" t="s">
        <v>2378</v>
      </c>
      <c r="L601" s="9">
        <v>182.0</v>
      </c>
      <c r="M601" s="9" t="s">
        <v>24</v>
      </c>
      <c r="N601" s="9" t="s">
        <v>25</v>
      </c>
      <c r="O601" s="10">
        <v>8000000.0</v>
      </c>
      <c r="P601" s="10">
        <f t="shared" si="2"/>
        <v>8168741</v>
      </c>
      <c r="Q601" s="12">
        <f t="shared" si="3"/>
        <v>0</v>
      </c>
      <c r="R601" s="9">
        <v>2013.0</v>
      </c>
      <c r="S601" s="9">
        <v>7.4</v>
      </c>
    </row>
    <row r="602" ht="15.75" customHeight="1">
      <c r="A602" s="7" t="s">
        <v>2379</v>
      </c>
      <c r="B602" s="8" t="str">
        <f>IFERROR(__xludf.DUMMYFUNCTION("REGEXREPLACE(A602, ""[^0-9a-zA-Z .'Ã]"","""")"),"Ulu Grosbard")</f>
        <v>Ulu Grosbard</v>
      </c>
      <c r="C602" s="9">
        <v>54.0</v>
      </c>
      <c r="D602" s="10">
        <v>1.3376506E7</v>
      </c>
      <c r="E602" s="9" t="s">
        <v>103</v>
      </c>
      <c r="F602" s="9">
        <f t="shared" si="1"/>
        <v>1</v>
      </c>
      <c r="G602" s="9" t="s">
        <v>2380</v>
      </c>
      <c r="H602" s="11" t="str">
        <f>IFERROR(__xludf.DUMMYFUNCTION("REGEXREPLACE(G602, ""[^0-9a-zA-Z .'Ã]"","""")"),"Alexa PenaVega")</f>
        <v>Alexa PenaVega</v>
      </c>
      <c r="I602" s="11" t="s">
        <v>2381</v>
      </c>
      <c r="J602" s="9">
        <v>10413.0</v>
      </c>
      <c r="K602" s="9" t="s">
        <v>2382</v>
      </c>
      <c r="L602" s="9">
        <v>111.0</v>
      </c>
      <c r="M602" s="9" t="s">
        <v>24</v>
      </c>
      <c r="N602" s="9" t="s">
        <v>25</v>
      </c>
      <c r="O602" s="10">
        <v>4.0E7</v>
      </c>
      <c r="P602" s="10">
        <f t="shared" si="2"/>
        <v>0</v>
      </c>
      <c r="Q602" s="12">
        <f t="shared" si="3"/>
        <v>26623494</v>
      </c>
      <c r="R602" s="9">
        <v>1999.0</v>
      </c>
      <c r="S602" s="9">
        <v>6.3</v>
      </c>
    </row>
    <row r="603" ht="15.75" customHeight="1">
      <c r="A603" s="7" t="s">
        <v>2383</v>
      </c>
      <c r="B603" s="8" t="str">
        <f>IFERROR(__xludf.DUMMYFUNCTION("REGEXREPLACE(A603, ""[^0-9a-zA-Z .'Ã]"","""")"),"Stephen Carpenter")</f>
        <v>Stephen Carpenter</v>
      </c>
      <c r="C603" s="9">
        <v>64.0</v>
      </c>
      <c r="D603" s="10">
        <v>3100650.0</v>
      </c>
      <c r="E603" s="9" t="s">
        <v>2384</v>
      </c>
      <c r="F603" s="9">
        <f t="shared" si="1"/>
        <v>4</v>
      </c>
      <c r="G603" s="9" t="s">
        <v>2385</v>
      </c>
      <c r="H603" s="11" t="str">
        <f>IFERROR(__xludf.DUMMYFUNCTION("REGEXREPLACE(G603, ""[^0-9a-zA-Z .'Ã]"","""")"),"Melissa Sagemiller")</f>
        <v>Melissa Sagemiller</v>
      </c>
      <c r="I603" s="11" t="s">
        <v>2386</v>
      </c>
      <c r="J603" s="9">
        <v>7277.0</v>
      </c>
      <c r="K603" s="9" t="s">
        <v>2387</v>
      </c>
      <c r="L603" s="9">
        <v>181.0</v>
      </c>
      <c r="M603" s="9" t="s">
        <v>24</v>
      </c>
      <c r="N603" s="9" t="s">
        <v>25</v>
      </c>
      <c r="O603" s="10">
        <v>1.4E7</v>
      </c>
      <c r="P603" s="10">
        <f t="shared" si="2"/>
        <v>0</v>
      </c>
      <c r="Q603" s="12">
        <f t="shared" si="3"/>
        <v>10899350</v>
      </c>
      <c r="R603" s="9">
        <v>2001.0</v>
      </c>
      <c r="S603" s="9">
        <v>3.9</v>
      </c>
    </row>
    <row r="604" ht="15.75" customHeight="1">
      <c r="A604" s="7" t="s">
        <v>2388</v>
      </c>
      <c r="B604" s="8" t="str">
        <f>IFERROR(__xludf.DUMMYFUNCTION("REGEXREPLACE(A604, ""[^0-9a-zA-Z .'Ã]"","""")"),"Paul Greengrass")</f>
        <v>Paul Greengrass</v>
      </c>
      <c r="C604" s="9">
        <v>267.0</v>
      </c>
      <c r="D604" s="10">
        <v>1.08521835E8</v>
      </c>
      <c r="E604" s="9" t="s">
        <v>1096</v>
      </c>
      <c r="F604" s="9">
        <f t="shared" si="1"/>
        <v>2</v>
      </c>
      <c r="G604" s="9" t="s">
        <v>585</v>
      </c>
      <c r="H604" s="11" t="str">
        <f>IFERROR(__xludf.DUMMYFUNCTION("REGEXREPLACE(G604, ""[^0-9a-zA-Z .'Ã]"","""")"),"Matt Damon")</f>
        <v>Matt Damon</v>
      </c>
      <c r="I604" s="11" t="s">
        <v>2389</v>
      </c>
      <c r="J604" s="9">
        <v>40123.0</v>
      </c>
      <c r="K604" s="9" t="s">
        <v>2390</v>
      </c>
      <c r="L604" s="9">
        <v>297.0</v>
      </c>
      <c r="M604" s="9" t="s">
        <v>24</v>
      </c>
      <c r="N604" s="9" t="s">
        <v>130</v>
      </c>
      <c r="O604" s="10">
        <v>1.2E8</v>
      </c>
      <c r="P604" s="10">
        <f t="shared" si="2"/>
        <v>0</v>
      </c>
      <c r="Q604" s="12">
        <f t="shared" si="3"/>
        <v>11478165</v>
      </c>
      <c r="R604" s="9">
        <v>2016.0</v>
      </c>
      <c r="S604" s="9">
        <v>7.1</v>
      </c>
    </row>
    <row r="605" ht="15.75" customHeight="1">
      <c r="A605" s="21" t="s">
        <v>320</v>
      </c>
      <c r="B605" s="8" t="str">
        <f>IFERROR(__xludf.DUMMYFUNCTION("REGEXREPLACE(A605, ""[^0-9a-zA-Z .'Ã]"","""")"),"Andrew Fleming")</f>
        <v>Andrew Fleming</v>
      </c>
      <c r="C605" s="22">
        <v>93.0</v>
      </c>
      <c r="D605" s="23">
        <v>2.4881E7</v>
      </c>
      <c r="E605" s="22" t="s">
        <v>2391</v>
      </c>
      <c r="F605" s="9">
        <f t="shared" si="1"/>
        <v>4</v>
      </c>
      <c r="G605" s="22" t="s">
        <v>2392</v>
      </c>
      <c r="H605" s="11" t="str">
        <f>IFERROR(__xludf.DUMMYFUNCTION("REGEXREPLACE(G605, ""[^0-9a-zA-Z .'Ã]"","""")"),"Christine Taylor")</f>
        <v>Christine Taylor</v>
      </c>
      <c r="I605" s="24" t="s">
        <v>2393</v>
      </c>
      <c r="J605" s="22">
        <v>57140.0</v>
      </c>
      <c r="K605" s="22" t="s">
        <v>2394</v>
      </c>
      <c r="L605" s="22">
        <v>195.0</v>
      </c>
      <c r="M605" s="22" t="s">
        <v>24</v>
      </c>
      <c r="N605" s="22" t="s">
        <v>25</v>
      </c>
      <c r="O605" s="23">
        <v>1.5E7</v>
      </c>
      <c r="P605" s="10">
        <f t="shared" si="2"/>
        <v>9881000</v>
      </c>
      <c r="Q605" s="12">
        <f t="shared" si="3"/>
        <v>0</v>
      </c>
      <c r="R605" s="22">
        <v>1996.0</v>
      </c>
      <c r="S605" s="22">
        <v>6.2</v>
      </c>
    </row>
    <row r="606" ht="15.75" customHeight="1">
      <c r="A606" s="21" t="s">
        <v>1558</v>
      </c>
      <c r="B606" s="8" t="str">
        <f>IFERROR(__xludf.DUMMYFUNCTION("REGEXREPLACE(A606, ""[^0-9a-zA-Z .'Ã]"","""")"),"McG")</f>
        <v>McG</v>
      </c>
      <c r="C606" s="22">
        <v>96.0</v>
      </c>
      <c r="D606" s="23">
        <v>4.3532294E7</v>
      </c>
      <c r="E606" s="22" t="s">
        <v>132</v>
      </c>
      <c r="F606" s="9">
        <f t="shared" si="1"/>
        <v>2</v>
      </c>
      <c r="G606" s="22" t="s">
        <v>80</v>
      </c>
      <c r="H606" s="11" t="str">
        <f>IFERROR(__xludf.DUMMYFUNCTION("REGEXREPLACE(G606, ""[^0-9a-zA-Z .'Ã]"","""")"),"Matthew McConaughey")</f>
        <v>Matthew McConaughey</v>
      </c>
      <c r="I606" s="24" t="s">
        <v>2395</v>
      </c>
      <c r="J606" s="22">
        <v>46951.0</v>
      </c>
      <c r="K606" s="22" t="s">
        <v>2396</v>
      </c>
      <c r="L606" s="22">
        <v>175.0</v>
      </c>
      <c r="M606" s="22" t="s">
        <v>24</v>
      </c>
      <c r="N606" s="22" t="s">
        <v>25</v>
      </c>
      <c r="O606" s="23">
        <v>6.5E7</v>
      </c>
      <c r="P606" s="10">
        <f t="shared" si="2"/>
        <v>0</v>
      </c>
      <c r="Q606" s="12">
        <f t="shared" si="3"/>
        <v>21467706</v>
      </c>
      <c r="R606" s="22">
        <v>2006.0</v>
      </c>
      <c r="S606" s="22">
        <v>7.1</v>
      </c>
    </row>
    <row r="607" ht="15.75" customHeight="1">
      <c r="A607" s="13" t="s">
        <v>2275</v>
      </c>
      <c r="B607" s="8" t="str">
        <f>IFERROR(__xludf.DUMMYFUNCTION("REGEXREPLACE(A607, ""[^0-9a-zA-Z .'Ã]"","""")"),"John Lasseter")</f>
        <v>John Lasseter</v>
      </c>
      <c r="C607" s="14">
        <v>304.0</v>
      </c>
      <c r="D607" s="15">
        <v>1.91450875E8</v>
      </c>
      <c r="E607" s="14" t="s">
        <v>2397</v>
      </c>
      <c r="F607" s="9">
        <f t="shared" si="1"/>
        <v>5</v>
      </c>
      <c r="G607" s="14" t="s">
        <v>1981</v>
      </c>
      <c r="H607" s="11" t="str">
        <f>IFERROR(__xludf.DUMMYFUNCTION("REGEXREPLACE(G607, ""[^0-9a-zA-Z .'Ã]"","""")"),"Joe Mantegna")</f>
        <v>Joe Mantegna</v>
      </c>
      <c r="I607" s="16" t="s">
        <v>2398</v>
      </c>
      <c r="J607" s="14">
        <v>101178.0</v>
      </c>
      <c r="K607" s="14" t="s">
        <v>2399</v>
      </c>
      <c r="L607" s="14">
        <v>283.0</v>
      </c>
      <c r="M607" s="14" t="s">
        <v>24</v>
      </c>
      <c r="N607" s="14" t="s">
        <v>25</v>
      </c>
      <c r="O607" s="15">
        <v>2.0E8</v>
      </c>
      <c r="P607" s="10">
        <f t="shared" si="2"/>
        <v>0</v>
      </c>
      <c r="Q607" s="12">
        <f t="shared" si="3"/>
        <v>8549125</v>
      </c>
      <c r="R607" s="14">
        <v>2011.0</v>
      </c>
      <c r="S607" s="14">
        <v>6.3</v>
      </c>
    </row>
    <row r="608" ht="15.75" customHeight="1">
      <c r="A608" s="13" t="s">
        <v>2400</v>
      </c>
      <c r="B608" s="8" t="str">
        <f>IFERROR(__xludf.DUMMYFUNCTION("REGEXREPLACE(A608, ""[^0-9a-zA-Z .'Ã]"","""")"),"Stanley Kubrick")</f>
        <v>Stanley Kubrick</v>
      </c>
      <c r="C608" s="14">
        <v>285.0</v>
      </c>
      <c r="D608" s="15">
        <v>5.6715371E7</v>
      </c>
      <c r="E608" s="14" t="s">
        <v>776</v>
      </c>
      <c r="F608" s="9">
        <f t="shared" si="1"/>
        <v>3</v>
      </c>
      <c r="G608" s="14" t="s">
        <v>2401</v>
      </c>
      <c r="H608" s="11" t="str">
        <f>IFERROR(__xludf.DUMMYFUNCTION("REGEXREPLACE(G608, ""[^0-9a-zA-Z .'Ã]"","""")"),"Keir Dullea")</f>
        <v>Keir Dullea</v>
      </c>
      <c r="I608" s="16" t="s">
        <v>2402</v>
      </c>
      <c r="J608" s="14">
        <v>427357.0</v>
      </c>
      <c r="K608" s="14" t="s">
        <v>2403</v>
      </c>
      <c r="L608" s="14">
        <v>1736.0</v>
      </c>
      <c r="M608" s="14" t="s">
        <v>24</v>
      </c>
      <c r="N608" s="14" t="s">
        <v>130</v>
      </c>
      <c r="O608" s="15">
        <v>1.2E7</v>
      </c>
      <c r="P608" s="10">
        <f t="shared" si="2"/>
        <v>44715371</v>
      </c>
      <c r="Q608" s="12">
        <f t="shared" si="3"/>
        <v>0</v>
      </c>
      <c r="R608" s="14">
        <v>1968.0</v>
      </c>
      <c r="S608" s="14">
        <v>8.3</v>
      </c>
    </row>
    <row r="609" ht="15.75" customHeight="1">
      <c r="A609" s="13" t="s">
        <v>2404</v>
      </c>
      <c r="B609" s="8" t="str">
        <f>IFERROR(__xludf.DUMMYFUNCTION("REGEXREPLACE(A609, ""[^0-9a-zA-Z .'Ã]"","""")"),"Joe Camp")</f>
        <v>Joe Camp</v>
      </c>
      <c r="C609" s="14">
        <v>5.0</v>
      </c>
      <c r="D609" s="15">
        <v>3.95526E7</v>
      </c>
      <c r="E609" s="14" t="s">
        <v>2405</v>
      </c>
      <c r="F609" s="9">
        <f t="shared" si="1"/>
        <v>3</v>
      </c>
      <c r="G609" s="14" t="s">
        <v>2406</v>
      </c>
      <c r="H609" s="11" t="str">
        <f>IFERROR(__xludf.DUMMYFUNCTION("REGEXREPLACE(G609, ""[^0-9a-zA-Z .'Ã]"","""")"),"Frances Bavier")</f>
        <v>Frances Bavier</v>
      </c>
      <c r="I609" s="16" t="s">
        <v>2407</v>
      </c>
      <c r="J609" s="14">
        <v>3411.0</v>
      </c>
      <c r="K609" s="14" t="s">
        <v>2408</v>
      </c>
      <c r="L609" s="14">
        <v>36.0</v>
      </c>
      <c r="M609" s="14" t="s">
        <v>24</v>
      </c>
      <c r="N609" s="14" t="s">
        <v>25</v>
      </c>
      <c r="O609" s="15">
        <v>500000.0</v>
      </c>
      <c r="P609" s="10">
        <f t="shared" si="2"/>
        <v>39052600</v>
      </c>
      <c r="Q609" s="12">
        <f t="shared" si="3"/>
        <v>0</v>
      </c>
      <c r="R609" s="14">
        <v>1974.0</v>
      </c>
      <c r="S609" s="14">
        <v>6.1</v>
      </c>
    </row>
    <row r="610" ht="15.75" customHeight="1">
      <c r="A610" s="25" t="s">
        <v>2409</v>
      </c>
      <c r="B610" s="8" t="str">
        <f>IFERROR(__xludf.DUMMYFUNCTION("REGEXREPLACE(A610, ""[^0-9a-zA-Z .'Ã]"","""")"),"Stephen Frears")</f>
        <v>Stephen Frears</v>
      </c>
      <c r="C610" s="26">
        <v>174.0</v>
      </c>
      <c r="D610" s="27">
        <v>2.7277055E7</v>
      </c>
      <c r="E610" s="26" t="s">
        <v>1009</v>
      </c>
      <c r="F610" s="9">
        <f t="shared" si="1"/>
        <v>4</v>
      </c>
      <c r="G610" s="26" t="s">
        <v>1917</v>
      </c>
      <c r="H610" s="11" t="str">
        <f>IFERROR(__xludf.DUMMYFUNCTION("REGEXREPLACE(G610, ""[^0-9a-zA-Z .'Ã]"","""")"),"Drake Bell")</f>
        <v>Drake Bell</v>
      </c>
      <c r="I610" s="28" t="s">
        <v>2410</v>
      </c>
      <c r="J610" s="26">
        <v>143137.0</v>
      </c>
      <c r="K610" s="26" t="s">
        <v>2411</v>
      </c>
      <c r="L610" s="26">
        <v>602.0</v>
      </c>
      <c r="M610" s="26" t="s">
        <v>24</v>
      </c>
      <c r="N610" s="26" t="s">
        <v>130</v>
      </c>
      <c r="O610" s="27">
        <v>2.0E7</v>
      </c>
      <c r="P610" s="10">
        <f t="shared" si="2"/>
        <v>7277055</v>
      </c>
      <c r="Q610" s="12">
        <f t="shared" si="3"/>
        <v>0</v>
      </c>
      <c r="R610" s="26">
        <v>2000.0</v>
      </c>
      <c r="S610" s="26">
        <v>7.6</v>
      </c>
    </row>
    <row r="611" ht="15.75" customHeight="1">
      <c r="A611" s="29" t="s">
        <v>2020</v>
      </c>
      <c r="B611" s="8" t="str">
        <f>IFERROR(__xludf.DUMMYFUNCTION("REGEXREPLACE(A611, ""[^0-9a-zA-Z .'Ã]"","""")"),"Darren Aronofsky")</f>
        <v>Darren Aronofsky</v>
      </c>
      <c r="C611" s="30">
        <v>274.0</v>
      </c>
      <c r="D611" s="31">
        <v>1.0139254E7</v>
      </c>
      <c r="E611" s="30" t="s">
        <v>882</v>
      </c>
      <c r="F611" s="9">
        <f t="shared" si="1"/>
        <v>2</v>
      </c>
      <c r="G611" s="30" t="s">
        <v>974</v>
      </c>
      <c r="H611" s="11" t="str">
        <f>IFERROR(__xludf.DUMMYFUNCTION("REGEXREPLACE(G611, ""[^0-9a-zA-Z .'Ã]"","""")"),"Hugh Jackman")</f>
        <v>Hugh Jackman</v>
      </c>
      <c r="I611" s="32" t="s">
        <v>2412</v>
      </c>
      <c r="J611" s="30">
        <v>190990.0</v>
      </c>
      <c r="K611" s="30" t="s">
        <v>2413</v>
      </c>
      <c r="L611" s="30">
        <v>915.0</v>
      </c>
      <c r="M611" s="30" t="s">
        <v>24</v>
      </c>
      <c r="N611" s="30" t="s">
        <v>25</v>
      </c>
      <c r="O611" s="31">
        <v>3.5E7</v>
      </c>
      <c r="P611" s="10">
        <f t="shared" si="2"/>
        <v>0</v>
      </c>
      <c r="Q611" s="12">
        <f t="shared" si="3"/>
        <v>24860746</v>
      </c>
      <c r="R611" s="30">
        <v>2006.0</v>
      </c>
      <c r="S611" s="30">
        <v>7.3</v>
      </c>
    </row>
    <row r="612" ht="15.75" customHeight="1">
      <c r="A612" s="21" t="s">
        <v>2414</v>
      </c>
      <c r="B612" s="8" t="str">
        <f>IFERROR(__xludf.DUMMYFUNCTION("REGEXREPLACE(A612, ""[^0-9a-zA-Z .'Ã]"","""")"),"Beeban Kidron")</f>
        <v>Beeban Kidron</v>
      </c>
      <c r="C612" s="22">
        <v>143.0</v>
      </c>
      <c r="D612" s="23">
        <v>4.020302E7</v>
      </c>
      <c r="E612" s="22" t="s">
        <v>159</v>
      </c>
      <c r="F612" s="9">
        <f t="shared" si="1"/>
        <v>3</v>
      </c>
      <c r="G612" s="22" t="s">
        <v>542</v>
      </c>
      <c r="H612" s="11" t="str">
        <f>IFERROR(__xludf.DUMMYFUNCTION("REGEXREPLACE(G612, ""[^0-9a-zA-Z .'Ã]"","""")"),"Colin Firth")</f>
        <v>Colin Firth</v>
      </c>
      <c r="I612" s="24" t="s">
        <v>2415</v>
      </c>
      <c r="J612" s="22">
        <v>74315.0</v>
      </c>
      <c r="K612" s="22" t="s">
        <v>2416</v>
      </c>
      <c r="L612" s="22">
        <v>259.0</v>
      </c>
      <c r="M612" s="22" t="s">
        <v>24</v>
      </c>
      <c r="N612" s="22" t="s">
        <v>130</v>
      </c>
      <c r="O612" s="23">
        <v>4.0E7</v>
      </c>
      <c r="P612" s="10">
        <f t="shared" si="2"/>
        <v>203020</v>
      </c>
      <c r="Q612" s="12">
        <f t="shared" si="3"/>
        <v>0</v>
      </c>
      <c r="R612" s="22">
        <v>2004.0</v>
      </c>
      <c r="S612" s="22">
        <v>5.9</v>
      </c>
    </row>
    <row r="613" ht="15.75" customHeight="1">
      <c r="A613" s="21" t="s">
        <v>654</v>
      </c>
      <c r="B613" s="8" t="str">
        <f>IFERROR(__xludf.DUMMYFUNCTION("REGEXREPLACE(A613, ""[^0-9a-zA-Z -.'Ã]"","""")"),"Jean-Pierre Jeunet")</f>
        <v>Jean-Pierre Jeunet</v>
      </c>
      <c r="C613" s="22">
        <v>223.0</v>
      </c>
      <c r="D613" s="23">
        <v>4.774861E7</v>
      </c>
      <c r="E613" s="22" t="s">
        <v>2417</v>
      </c>
      <c r="F613" s="9">
        <f t="shared" si="1"/>
        <v>3</v>
      </c>
      <c r="G613" s="22" t="s">
        <v>1593</v>
      </c>
      <c r="H613" s="11" t="str">
        <f>IFERROR(__xludf.DUMMYFUNCTION("REGEXREPLACE(G613, ""[^0-9a-zA-Z .'Ã]"","""")"),"Gary Dourdan")</f>
        <v>Gary Dourdan</v>
      </c>
      <c r="I613" s="24" t="s">
        <v>2418</v>
      </c>
      <c r="J613" s="22">
        <v>170179.0</v>
      </c>
      <c r="K613" s="22" t="s">
        <v>2419</v>
      </c>
      <c r="L613" s="22">
        <v>656.0</v>
      </c>
      <c r="M613" s="22" t="s">
        <v>24</v>
      </c>
      <c r="N613" s="22" t="s">
        <v>25</v>
      </c>
      <c r="O613" s="23">
        <v>7.5E7</v>
      </c>
      <c r="P613" s="10">
        <f t="shared" si="2"/>
        <v>0</v>
      </c>
      <c r="Q613" s="12">
        <f t="shared" si="3"/>
        <v>27251390</v>
      </c>
      <c r="R613" s="22">
        <v>1997.0</v>
      </c>
      <c r="S613" s="22">
        <v>6.3</v>
      </c>
    </row>
    <row r="614" ht="15.75" customHeight="1">
      <c r="A614" s="29" t="s">
        <v>1682</v>
      </c>
      <c r="B614" s="8" t="str">
        <f>IFERROR(__xludf.DUMMYFUNCTION("REGEXREPLACE(A614, ""[^0-9a-zA-Z .'Ã]"","""")"),"Paul W.S. Anderson")</f>
        <v>Paul W.S. Anderson</v>
      </c>
      <c r="C614" s="30">
        <v>67.0</v>
      </c>
      <c r="D614" s="31">
        <v>1.4567883E7</v>
      </c>
      <c r="E614" s="30" t="s">
        <v>2420</v>
      </c>
      <c r="F614" s="9">
        <f t="shared" si="1"/>
        <v>3</v>
      </c>
      <c r="G614" s="30" t="s">
        <v>2421</v>
      </c>
      <c r="H614" s="11" t="str">
        <f>IFERROR(__xludf.DUMMYFUNCTION("REGEXREPLACE(G614, ""[^0-9a-zA-Z .'Ã]"","""")"),"Connie Nielsen")</f>
        <v>Connie Nielsen</v>
      </c>
      <c r="I614" s="32" t="s">
        <v>2422</v>
      </c>
      <c r="J614" s="30">
        <v>44248.0</v>
      </c>
      <c r="K614" s="30" t="s">
        <v>2423</v>
      </c>
      <c r="L614" s="30">
        <v>373.0</v>
      </c>
      <c r="M614" s="30" t="s">
        <v>24</v>
      </c>
      <c r="N614" s="30" t="s">
        <v>130</v>
      </c>
      <c r="O614" s="31">
        <v>7.5E7</v>
      </c>
      <c r="P614" s="10">
        <f t="shared" si="2"/>
        <v>0</v>
      </c>
      <c r="Q614" s="12">
        <f t="shared" si="3"/>
        <v>60432117</v>
      </c>
      <c r="R614" s="30">
        <v>1998.0</v>
      </c>
      <c r="S614" s="30">
        <v>6.0</v>
      </c>
    </row>
    <row r="615" ht="15.75" customHeight="1">
      <c r="A615" s="13" t="s">
        <v>1940</v>
      </c>
      <c r="B615" s="8" t="str">
        <f>IFERROR(__xludf.DUMMYFUNCTION("REGEXREPLACE(A615, ""[^0-9a-zA-Z .'Ã]"","""")"),"Stephen Daldry")</f>
        <v>Stephen Daldry</v>
      </c>
      <c r="C615" s="14">
        <v>283.0</v>
      </c>
      <c r="D615" s="15">
        <v>3.1836745E7</v>
      </c>
      <c r="E615" s="14" t="s">
        <v>584</v>
      </c>
      <c r="F615" s="9">
        <f t="shared" si="1"/>
        <v>3</v>
      </c>
      <c r="G615" s="14" t="s">
        <v>461</v>
      </c>
      <c r="H615" s="11" t="str">
        <f>IFERROR(__xludf.DUMMYFUNCTION("REGEXREPLACE(G615, ""[^0-9a-zA-Z .'Ã]"","""")"),"Tom Hanks")</f>
        <v>Tom Hanks</v>
      </c>
      <c r="I615" s="16" t="s">
        <v>2424</v>
      </c>
      <c r="J615" s="14">
        <v>81298.0</v>
      </c>
      <c r="K615" s="14" t="s">
        <v>2425</v>
      </c>
      <c r="L615" s="14">
        <v>341.0</v>
      </c>
      <c r="M615" s="14" t="s">
        <v>24</v>
      </c>
      <c r="N615" s="14" t="s">
        <v>25</v>
      </c>
      <c r="O615" s="15">
        <v>4.0E7</v>
      </c>
      <c r="P615" s="10">
        <f t="shared" si="2"/>
        <v>0</v>
      </c>
      <c r="Q615" s="12">
        <f t="shared" si="3"/>
        <v>8163255</v>
      </c>
      <c r="R615" s="14">
        <v>2011.0</v>
      </c>
      <c r="S615" s="14">
        <v>6.9</v>
      </c>
    </row>
    <row r="616" ht="15.75" customHeight="1">
      <c r="A616" s="7" t="s">
        <v>2426</v>
      </c>
      <c r="B616" s="8" t="str">
        <f>IFERROR(__xludf.DUMMYFUNCTION("REGEXREPLACE(A616, ""[^0-9a-zA-Z .'Ã]"","""")"),"Ray Lawrence")</f>
        <v>Ray Lawrence</v>
      </c>
      <c r="C616" s="9">
        <v>75.0</v>
      </c>
      <c r="D616" s="10">
        <v>399879.0</v>
      </c>
      <c r="E616" s="9" t="s">
        <v>435</v>
      </c>
      <c r="F616" s="9">
        <f t="shared" si="1"/>
        <v>4</v>
      </c>
      <c r="G616" s="9" t="s">
        <v>2427</v>
      </c>
      <c r="H616" s="11" t="str">
        <f>IFERROR(__xludf.DUMMYFUNCTION("REGEXREPLACE(G616, ""[^0-9a-zA-Z .'Ã]"","""")"),"John Howard")</f>
        <v>John Howard</v>
      </c>
      <c r="I616" s="11" t="s">
        <v>2428</v>
      </c>
      <c r="J616" s="9">
        <v>5772.0</v>
      </c>
      <c r="K616" s="9" t="s">
        <v>2429</v>
      </c>
      <c r="L616" s="9">
        <v>115.0</v>
      </c>
      <c r="M616" s="9" t="s">
        <v>24</v>
      </c>
      <c r="N616" s="9" t="s">
        <v>146</v>
      </c>
      <c r="O616" s="10">
        <v>1.5E7</v>
      </c>
      <c r="P616" s="10">
        <f t="shared" si="2"/>
        <v>0</v>
      </c>
      <c r="Q616" s="12">
        <f t="shared" si="3"/>
        <v>14600121</v>
      </c>
      <c r="R616" s="9">
        <v>2006.0</v>
      </c>
      <c r="S616" s="9">
        <v>6.4</v>
      </c>
    </row>
    <row r="617" ht="15.75" customHeight="1">
      <c r="A617" s="25" t="s">
        <v>2430</v>
      </c>
      <c r="B617" s="8" t="str">
        <f>IFERROR(__xludf.DUMMYFUNCTION("REGEXREPLACE(A617, ""[^0-9a-zA-Z .'Ã]"","""")"),"Pete Docter")</f>
        <v>Pete Docter</v>
      </c>
      <c r="C617" s="26">
        <v>408.0</v>
      </c>
      <c r="D617" s="27">
        <v>2.92979556E8</v>
      </c>
      <c r="E617" s="26" t="s">
        <v>1813</v>
      </c>
      <c r="F617" s="9">
        <f t="shared" si="1"/>
        <v>4</v>
      </c>
      <c r="G617" s="26" t="s">
        <v>2431</v>
      </c>
      <c r="H617" s="11" t="str">
        <f>IFERROR(__xludf.DUMMYFUNCTION("REGEXREPLACE(G617, ""[^0-9a-zA-Z .'Ã]"","""")"),"John Ratzenberger")</f>
        <v>John Ratzenberger</v>
      </c>
      <c r="I617" s="28" t="s">
        <v>2432</v>
      </c>
      <c r="J617" s="26">
        <v>665575.0</v>
      </c>
      <c r="K617" s="26" t="s">
        <v>2433</v>
      </c>
      <c r="L617" s="26">
        <v>704.0</v>
      </c>
      <c r="M617" s="26" t="s">
        <v>24</v>
      </c>
      <c r="N617" s="26" t="s">
        <v>25</v>
      </c>
      <c r="O617" s="27">
        <v>1.75E8</v>
      </c>
      <c r="P617" s="10">
        <f t="shared" si="2"/>
        <v>117979556</v>
      </c>
      <c r="Q617" s="12">
        <f t="shared" si="3"/>
        <v>0</v>
      </c>
      <c r="R617" s="26">
        <v>2009.0</v>
      </c>
      <c r="S617" s="26">
        <v>8.3</v>
      </c>
    </row>
    <row r="618" ht="15.75" customHeight="1">
      <c r="A618" s="21" t="s">
        <v>2388</v>
      </c>
      <c r="B618" s="8" t="str">
        <f>IFERROR(__xludf.DUMMYFUNCTION("REGEXREPLACE(A618, ""[^0-9a-zA-Z .'Ã]"","""")"),"Paul Greengrass")</f>
        <v>Paul Greengrass</v>
      </c>
      <c r="C618" s="22">
        <v>491.0</v>
      </c>
      <c r="D618" s="23">
        <v>1.07100855E8</v>
      </c>
      <c r="E618" s="22" t="s">
        <v>431</v>
      </c>
      <c r="F618" s="9">
        <f t="shared" si="1"/>
        <v>3</v>
      </c>
      <c r="G618" s="22" t="s">
        <v>461</v>
      </c>
      <c r="H618" s="11" t="str">
        <f>IFERROR(__xludf.DUMMYFUNCTION("REGEXREPLACE(G618, ""[^0-9a-zA-Z .'Ã]"","""")"),"Tom Hanks")</f>
        <v>Tom Hanks</v>
      </c>
      <c r="I618" s="24" t="s">
        <v>2434</v>
      </c>
      <c r="J618" s="22">
        <v>323353.0</v>
      </c>
      <c r="K618" s="22" t="s">
        <v>2435</v>
      </c>
      <c r="L618" s="22">
        <v>527.0</v>
      </c>
      <c r="M618" s="22" t="s">
        <v>24</v>
      </c>
      <c r="N618" s="22" t="s">
        <v>25</v>
      </c>
      <c r="O618" s="23">
        <v>5.5E7</v>
      </c>
      <c r="P618" s="10">
        <f t="shared" si="2"/>
        <v>52100855</v>
      </c>
      <c r="Q618" s="12">
        <f t="shared" si="3"/>
        <v>0</v>
      </c>
      <c r="R618" s="22">
        <v>2013.0</v>
      </c>
      <c r="S618" s="22">
        <v>7.9</v>
      </c>
    </row>
    <row r="619" ht="15.75" customHeight="1">
      <c r="A619" s="7" t="s">
        <v>1075</v>
      </c>
      <c r="B619" s="8" t="str">
        <f>IFERROR(__xludf.DUMMYFUNCTION("REGEXREPLACE(A619, ""[^0-9a-zA-Z .'Ã]"","""")"),"Irwin Winkler")</f>
        <v>Irwin Winkler</v>
      </c>
      <c r="C619" s="9">
        <v>119.0</v>
      </c>
      <c r="D619" s="10">
        <v>1.3337299E7</v>
      </c>
      <c r="E619" s="9" t="s">
        <v>2436</v>
      </c>
      <c r="F619" s="9">
        <f t="shared" si="1"/>
        <v>4</v>
      </c>
      <c r="G619" s="9" t="s">
        <v>2437</v>
      </c>
      <c r="H619" s="11" t="str">
        <f>IFERROR(__xludf.DUMMYFUNCTION("REGEXREPLACE(G619, ""[^0-9a-zA-Z .'Ã]"","""")"),"Kevin McNally")</f>
        <v>Kevin McNally</v>
      </c>
      <c r="I619" s="11" t="s">
        <v>2438</v>
      </c>
      <c r="J619" s="9">
        <v>9649.0</v>
      </c>
      <c r="K619" s="9" t="s">
        <v>2439</v>
      </c>
      <c r="L619" s="9">
        <v>226.0</v>
      </c>
      <c r="M619" s="9" t="s">
        <v>24</v>
      </c>
      <c r="N619" s="9" t="s">
        <v>25</v>
      </c>
      <c r="O619" s="10">
        <v>2.0E7</v>
      </c>
      <c r="P619" s="10">
        <f t="shared" si="2"/>
        <v>0</v>
      </c>
      <c r="Q619" s="12">
        <f t="shared" si="3"/>
        <v>6662701</v>
      </c>
      <c r="R619" s="9">
        <v>2004.0</v>
      </c>
      <c r="S619" s="9">
        <v>6.6</v>
      </c>
    </row>
    <row r="620" ht="15.75" customHeight="1">
      <c r="A620" s="13" t="s">
        <v>631</v>
      </c>
      <c r="B620" s="8" t="str">
        <f>IFERROR(__xludf.DUMMYFUNCTION("REGEXREPLACE(A620, ""[^0-9a-zA-Z .'Ã]"","""")"),"Richard Donner")</f>
        <v>Richard Donner</v>
      </c>
      <c r="C620" s="14">
        <v>88.0</v>
      </c>
      <c r="D620" s="15">
        <v>6.0328558E7</v>
      </c>
      <c r="E620" s="14" t="s">
        <v>2440</v>
      </c>
      <c r="F620" s="9">
        <f t="shared" si="1"/>
        <v>3</v>
      </c>
      <c r="G620" s="14" t="s">
        <v>470</v>
      </c>
      <c r="H620" s="11" t="str">
        <f>IFERROR(__xludf.DUMMYFUNCTION("REGEXREPLACE(G620, ""[^0-9a-zA-Z .'Ã]"","""")"),"Bill Murray")</f>
        <v>Bill Murray</v>
      </c>
      <c r="I620" s="16" t="s">
        <v>2441</v>
      </c>
      <c r="J620" s="14">
        <v>61396.0</v>
      </c>
      <c r="K620" s="14" t="s">
        <v>2442</v>
      </c>
      <c r="L620" s="14">
        <v>159.0</v>
      </c>
      <c r="M620" s="14" t="s">
        <v>24</v>
      </c>
      <c r="N620" s="14" t="s">
        <v>25</v>
      </c>
      <c r="O620" s="15">
        <v>3.2E7</v>
      </c>
      <c r="P620" s="10">
        <f t="shared" si="2"/>
        <v>28328558</v>
      </c>
      <c r="Q620" s="12">
        <f t="shared" si="3"/>
        <v>0</v>
      </c>
      <c r="R620" s="14">
        <v>1988.0</v>
      </c>
      <c r="S620" s="14">
        <v>7.0</v>
      </c>
    </row>
    <row r="621" ht="15.75" customHeight="1">
      <c r="A621" s="7" t="s">
        <v>284</v>
      </c>
      <c r="B621" s="8" t="str">
        <f>IFERROR(__xludf.DUMMYFUNCTION("REGEXREPLACE(A621, ""[^0-9a-zA-Z .'Ã]"","""")"),"William Brent Bell")</f>
        <v>William Brent Bell</v>
      </c>
      <c r="C621" s="9">
        <v>225.0</v>
      </c>
      <c r="D621" s="10">
        <v>5.3245055E7</v>
      </c>
      <c r="E621" s="9" t="s">
        <v>148</v>
      </c>
      <c r="F621" s="9">
        <f t="shared" si="1"/>
        <v>1</v>
      </c>
      <c r="G621" s="9" t="s">
        <v>2443</v>
      </c>
      <c r="H621" s="11" t="str">
        <f>IFERROR(__xludf.DUMMYFUNCTION("REGEXREPLACE(G621, ""[^0-9a-zA-Z .'Ã]"","""")"),"Fernanda Andrade")</f>
        <v>Fernanda Andrade</v>
      </c>
      <c r="I621" s="11" t="s">
        <v>2444</v>
      </c>
      <c r="J621" s="9">
        <v>30570.0</v>
      </c>
      <c r="K621" s="9" t="s">
        <v>2445</v>
      </c>
      <c r="L621" s="9">
        <v>290.0</v>
      </c>
      <c r="M621" s="9" t="s">
        <v>24</v>
      </c>
      <c r="N621" s="9" t="s">
        <v>25</v>
      </c>
      <c r="O621" s="10">
        <v>1000000.0</v>
      </c>
      <c r="P621" s="10">
        <f t="shared" si="2"/>
        <v>52245055</v>
      </c>
      <c r="Q621" s="12">
        <f t="shared" si="3"/>
        <v>0</v>
      </c>
      <c r="R621" s="9">
        <v>2012.0</v>
      </c>
      <c r="S621" s="9">
        <v>4.2</v>
      </c>
    </row>
    <row r="622" ht="15.75" customHeight="1">
      <c r="A622" s="25" t="s">
        <v>2446</v>
      </c>
      <c r="B622" s="8" t="str">
        <f>IFERROR(__xludf.DUMMYFUNCTION("REGEXREPLACE(A622, ""[^0-9a-zA-Z .'Ã]"","""")"),"Brad Anderson")</f>
        <v>Brad Anderson</v>
      </c>
      <c r="C622" s="26">
        <v>150.0</v>
      </c>
      <c r="D622" s="27">
        <v>2203641.0</v>
      </c>
      <c r="E622" s="26" t="s">
        <v>435</v>
      </c>
      <c r="F622" s="9">
        <f t="shared" si="1"/>
        <v>4</v>
      </c>
      <c r="G622" s="26" t="s">
        <v>2447</v>
      </c>
      <c r="H622" s="11" t="str">
        <f>IFERROR(__xludf.DUMMYFUNCTION("REGEXREPLACE(G622, ""[^0-9a-zA-Z .'Ã]"","""")"),"Thomas Kretschmann")</f>
        <v>Thomas Kretschmann</v>
      </c>
      <c r="I622" s="28" t="s">
        <v>2448</v>
      </c>
      <c r="J622" s="26">
        <v>42792.0</v>
      </c>
      <c r="K622" s="26" t="s">
        <v>2449</v>
      </c>
      <c r="L622" s="26">
        <v>162.0</v>
      </c>
      <c r="M622" s="26" t="s">
        <v>24</v>
      </c>
      <c r="N622" s="26" t="s">
        <v>1108</v>
      </c>
      <c r="O622" s="27">
        <v>1.5E7</v>
      </c>
      <c r="P622" s="10">
        <f t="shared" si="2"/>
        <v>0</v>
      </c>
      <c r="Q622" s="12">
        <f t="shared" si="3"/>
        <v>12796359</v>
      </c>
      <c r="R622" s="26">
        <v>2008.0</v>
      </c>
      <c r="S622" s="26">
        <v>6.7</v>
      </c>
    </row>
    <row r="623" ht="15.75" customHeight="1">
      <c r="A623" s="17" t="s">
        <v>2356</v>
      </c>
      <c r="B623" s="8" t="str">
        <f>IFERROR(__xludf.DUMMYFUNCTION("REGEXREPLACE(A623, ""[^0-9a-zA-Z .'Ã]"","""")"),"Robert Schwentke")</f>
        <v>Robert Schwentke</v>
      </c>
      <c r="C623" s="18">
        <v>208.0</v>
      </c>
      <c r="D623" s="19">
        <v>3.3592415E7</v>
      </c>
      <c r="E623" s="18" t="s">
        <v>2450</v>
      </c>
      <c r="F623" s="9">
        <f t="shared" si="1"/>
        <v>3</v>
      </c>
      <c r="G623" s="18" t="s">
        <v>2451</v>
      </c>
      <c r="H623" s="11" t="str">
        <f>IFERROR(__xludf.DUMMYFUNCTION("REGEXREPLACE(G623, ""[^0-9a-zA-Z .'Ã]"","""")"),"Ryan Reynolds")</f>
        <v>Ryan Reynolds</v>
      </c>
      <c r="I623" s="20" t="s">
        <v>2452</v>
      </c>
      <c r="J623" s="18">
        <v>91640.0</v>
      </c>
      <c r="K623" s="18" t="s">
        <v>2453</v>
      </c>
      <c r="L623" s="18">
        <v>210.0</v>
      </c>
      <c r="M623" s="18" t="s">
        <v>24</v>
      </c>
      <c r="N623" s="18" t="s">
        <v>25</v>
      </c>
      <c r="O623" s="19">
        <v>1.3E8</v>
      </c>
      <c r="P623" s="10">
        <f t="shared" si="2"/>
        <v>0</v>
      </c>
      <c r="Q623" s="12">
        <f t="shared" si="3"/>
        <v>96407585</v>
      </c>
      <c r="R623" s="18">
        <v>2013.0</v>
      </c>
      <c r="S623" s="18">
        <v>5.6</v>
      </c>
    </row>
    <row r="624" ht="15.75" customHeight="1">
      <c r="A624" s="21" t="s">
        <v>2454</v>
      </c>
      <c r="B624" s="8" t="str">
        <f>IFERROR(__xludf.DUMMYFUNCTION("REGEXREPLACE(A624, ""[^0-9a-zA-Z .'Ã]"","""")"),"Joe Berlinger")</f>
        <v>Joe Berlinger</v>
      </c>
      <c r="C624" s="22">
        <v>160.0</v>
      </c>
      <c r="D624" s="23">
        <v>2.6421314E7</v>
      </c>
      <c r="E624" s="22" t="s">
        <v>2455</v>
      </c>
      <c r="F624" s="9">
        <f t="shared" si="1"/>
        <v>5</v>
      </c>
      <c r="G624" s="22" t="s">
        <v>2456</v>
      </c>
      <c r="H624" s="11" t="str">
        <f>IFERROR(__xludf.DUMMYFUNCTION("REGEXREPLACE(G624, ""[^0-9a-zA-Z .'Ã]"","""")"),"Kim Director")</f>
        <v>Kim Director</v>
      </c>
      <c r="I624" s="24" t="s">
        <v>2457</v>
      </c>
      <c r="J624" s="22">
        <v>28964.0</v>
      </c>
      <c r="K624" s="22" t="s">
        <v>2458</v>
      </c>
      <c r="L624" s="22">
        <v>457.0</v>
      </c>
      <c r="M624" s="22" t="s">
        <v>24</v>
      </c>
      <c r="N624" s="22" t="s">
        <v>25</v>
      </c>
      <c r="O624" s="23">
        <v>1.5E7</v>
      </c>
      <c r="P624" s="10">
        <f t="shared" si="2"/>
        <v>11421314</v>
      </c>
      <c r="Q624" s="12">
        <f t="shared" si="3"/>
        <v>0</v>
      </c>
      <c r="R624" s="22">
        <v>2000.0</v>
      </c>
      <c r="S624" s="22">
        <v>4.0</v>
      </c>
    </row>
    <row r="625" ht="15.75" customHeight="1">
      <c r="A625" s="7" t="s">
        <v>2459</v>
      </c>
      <c r="B625" s="8" t="str">
        <f>IFERROR(__xludf.DUMMYFUNCTION("REGEXREPLACE(A625, ""[^0-9a-zA-Z .'Ã]"","""")"),"Gareth Edwards")</f>
        <v>Gareth Edwards</v>
      </c>
      <c r="C625" s="9">
        <v>344.0</v>
      </c>
      <c r="D625" s="10">
        <v>237301.0</v>
      </c>
      <c r="E625" s="9" t="s">
        <v>1231</v>
      </c>
      <c r="F625" s="9">
        <f t="shared" si="1"/>
        <v>3</v>
      </c>
      <c r="G625" s="9" t="s">
        <v>2460</v>
      </c>
      <c r="H625" s="11" t="str">
        <f>IFERROR(__xludf.DUMMYFUNCTION("REGEXREPLACE(G625, ""[^0-9a-zA-Z .'Ã]"","""")"),"Scoot McNairy")</f>
        <v>Scoot McNairy</v>
      </c>
      <c r="I625" s="11" t="s">
        <v>2461</v>
      </c>
      <c r="J625" s="9">
        <v>75669.0</v>
      </c>
      <c r="K625" s="9" t="s">
        <v>2462</v>
      </c>
      <c r="L625" s="9">
        <v>451.0</v>
      </c>
      <c r="M625" s="9" t="s">
        <v>24</v>
      </c>
      <c r="N625" s="9" t="s">
        <v>130</v>
      </c>
      <c r="O625" s="10">
        <v>500000.0</v>
      </c>
      <c r="P625" s="10">
        <f t="shared" si="2"/>
        <v>0</v>
      </c>
      <c r="Q625" s="12">
        <f t="shared" si="3"/>
        <v>262699</v>
      </c>
      <c r="R625" s="9">
        <v>2010.0</v>
      </c>
      <c r="S625" s="9">
        <v>6.4</v>
      </c>
    </row>
    <row r="626" ht="15.75" customHeight="1">
      <c r="A626" s="13" t="s">
        <v>676</v>
      </c>
      <c r="B626" s="8" t="str">
        <f>IFERROR(__xludf.DUMMYFUNCTION("REGEXREPLACE(A626, ""[^0-9a-zA-Z .'Ã]"","""")"),"Stephen Herek")</f>
        <v>Stephen Herek</v>
      </c>
      <c r="C626" s="14">
        <v>22.0</v>
      </c>
      <c r="D626" s="15">
        <v>5.0752337E7</v>
      </c>
      <c r="E626" s="14" t="s">
        <v>2463</v>
      </c>
      <c r="F626" s="9">
        <f t="shared" si="1"/>
        <v>4</v>
      </c>
      <c r="G626" s="14" t="s">
        <v>2464</v>
      </c>
      <c r="H626" s="11" t="str">
        <f>IFERROR(__xludf.DUMMYFUNCTION("REGEXREPLACE(G626, ""[^0-9a-zA-Z .'Ã]"","""")"),"Lane Smith")</f>
        <v>Lane Smith</v>
      </c>
      <c r="I626" s="16" t="s">
        <v>2465</v>
      </c>
      <c r="J626" s="14">
        <v>44502.0</v>
      </c>
      <c r="K626" s="14" t="s">
        <v>2466</v>
      </c>
      <c r="L626" s="14">
        <v>46.0</v>
      </c>
      <c r="M626" s="14" t="s">
        <v>24</v>
      </c>
      <c r="N626" s="14" t="s">
        <v>25</v>
      </c>
      <c r="O626" s="15">
        <v>1.0E7</v>
      </c>
      <c r="P626" s="10">
        <f t="shared" si="2"/>
        <v>40752337</v>
      </c>
      <c r="Q626" s="12">
        <f t="shared" si="3"/>
        <v>0</v>
      </c>
      <c r="R626" s="14">
        <v>1992.0</v>
      </c>
      <c r="S626" s="14">
        <v>6.4</v>
      </c>
    </row>
    <row r="627" ht="15.75" customHeight="1">
      <c r="A627" s="21" t="s">
        <v>2467</v>
      </c>
      <c r="B627" s="8" t="str">
        <f>IFERROR(__xludf.DUMMYFUNCTION("REGEXREPLACE(A627, ""[^0-9a-zA-Z .'Ã]"","""")"),"Richard Lester")</f>
        <v>Richard Lester</v>
      </c>
      <c r="C627" s="22">
        <v>105.0</v>
      </c>
      <c r="D627" s="23">
        <v>515005.0</v>
      </c>
      <c r="E627" s="22" t="s">
        <v>2468</v>
      </c>
      <c r="F627" s="9">
        <f t="shared" si="1"/>
        <v>2</v>
      </c>
      <c r="G627" s="22" t="s">
        <v>2469</v>
      </c>
      <c r="H627" s="11" t="str">
        <f>IFERROR(__xludf.DUMMYFUNCTION("REGEXREPLACE(G627, ""[^0-9a-zA-Z .'Ã]"","""")"),"Paul McCartney")</f>
        <v>Paul McCartney</v>
      </c>
      <c r="I627" s="24" t="s">
        <v>2470</v>
      </c>
      <c r="J627" s="22">
        <v>31429.0</v>
      </c>
      <c r="K627" s="22" t="s">
        <v>2471</v>
      </c>
      <c r="L627" s="22">
        <v>219.0</v>
      </c>
      <c r="M627" s="22" t="s">
        <v>24</v>
      </c>
      <c r="N627" s="22" t="s">
        <v>130</v>
      </c>
      <c r="O627" s="23">
        <v>560000.0</v>
      </c>
      <c r="P627" s="10">
        <f t="shared" si="2"/>
        <v>0</v>
      </c>
      <c r="Q627" s="12">
        <f t="shared" si="3"/>
        <v>44995</v>
      </c>
      <c r="R627" s="22">
        <v>1964.0</v>
      </c>
      <c r="S627" s="22">
        <v>7.7</v>
      </c>
    </row>
    <row r="628" ht="15.75" customHeight="1">
      <c r="A628" s="25" t="s">
        <v>2472</v>
      </c>
      <c r="B628" s="8" t="str">
        <f>IFERROR(__xludf.DUMMYFUNCTION("REGEXREPLACE(A628, ""[^0-9a-zA-Z .'Ã]"","""")"),"Dennie Gordon")</f>
        <v>Dennie Gordon</v>
      </c>
      <c r="C628" s="26">
        <v>70.0</v>
      </c>
      <c r="D628" s="27">
        <v>1.4018364E7</v>
      </c>
      <c r="E628" s="26" t="s">
        <v>2473</v>
      </c>
      <c r="F628" s="9">
        <f t="shared" si="1"/>
        <v>4</v>
      </c>
      <c r="G628" s="26" t="s">
        <v>2474</v>
      </c>
      <c r="H628" s="11" t="str">
        <f>IFERROR(__xludf.DUMMYFUNCTION("REGEXREPLACE(G628, ""[^0-9a-zA-Z .'Ã]"","""")"),"MaryKate Olsen")</f>
        <v>MaryKate Olsen</v>
      </c>
      <c r="I628" s="28" t="s">
        <v>2475</v>
      </c>
      <c r="J628" s="26">
        <v>17722.0</v>
      </c>
      <c r="K628" s="26" t="s">
        <v>2476</v>
      </c>
      <c r="L628" s="26">
        <v>111.0</v>
      </c>
      <c r="M628" s="26" t="s">
        <v>24</v>
      </c>
      <c r="N628" s="26" t="s">
        <v>25</v>
      </c>
      <c r="O628" s="27">
        <v>3.0E7</v>
      </c>
      <c r="P628" s="10">
        <f t="shared" si="2"/>
        <v>0</v>
      </c>
      <c r="Q628" s="12">
        <f t="shared" si="3"/>
        <v>15981636</v>
      </c>
      <c r="R628" s="26">
        <v>2004.0</v>
      </c>
      <c r="S628" s="26">
        <v>4.8</v>
      </c>
    </row>
    <row r="629" ht="15.75" customHeight="1">
      <c r="A629" s="25" t="s">
        <v>2477</v>
      </c>
      <c r="B629" s="8" t="str">
        <f>IFERROR(__xludf.DUMMYFUNCTION("REGEXREPLACE(A629, ""[^0-9a-zA-Z .'Ã]"","""")"),"Duncan Jones")</f>
        <v>Duncan Jones</v>
      </c>
      <c r="C629" s="26">
        <v>275.0</v>
      </c>
      <c r="D629" s="27">
        <v>4.6978995E7</v>
      </c>
      <c r="E629" s="26" t="s">
        <v>278</v>
      </c>
      <c r="F629" s="9">
        <f t="shared" si="1"/>
        <v>3</v>
      </c>
      <c r="G629" s="26" t="s">
        <v>2478</v>
      </c>
      <c r="H629" s="11" t="str">
        <f>IFERROR(__xludf.DUMMYFUNCTION("REGEXREPLACE(G629, ""[^0-9a-zA-Z .'Ã]"","""")"),"Dominic Cooper")</f>
        <v>Dominic Cooper</v>
      </c>
      <c r="I629" s="28" t="s">
        <v>2479</v>
      </c>
      <c r="J629" s="26">
        <v>111609.0</v>
      </c>
      <c r="K629" s="26" t="s">
        <v>2480</v>
      </c>
      <c r="L629" s="26">
        <v>781.0</v>
      </c>
      <c r="M629" s="26" t="s">
        <v>24</v>
      </c>
      <c r="N629" s="26" t="s">
        <v>25</v>
      </c>
      <c r="O629" s="27">
        <v>1.6E8</v>
      </c>
      <c r="P629" s="10">
        <f t="shared" si="2"/>
        <v>0</v>
      </c>
      <c r="Q629" s="12">
        <f t="shared" si="3"/>
        <v>113021005</v>
      </c>
      <c r="R629" s="26">
        <v>2016.0</v>
      </c>
      <c r="S629" s="26">
        <v>7.3</v>
      </c>
    </row>
    <row r="630" ht="15.75" customHeight="1">
      <c r="A630" s="7" t="s">
        <v>2481</v>
      </c>
      <c r="B630" s="8" t="str">
        <f>IFERROR(__xludf.DUMMYFUNCTION("REGEXREPLACE(A630, ""[^0-9a-zA-Z .'Ã]"","""")"),"Bruce Beresford")</f>
        <v>Bruce Beresford</v>
      </c>
      <c r="C630" s="9">
        <v>61.0</v>
      </c>
      <c r="D630" s="10">
        <v>1.06593296E8</v>
      </c>
      <c r="E630" s="9" t="s">
        <v>1486</v>
      </c>
      <c r="F630" s="9">
        <f t="shared" si="1"/>
        <v>3</v>
      </c>
      <c r="G630" s="9" t="s">
        <v>170</v>
      </c>
      <c r="H630" s="11" t="str">
        <f>IFERROR(__xludf.DUMMYFUNCTION("REGEXREPLACE(G630, ""[^0-9a-zA-Z .'Ã]"","""")"),"Morgan Freeman")</f>
        <v>Morgan Freeman</v>
      </c>
      <c r="I630" s="11" t="s">
        <v>2482</v>
      </c>
      <c r="J630" s="9">
        <v>72324.0</v>
      </c>
      <c r="K630" s="9" t="s">
        <v>2483</v>
      </c>
      <c r="L630" s="9">
        <v>134.0</v>
      </c>
      <c r="M630" s="9" t="s">
        <v>24</v>
      </c>
      <c r="N630" s="9" t="s">
        <v>25</v>
      </c>
      <c r="O630" s="10">
        <v>7500000.0</v>
      </c>
      <c r="P630" s="10">
        <f t="shared" si="2"/>
        <v>99093296</v>
      </c>
      <c r="Q630" s="12">
        <f t="shared" si="3"/>
        <v>0</v>
      </c>
      <c r="R630" s="9">
        <v>1989.0</v>
      </c>
      <c r="S630" s="9">
        <v>7.4</v>
      </c>
    </row>
    <row r="631" ht="15.75" customHeight="1">
      <c r="A631" s="17" t="s">
        <v>2484</v>
      </c>
      <c r="B631" s="8" t="str">
        <f>IFERROR(__xludf.DUMMYFUNCTION("REGEXREPLACE(A631, ""[^0-9a-zA-Z .'Ã]"","""")"),"Tim McCanlies")</f>
        <v>Tim McCanlies</v>
      </c>
      <c r="C631" s="18">
        <v>82.0</v>
      </c>
      <c r="D631" s="19">
        <v>4.140747E7</v>
      </c>
      <c r="E631" s="18" t="s">
        <v>1486</v>
      </c>
      <c r="F631" s="9">
        <f t="shared" si="1"/>
        <v>3</v>
      </c>
      <c r="G631" s="18" t="s">
        <v>1225</v>
      </c>
      <c r="H631" s="11" t="str">
        <f>IFERROR(__xludf.DUMMYFUNCTION("REGEXREPLACE(G631, ""[^0-9a-zA-Z .'Ã]"","""")"),"Haley Joel Osment")</f>
        <v>Haley Joel Osment</v>
      </c>
      <c r="I631" s="20" t="s">
        <v>2485</v>
      </c>
      <c r="J631" s="18">
        <v>43378.0</v>
      </c>
      <c r="K631" s="18" t="s">
        <v>2486</v>
      </c>
      <c r="L631" s="18">
        <v>292.0</v>
      </c>
      <c r="M631" s="18" t="s">
        <v>24</v>
      </c>
      <c r="N631" s="18" t="s">
        <v>25</v>
      </c>
      <c r="O631" s="19">
        <v>3.0E7</v>
      </c>
      <c r="P631" s="10">
        <f t="shared" si="2"/>
        <v>11407470</v>
      </c>
      <c r="Q631" s="12">
        <f t="shared" si="3"/>
        <v>0</v>
      </c>
      <c r="R631" s="18">
        <v>2003.0</v>
      </c>
      <c r="S631" s="18">
        <v>7.6</v>
      </c>
    </row>
    <row r="632" ht="15.75" customHeight="1">
      <c r="A632" s="17" t="s">
        <v>2487</v>
      </c>
      <c r="B632" s="8" t="str">
        <f>IFERROR(__xludf.DUMMYFUNCTION("REGEXREPLACE(A632, ""[^0-9a-zA-Z .'Ã]"","""")"),"Allen Coulter")</f>
        <v>Allen Coulter</v>
      </c>
      <c r="C632" s="18">
        <v>158.0</v>
      </c>
      <c r="D632" s="19">
        <v>1.9057024E7</v>
      </c>
      <c r="E632" s="18" t="s">
        <v>232</v>
      </c>
      <c r="F632" s="9">
        <f t="shared" si="1"/>
        <v>2</v>
      </c>
      <c r="G632" s="18" t="s">
        <v>261</v>
      </c>
      <c r="H632" s="11" t="str">
        <f>IFERROR(__xludf.DUMMYFUNCTION("REGEXREPLACE(G632, ""[^0-9a-zA-Z .'Ã]"","""")"),"Robert Pattinson")</f>
        <v>Robert Pattinson</v>
      </c>
      <c r="I632" s="20" t="s">
        <v>2488</v>
      </c>
      <c r="J632" s="18">
        <v>113963.0</v>
      </c>
      <c r="K632" s="18" t="s">
        <v>2489</v>
      </c>
      <c r="L632" s="18">
        <v>361.0</v>
      </c>
      <c r="M632" s="18" t="s">
        <v>24</v>
      </c>
      <c r="N632" s="18" t="s">
        <v>25</v>
      </c>
      <c r="O632" s="19">
        <v>1.6E7</v>
      </c>
      <c r="P632" s="10">
        <f t="shared" si="2"/>
        <v>3057024</v>
      </c>
      <c r="Q632" s="12">
        <f t="shared" si="3"/>
        <v>0</v>
      </c>
      <c r="R632" s="18">
        <v>2010.0</v>
      </c>
      <c r="S632" s="18">
        <v>7.2</v>
      </c>
    </row>
    <row r="633" ht="15.75" customHeight="1">
      <c r="A633" s="7" t="s">
        <v>2490</v>
      </c>
      <c r="B633" s="8" t="str">
        <f>IFERROR(__xludf.DUMMYFUNCTION("REGEXREPLACE(A633, ""[^0-9a-zA-Z .'Ã]"","""")"),"David Frankel")</f>
        <v>David Frankel</v>
      </c>
      <c r="C633" s="9">
        <v>234.0</v>
      </c>
      <c r="D633" s="10">
        <v>6.3536011E7</v>
      </c>
      <c r="E633" s="9" t="s">
        <v>159</v>
      </c>
      <c r="F633" s="9">
        <f t="shared" si="1"/>
        <v>3</v>
      </c>
      <c r="G633" s="9" t="s">
        <v>1941</v>
      </c>
      <c r="H633" s="11" t="str">
        <f>IFERROR(__xludf.DUMMYFUNCTION("REGEXREPLACE(G633, ""[^0-9a-zA-Z .'Ã]"","""")"),"Meryl Streep")</f>
        <v>Meryl Streep</v>
      </c>
      <c r="I633" s="11" t="s">
        <v>2491</v>
      </c>
      <c r="J633" s="9">
        <v>34258.0</v>
      </c>
      <c r="K633" s="9" t="s">
        <v>2492</v>
      </c>
      <c r="L633" s="9">
        <v>178.0</v>
      </c>
      <c r="M633" s="9" t="s">
        <v>24</v>
      </c>
      <c r="N633" s="9" t="s">
        <v>25</v>
      </c>
      <c r="O633" s="10">
        <v>3.0E7</v>
      </c>
      <c r="P633" s="10">
        <f t="shared" si="2"/>
        <v>33536011</v>
      </c>
      <c r="Q633" s="12">
        <f t="shared" si="3"/>
        <v>0</v>
      </c>
      <c r="R633" s="9">
        <v>2012.0</v>
      </c>
      <c r="S633" s="9">
        <v>6.3</v>
      </c>
    </row>
    <row r="634" ht="15.75" customHeight="1">
      <c r="A634" s="7" t="s">
        <v>1569</v>
      </c>
      <c r="B634" s="8" t="str">
        <f>IFERROR(__xludf.DUMMYFUNCTION("REGEXREPLACE(A634, ""[^0-9a-zA-Z .'Ã]"","""")"),"Tom Tykwer")</f>
        <v>Tom Tykwer</v>
      </c>
      <c r="C634" s="9">
        <v>226.0</v>
      </c>
      <c r="D634" s="10">
        <v>2208939.0</v>
      </c>
      <c r="E634" s="9" t="s">
        <v>2493</v>
      </c>
      <c r="F634" s="9">
        <f t="shared" si="1"/>
        <v>3</v>
      </c>
      <c r="G634" s="9" t="s">
        <v>1705</v>
      </c>
      <c r="H634" s="11" t="str">
        <f>IFERROR(__xludf.DUMMYFUNCTION("REGEXREPLACE(G634, ""[^0-9a-zA-Z .'Ã]"","""")"),"Michael Smiley")</f>
        <v>Michael Smiley</v>
      </c>
      <c r="I634" s="11" t="s">
        <v>2494</v>
      </c>
      <c r="J634" s="9">
        <v>190490.0</v>
      </c>
      <c r="K634" s="9" t="s">
        <v>2495</v>
      </c>
      <c r="L634" s="9">
        <v>482.0</v>
      </c>
      <c r="M634" s="9" t="s">
        <v>24</v>
      </c>
      <c r="N634" s="9" t="s">
        <v>173</v>
      </c>
      <c r="O634" s="10">
        <v>5.0E7</v>
      </c>
      <c r="P634" s="10">
        <f t="shared" si="2"/>
        <v>0</v>
      </c>
      <c r="Q634" s="12">
        <f t="shared" si="3"/>
        <v>47791061</v>
      </c>
      <c r="R634" s="9">
        <v>2006.0</v>
      </c>
      <c r="S634" s="9">
        <v>7.5</v>
      </c>
    </row>
    <row r="635" ht="15.75" customHeight="1">
      <c r="A635" s="7" t="s">
        <v>236</v>
      </c>
      <c r="B635" s="8" t="str">
        <f>IFERROR(__xludf.DUMMYFUNCTION("REGEXREPLACE(A635, ""[^0-9a-zA-Z .'Ã]"","""")"),"James Ivory")</f>
        <v>James Ivory</v>
      </c>
      <c r="C635" s="9">
        <v>20.0</v>
      </c>
      <c r="D635" s="10">
        <v>2474000.0</v>
      </c>
      <c r="E635" s="9" t="s">
        <v>69</v>
      </c>
      <c r="F635" s="9">
        <f t="shared" si="1"/>
        <v>4</v>
      </c>
      <c r="G635" s="9" t="s">
        <v>2496</v>
      </c>
      <c r="H635" s="11" t="str">
        <f>IFERROR(__xludf.DUMMYFUNCTION("REGEXREPLACE(G635, ""[^0-9a-zA-Z .'Ã]"","""")"),"Seth Gilliam")</f>
        <v>Seth Gilliam</v>
      </c>
      <c r="I635" s="11" t="s">
        <v>2497</v>
      </c>
      <c r="J635" s="9">
        <v>2427.0</v>
      </c>
      <c r="K635" s="9" t="s">
        <v>2498</v>
      </c>
      <c r="L635" s="9">
        <v>27.0</v>
      </c>
      <c r="M635" s="9" t="s">
        <v>24</v>
      </c>
      <c r="N635" s="9" t="s">
        <v>608</v>
      </c>
      <c r="O635" s="10">
        <v>1.4E7</v>
      </c>
      <c r="P635" s="10">
        <f t="shared" si="2"/>
        <v>0</v>
      </c>
      <c r="Q635" s="12">
        <f t="shared" si="3"/>
        <v>11526000</v>
      </c>
      <c r="R635" s="9">
        <v>1995.0</v>
      </c>
      <c r="S635" s="9">
        <v>5.7</v>
      </c>
    </row>
    <row r="636" ht="15.75" customHeight="1">
      <c r="A636" s="21" t="s">
        <v>2499</v>
      </c>
      <c r="B636" s="8" t="str">
        <f>IFERROR(__xludf.DUMMYFUNCTION("REGEXREPLACE(A636, ""[^0-9a-zA-Z .'Ã]"","""")"),"Joe Wright")</f>
        <v>Joe Wright</v>
      </c>
      <c r="C636" s="22">
        <v>256.0</v>
      </c>
      <c r="D636" s="23">
        <v>3.4964818E7</v>
      </c>
      <c r="E636" s="22" t="s">
        <v>1252</v>
      </c>
      <c r="F636" s="9">
        <f t="shared" si="1"/>
        <v>3</v>
      </c>
      <c r="G636" s="22" t="s">
        <v>974</v>
      </c>
      <c r="H636" s="11" t="str">
        <f>IFERROR(__xludf.DUMMYFUNCTION("REGEXREPLACE(G636, ""[^0-9a-zA-Z .'Ã]"","""")"),"Hugh Jackman")</f>
        <v>Hugh Jackman</v>
      </c>
      <c r="I636" s="24" t="s">
        <v>2500</v>
      </c>
      <c r="J636" s="22">
        <v>39956.0</v>
      </c>
      <c r="K636" s="22" t="s">
        <v>2501</v>
      </c>
      <c r="L636" s="22">
        <v>186.0</v>
      </c>
      <c r="M636" s="22" t="s">
        <v>24</v>
      </c>
      <c r="N636" s="22" t="s">
        <v>25</v>
      </c>
      <c r="O636" s="23">
        <v>1.5E8</v>
      </c>
      <c r="P636" s="10">
        <f t="shared" si="2"/>
        <v>0</v>
      </c>
      <c r="Q636" s="12">
        <f t="shared" si="3"/>
        <v>115035182</v>
      </c>
      <c r="R636" s="22">
        <v>2015.0</v>
      </c>
      <c r="S636" s="22">
        <v>5.8</v>
      </c>
    </row>
    <row r="637" ht="15.75" customHeight="1">
      <c r="A637" s="7" t="s">
        <v>645</v>
      </c>
      <c r="B637" s="8" t="str">
        <f>IFERROR(__xludf.DUMMYFUNCTION("REGEXREPLACE(A637, ""[^0-9a-zA-Z .'Ã]"","""")"),"Dean Parisot")</f>
        <v>Dean Parisot</v>
      </c>
      <c r="C637" s="9">
        <v>135.0</v>
      </c>
      <c r="D637" s="10">
        <v>1.10332737E8</v>
      </c>
      <c r="E637" s="9" t="s">
        <v>440</v>
      </c>
      <c r="F637" s="9">
        <f t="shared" si="1"/>
        <v>2</v>
      </c>
      <c r="G637" s="9" t="s">
        <v>2502</v>
      </c>
      <c r="H637" s="11" t="str">
        <f>IFERROR(__xludf.DUMMYFUNCTION("REGEXREPLACE(G637, ""[^0-9a-zA-Z .'Ã]"","""")"),"John Michael Higgins")</f>
        <v>John Michael Higgins</v>
      </c>
      <c r="I637" s="11" t="s">
        <v>2503</v>
      </c>
      <c r="J637" s="9">
        <v>110788.0</v>
      </c>
      <c r="K637" s="9" t="s">
        <v>2504</v>
      </c>
      <c r="L637" s="9">
        <v>258.0</v>
      </c>
      <c r="M637" s="9" t="s">
        <v>24</v>
      </c>
      <c r="N637" s="9" t="s">
        <v>25</v>
      </c>
      <c r="O637" s="10">
        <v>1.0E8</v>
      </c>
      <c r="P637" s="10">
        <f t="shared" si="2"/>
        <v>10332737</v>
      </c>
      <c r="Q637" s="12">
        <f t="shared" si="3"/>
        <v>0</v>
      </c>
      <c r="R637" s="9">
        <v>2005.0</v>
      </c>
      <c r="S637" s="9">
        <v>6.1</v>
      </c>
    </row>
    <row r="638" ht="15.75" customHeight="1">
      <c r="A638" s="13" t="s">
        <v>2505</v>
      </c>
      <c r="B638" s="8" t="str">
        <f>IFERROR(__xludf.DUMMYFUNCTION("REGEXREPLACE(A638, ""[^0-9a-zA-Z .'Ã]"","""")"),"Tony Scott")</f>
        <v>Tony Scott</v>
      </c>
      <c r="C638" s="14">
        <v>122.0</v>
      </c>
      <c r="D638" s="15">
        <v>1.22815E7</v>
      </c>
      <c r="E638" s="14" t="s">
        <v>164</v>
      </c>
      <c r="F638" s="9">
        <f t="shared" si="1"/>
        <v>5</v>
      </c>
      <c r="G638" s="14" t="s">
        <v>1426</v>
      </c>
      <c r="H638" s="11" t="str">
        <f>IFERROR(__xludf.DUMMYFUNCTION("REGEXREPLACE(G638, ""[^0-9a-zA-Z .'Ã]"","""")"),"Brad Pitt")</f>
        <v>Brad Pitt</v>
      </c>
      <c r="I638" s="16" t="s">
        <v>2506</v>
      </c>
      <c r="J638" s="14">
        <v>163492.0</v>
      </c>
      <c r="K638" s="14" t="s">
        <v>2507</v>
      </c>
      <c r="L638" s="14">
        <v>460.0</v>
      </c>
      <c r="M638" s="14" t="s">
        <v>24</v>
      </c>
      <c r="N638" s="14" t="s">
        <v>25</v>
      </c>
      <c r="O638" s="15">
        <v>1.3E7</v>
      </c>
      <c r="P638" s="10">
        <f t="shared" si="2"/>
        <v>0</v>
      </c>
      <c r="Q638" s="12">
        <f t="shared" si="3"/>
        <v>718500</v>
      </c>
      <c r="R638" s="14">
        <v>1993.0</v>
      </c>
      <c r="S638" s="14">
        <v>8.0</v>
      </c>
    </row>
    <row r="639" ht="15.75" customHeight="1">
      <c r="A639" s="17" t="s">
        <v>2508</v>
      </c>
      <c r="B639" s="8" t="str">
        <f>IFERROR(__xludf.DUMMYFUNCTION("REGEXREPLACE(A639, ""[^0-9a-zA-Z .'Ã]"","""")"),"Dan Gilroy")</f>
        <v>Dan Gilroy</v>
      </c>
      <c r="C639" s="18">
        <v>534.0</v>
      </c>
      <c r="D639" s="19">
        <v>3.2279955E7</v>
      </c>
      <c r="E639" s="18" t="s">
        <v>113</v>
      </c>
      <c r="F639" s="9">
        <f t="shared" si="1"/>
        <v>3</v>
      </c>
      <c r="G639" s="18" t="s">
        <v>2509</v>
      </c>
      <c r="H639" s="11" t="str">
        <f>IFERROR(__xludf.DUMMYFUNCTION("REGEXREPLACE(G639, ""[^0-9a-zA-Z .'Ã]"","""")"),"Jake Gyllenhaal")</f>
        <v>Jake Gyllenhaal</v>
      </c>
      <c r="I639" s="20" t="s">
        <v>2510</v>
      </c>
      <c r="J639" s="18">
        <v>293304.0</v>
      </c>
      <c r="K639" s="18" t="s">
        <v>2511</v>
      </c>
      <c r="L639" s="18">
        <v>552.0</v>
      </c>
      <c r="M639" s="18" t="s">
        <v>24</v>
      </c>
      <c r="N639" s="18" t="s">
        <v>25</v>
      </c>
      <c r="O639" s="19">
        <v>8500000.0</v>
      </c>
      <c r="P639" s="10">
        <f t="shared" si="2"/>
        <v>23779955</v>
      </c>
      <c r="Q639" s="12">
        <f t="shared" si="3"/>
        <v>0</v>
      </c>
      <c r="R639" s="18">
        <v>2014.0</v>
      </c>
      <c r="S639" s="18">
        <v>7.9</v>
      </c>
    </row>
    <row r="640" ht="15.75" customHeight="1">
      <c r="A640" s="13" t="s">
        <v>959</v>
      </c>
      <c r="B640" s="8" t="str">
        <f>IFERROR(__xludf.DUMMYFUNCTION("REGEXREPLACE(A640, ""[^0-9a-zA-Z .'Ã]"","""")"),"Oliver Stone")</f>
        <v>Oliver Stone</v>
      </c>
      <c r="C640" s="14">
        <v>339.0</v>
      </c>
      <c r="D640" s="15">
        <v>4.730755E7</v>
      </c>
      <c r="E640" s="14" t="s">
        <v>113</v>
      </c>
      <c r="F640" s="9">
        <f t="shared" si="1"/>
        <v>3</v>
      </c>
      <c r="G640" s="14" t="s">
        <v>2512</v>
      </c>
      <c r="H640" s="11" t="str">
        <f>IFERROR(__xludf.DUMMYFUNCTION("REGEXREPLACE(G640, ""[^0-9a-zA-Z .'Ã]"","""")"),"DemiÃn Bichir")</f>
        <v>DemiÃn Bichir</v>
      </c>
      <c r="I640" s="16" t="s">
        <v>2513</v>
      </c>
      <c r="J640" s="14">
        <v>104301.0</v>
      </c>
      <c r="K640" s="14" t="s">
        <v>2514</v>
      </c>
      <c r="L640" s="14">
        <v>269.0</v>
      </c>
      <c r="M640" s="14" t="s">
        <v>24</v>
      </c>
      <c r="N640" s="14" t="s">
        <v>25</v>
      </c>
      <c r="O640" s="15">
        <v>4.5E7</v>
      </c>
      <c r="P640" s="10">
        <f t="shared" si="2"/>
        <v>2307550</v>
      </c>
      <c r="Q640" s="12">
        <f t="shared" si="3"/>
        <v>0</v>
      </c>
      <c r="R640" s="14">
        <v>2012.0</v>
      </c>
      <c r="S640" s="14">
        <v>6.5</v>
      </c>
    </row>
    <row r="641" ht="15.75" customHeight="1">
      <c r="A641" s="7" t="s">
        <v>2248</v>
      </c>
      <c r="B641" s="8" t="str">
        <f>IFERROR(__xludf.DUMMYFUNCTION("REGEXREPLACE(A641, ""[^0-9a-zA-Z .'Ã]"","""")"),"Andy Tennant")</f>
        <v>Andy Tennant</v>
      </c>
      <c r="C641" s="9">
        <v>97.0</v>
      </c>
      <c r="D641" s="10">
        <v>1.27214072E8</v>
      </c>
      <c r="E641" s="9" t="s">
        <v>89</v>
      </c>
      <c r="F641" s="9">
        <f t="shared" si="1"/>
        <v>2</v>
      </c>
      <c r="G641" s="9" t="s">
        <v>2515</v>
      </c>
      <c r="H641" s="11" t="str">
        <f>IFERROR(__xludf.DUMMYFUNCTION("REGEXREPLACE(G641, ""[^0-9a-zA-Z .'Ã]"","""")"),"Ethan Embry")</f>
        <v>Ethan Embry</v>
      </c>
      <c r="I641" s="11" t="s">
        <v>2516</v>
      </c>
      <c r="J641" s="9">
        <v>83786.0</v>
      </c>
      <c r="K641" s="9" t="s">
        <v>2517</v>
      </c>
      <c r="L641" s="9">
        <v>392.0</v>
      </c>
      <c r="M641" s="9" t="s">
        <v>24</v>
      </c>
      <c r="N641" s="9" t="s">
        <v>25</v>
      </c>
      <c r="O641" s="10">
        <v>3.8E7</v>
      </c>
      <c r="P641" s="10">
        <f t="shared" si="2"/>
        <v>89214072</v>
      </c>
      <c r="Q641" s="12">
        <f t="shared" si="3"/>
        <v>0</v>
      </c>
      <c r="R641" s="9">
        <v>2002.0</v>
      </c>
      <c r="S641" s="9">
        <v>6.1</v>
      </c>
    </row>
    <row r="642" ht="15.75" customHeight="1">
      <c r="A642" s="25" t="s">
        <v>2518</v>
      </c>
      <c r="B642" s="8" t="str">
        <f>IFERROR(__xludf.DUMMYFUNCTION("REGEXREPLACE(A642, ""[^0-9a-zA-Z .'Ã]"","""")"),"Gregory Widen")</f>
        <v>Gregory Widen</v>
      </c>
      <c r="C642" s="26">
        <v>56.0</v>
      </c>
      <c r="D642" s="27">
        <v>1.6115878E7</v>
      </c>
      <c r="E642" s="26" t="s">
        <v>2519</v>
      </c>
      <c r="F642" s="9">
        <f t="shared" si="1"/>
        <v>5</v>
      </c>
      <c r="G642" s="26" t="s">
        <v>484</v>
      </c>
      <c r="H642" s="11" t="str">
        <f>IFERROR(__xludf.DUMMYFUNCTION("REGEXREPLACE(G642, ""[^0-9a-zA-Z .'Ã]"","""")"),"Viggo Mortensen")</f>
        <v>Viggo Mortensen</v>
      </c>
      <c r="I642" s="28" t="s">
        <v>2520</v>
      </c>
      <c r="J642" s="26">
        <v>24438.0</v>
      </c>
      <c r="K642" s="26" t="s">
        <v>2521</v>
      </c>
      <c r="L642" s="26">
        <v>194.0</v>
      </c>
      <c r="M642" s="26" t="s">
        <v>24</v>
      </c>
      <c r="N642" s="26" t="s">
        <v>25</v>
      </c>
      <c r="O642" s="27">
        <v>8000000.0</v>
      </c>
      <c r="P642" s="10">
        <f t="shared" si="2"/>
        <v>8115878</v>
      </c>
      <c r="Q642" s="12">
        <f t="shared" si="3"/>
        <v>0</v>
      </c>
      <c r="R642" s="26">
        <v>1995.0</v>
      </c>
      <c r="S642" s="26">
        <v>6.6</v>
      </c>
    </row>
    <row r="643" ht="15.75" customHeight="1">
      <c r="A643" s="7" t="s">
        <v>2522</v>
      </c>
      <c r="B643" s="8" t="str">
        <f>IFERROR(__xludf.DUMMYFUNCTION("REGEXREPLACE(A643, ""[^0-9a-zA-Z .'Ã]"","""")"),"Billy Ray")</f>
        <v>Billy Ray</v>
      </c>
      <c r="C643" s="9">
        <v>129.0</v>
      </c>
      <c r="D643" s="10">
        <v>2207975.0</v>
      </c>
      <c r="E643" s="9" t="s">
        <v>213</v>
      </c>
      <c r="F643" s="9">
        <f t="shared" si="1"/>
        <v>2</v>
      </c>
      <c r="G643" s="9" t="s">
        <v>2523</v>
      </c>
      <c r="H643" s="11" t="str">
        <f>IFERROR(__xludf.DUMMYFUNCTION("REGEXREPLACE(G643, ""[^0-9a-zA-Z .'Ã]"","""")"),"Hayden Christensen")</f>
        <v>Hayden Christensen</v>
      </c>
      <c r="I643" s="11" t="s">
        <v>2524</v>
      </c>
      <c r="J643" s="9">
        <v>28855.0</v>
      </c>
      <c r="K643" s="9" t="s">
        <v>2525</v>
      </c>
      <c r="L643" s="9">
        <v>190.0</v>
      </c>
      <c r="M643" s="9" t="s">
        <v>24</v>
      </c>
      <c r="N643" s="9" t="s">
        <v>25</v>
      </c>
      <c r="O643" s="10">
        <v>6000000.0</v>
      </c>
      <c r="P643" s="10">
        <f t="shared" si="2"/>
        <v>0</v>
      </c>
      <c r="Q643" s="12">
        <f t="shared" si="3"/>
        <v>3792025</v>
      </c>
      <c r="R643" s="9">
        <v>2003.0</v>
      </c>
      <c r="S643" s="9">
        <v>7.2</v>
      </c>
    </row>
    <row r="644" ht="15.75" customHeight="1">
      <c r="A644" s="21" t="s">
        <v>2526</v>
      </c>
      <c r="B644" s="8" t="str">
        <f>IFERROR(__xludf.DUMMYFUNCTION("REGEXREPLACE(A644, ""[^0-9a-zA-Z .'Ã]"","""")"),"Jafar Panahi")</f>
        <v>Jafar Panahi</v>
      </c>
      <c r="C644" s="22">
        <v>64.0</v>
      </c>
      <c r="D644" s="23">
        <v>673780.0</v>
      </c>
      <c r="E644" s="22" t="s">
        <v>103</v>
      </c>
      <c r="F644" s="9">
        <f t="shared" si="1"/>
        <v>1</v>
      </c>
      <c r="G644" s="22" t="s">
        <v>2527</v>
      </c>
      <c r="H644" s="11" t="str">
        <f>IFERROR(__xludf.DUMMYFUNCTION("REGEXREPLACE(G644, ""[^0-9a-zA-Z .'Ã]"","""")"),"Fereshteh Sadre Orafaiy")</f>
        <v>Fereshteh Sadre Orafaiy</v>
      </c>
      <c r="I644" s="24" t="s">
        <v>2528</v>
      </c>
      <c r="J644" s="22">
        <v>4555.0</v>
      </c>
      <c r="K644" s="22" t="s">
        <v>2529</v>
      </c>
      <c r="L644" s="22">
        <v>26.0</v>
      </c>
      <c r="M644" s="22" t="s">
        <v>2530</v>
      </c>
      <c r="N644" s="22" t="s">
        <v>2531</v>
      </c>
      <c r="O644" s="23">
        <v>10000.0</v>
      </c>
      <c r="P644" s="10">
        <f t="shared" si="2"/>
        <v>663780</v>
      </c>
      <c r="Q644" s="12">
        <f t="shared" si="3"/>
        <v>0</v>
      </c>
      <c r="R644" s="22">
        <v>2000.0</v>
      </c>
      <c r="S644" s="22">
        <v>7.5</v>
      </c>
    </row>
    <row r="645" ht="15.75" customHeight="1">
      <c r="A645" s="7" t="s">
        <v>277</v>
      </c>
      <c r="B645" s="8" t="str">
        <f>IFERROR(__xludf.DUMMYFUNCTION("REGEXREPLACE(A645, ""[^0-9a-zA-Z .'Ã]"","""")"),"Rob Cohen")</f>
        <v>Rob Cohen</v>
      </c>
      <c r="C645" s="9">
        <v>61.0</v>
      </c>
      <c r="D645" s="10">
        <v>3.2885565E7</v>
      </c>
      <c r="E645" s="9" t="s">
        <v>925</v>
      </c>
      <c r="F645" s="9">
        <f t="shared" si="1"/>
        <v>4</v>
      </c>
      <c r="G645" s="9" t="s">
        <v>2532</v>
      </c>
      <c r="H645" s="11" t="str">
        <f>IFERROR(__xludf.DUMMYFUNCTION("REGEXREPLACE(G645, ""[^0-9a-zA-Z .'Ã]"","""")"),"Sylvester Stallone")</f>
        <v>Sylvester Stallone</v>
      </c>
      <c r="I645" s="11" t="s">
        <v>2533</v>
      </c>
      <c r="J645" s="9">
        <v>53132.0</v>
      </c>
      <c r="K645" s="9" t="s">
        <v>2534</v>
      </c>
      <c r="L645" s="9">
        <v>101.0</v>
      </c>
      <c r="M645" s="9" t="s">
        <v>24</v>
      </c>
      <c r="N645" s="9" t="s">
        <v>25</v>
      </c>
      <c r="O645" s="10">
        <v>8.0E7</v>
      </c>
      <c r="P645" s="10">
        <f t="shared" si="2"/>
        <v>0</v>
      </c>
      <c r="Q645" s="12">
        <f t="shared" si="3"/>
        <v>47114435</v>
      </c>
      <c r="R645" s="9">
        <v>1996.0</v>
      </c>
      <c r="S645" s="9">
        <v>5.8</v>
      </c>
    </row>
    <row r="646" ht="15.75" customHeight="1">
      <c r="A646" s="29" t="s">
        <v>2535</v>
      </c>
      <c r="B646" s="8" t="str">
        <f>IFERROR(__xludf.DUMMYFUNCTION("REGEXREPLACE(A646, ""[^0-9a-zA-Z .'Ã]"","""")"),"Ivan Reitman")</f>
        <v>Ivan Reitman</v>
      </c>
      <c r="C646" s="30">
        <v>46.0</v>
      </c>
      <c r="D646" s="31">
        <v>9.1457688E7</v>
      </c>
      <c r="E646" s="30" t="s">
        <v>265</v>
      </c>
      <c r="F646" s="9">
        <f t="shared" si="1"/>
        <v>3</v>
      </c>
      <c r="G646" s="30" t="s">
        <v>2536</v>
      </c>
      <c r="H646" s="11" t="str">
        <f>IFERROR(__xludf.DUMMYFUNCTION("REGEXREPLACE(G646, ""[^0-9a-zA-Z .'Ã]"","""")"),"Richard Tyson")</f>
        <v>Richard Tyson</v>
      </c>
      <c r="I646" s="32" t="s">
        <v>2537</v>
      </c>
      <c r="J646" s="30">
        <v>107801.0</v>
      </c>
      <c r="K646" s="30" t="s">
        <v>2538</v>
      </c>
      <c r="L646" s="30">
        <v>109.0</v>
      </c>
      <c r="M646" s="30" t="s">
        <v>24</v>
      </c>
      <c r="N646" s="30" t="s">
        <v>25</v>
      </c>
      <c r="O646" s="31">
        <v>2.6E7</v>
      </c>
      <c r="P646" s="10">
        <f t="shared" si="2"/>
        <v>65457688</v>
      </c>
      <c r="Q646" s="12">
        <f t="shared" si="3"/>
        <v>0</v>
      </c>
      <c r="R646" s="30">
        <v>1990.0</v>
      </c>
      <c r="S646" s="30">
        <v>6.0</v>
      </c>
    </row>
    <row r="647" ht="15.75" customHeight="1">
      <c r="A647" s="7" t="s">
        <v>355</v>
      </c>
      <c r="B647" s="8" t="str">
        <f>IFERROR(__xludf.DUMMYFUNCTION("REGEXREPLACE(A647, ""[^0-9a-zA-Z .'Ã]"","""")"),"Antoine Fuqua")</f>
        <v>Antoine Fuqua</v>
      </c>
      <c r="C647" s="9">
        <v>105.0</v>
      </c>
      <c r="D647" s="10">
        <v>1.8967571E7</v>
      </c>
      <c r="E647" s="9" t="s">
        <v>152</v>
      </c>
      <c r="F647" s="9">
        <f t="shared" si="1"/>
        <v>3</v>
      </c>
      <c r="G647" s="9" t="s">
        <v>1076</v>
      </c>
      <c r="H647" s="11" t="str">
        <f>IFERROR(__xludf.DUMMYFUNCTION("REGEXREPLACE(G647, ""[^0-9a-zA-Z .'Ã]"","""")"),"Mira Sorvino")</f>
        <v>Mira Sorvino</v>
      </c>
      <c r="I647" s="11" t="s">
        <v>2539</v>
      </c>
      <c r="J647" s="9">
        <v>23345.0</v>
      </c>
      <c r="K647" s="9" t="s">
        <v>2540</v>
      </c>
      <c r="L647" s="9">
        <v>167.0</v>
      </c>
      <c r="M647" s="9" t="s">
        <v>24</v>
      </c>
      <c r="N647" s="9" t="s">
        <v>25</v>
      </c>
      <c r="O647" s="10">
        <v>3.0E7</v>
      </c>
      <c r="P647" s="10">
        <f t="shared" si="2"/>
        <v>0</v>
      </c>
      <c r="Q647" s="12">
        <f t="shared" si="3"/>
        <v>11032429</v>
      </c>
      <c r="R647" s="9">
        <v>1998.0</v>
      </c>
      <c r="S647" s="9">
        <v>6.1</v>
      </c>
    </row>
    <row r="648" ht="15.75" customHeight="1">
      <c r="A648" s="7" t="s">
        <v>2541</v>
      </c>
      <c r="B648" s="8" t="str">
        <f>IFERROR(__xludf.DUMMYFUNCTION("REGEXREPLACE(A648, ""[^0-9a-zA-Z -.'Ã]"","""")"),"NimrÃd Antal")</f>
        <v>NimrÃd Antal</v>
      </c>
      <c r="C648" s="9">
        <v>351.0</v>
      </c>
      <c r="D648" s="10">
        <v>5.2000688E7</v>
      </c>
      <c r="E648" s="9" t="s">
        <v>794</v>
      </c>
      <c r="F648" s="9">
        <f t="shared" si="1"/>
        <v>4</v>
      </c>
      <c r="G648" s="9" t="s">
        <v>2542</v>
      </c>
      <c r="H648" s="11" t="str">
        <f>IFERROR(__xludf.DUMMYFUNCTION("REGEXREPLACE(G648, ""[^0-9a-zA-Z .'Ã]"","""")"),"Topher Grace")</f>
        <v>Topher Grace</v>
      </c>
      <c r="I648" s="11" t="s">
        <v>2543</v>
      </c>
      <c r="J648" s="9">
        <v>171418.0</v>
      </c>
      <c r="K648" s="9" t="s">
        <v>2544</v>
      </c>
      <c r="L648" s="9">
        <v>619.0</v>
      </c>
      <c r="M648" s="9" t="s">
        <v>24</v>
      </c>
      <c r="N648" s="9" t="s">
        <v>25</v>
      </c>
      <c r="O648" s="10">
        <v>4.0E7</v>
      </c>
      <c r="P648" s="10">
        <f t="shared" si="2"/>
        <v>12000688</v>
      </c>
      <c r="Q648" s="12">
        <f t="shared" si="3"/>
        <v>0</v>
      </c>
      <c r="R648" s="9">
        <v>2010.0</v>
      </c>
      <c r="S648" s="9">
        <v>6.4</v>
      </c>
    </row>
    <row r="649" ht="15.75" customHeight="1">
      <c r="A649" s="7" t="s">
        <v>368</v>
      </c>
      <c r="B649" s="8" t="str">
        <f>IFERROR(__xludf.DUMMYFUNCTION("REGEXREPLACE(A649, ""[^0-9a-zA-Z .'Ã]"","""")"),"Jon Turteltaub")</f>
        <v>Jon Turteltaub</v>
      </c>
      <c r="C649" s="9">
        <v>235.0</v>
      </c>
      <c r="D649" s="10">
        <v>6.3143812E7</v>
      </c>
      <c r="E649" s="9" t="s">
        <v>348</v>
      </c>
      <c r="F649" s="9">
        <f t="shared" si="1"/>
        <v>4</v>
      </c>
      <c r="G649" s="9" t="s">
        <v>458</v>
      </c>
      <c r="H649" s="11" t="str">
        <f>IFERROR(__xludf.DUMMYFUNCTION("REGEXREPLACE(G649, ""[^0-9a-zA-Z .'Ã]"","""")"),"Nicolas Cage")</f>
        <v>Nicolas Cage</v>
      </c>
      <c r="I649" s="11" t="s">
        <v>2545</v>
      </c>
      <c r="J649" s="9">
        <v>124185.0</v>
      </c>
      <c r="K649" s="9" t="s">
        <v>2546</v>
      </c>
      <c r="L649" s="9">
        <v>238.0</v>
      </c>
      <c r="M649" s="9" t="s">
        <v>24</v>
      </c>
      <c r="N649" s="9" t="s">
        <v>25</v>
      </c>
      <c r="O649" s="10">
        <v>1.5E8</v>
      </c>
      <c r="P649" s="10">
        <f t="shared" si="2"/>
        <v>0</v>
      </c>
      <c r="Q649" s="12">
        <f t="shared" si="3"/>
        <v>86856188</v>
      </c>
      <c r="R649" s="9">
        <v>2010.0</v>
      </c>
      <c r="S649" s="9">
        <v>6.1</v>
      </c>
    </row>
    <row r="650" ht="15.75" customHeight="1">
      <c r="A650" s="17" t="s">
        <v>2547</v>
      </c>
      <c r="B650" s="8" t="str">
        <f>IFERROR(__xludf.DUMMYFUNCTION("REGEXREPLACE(A650, ""[^0-9a-zA-Z .'Ã]"","""")"),"Ari Sandel")</f>
        <v>Ari Sandel</v>
      </c>
      <c r="C650" s="18">
        <v>132.0</v>
      </c>
      <c r="D650" s="19">
        <v>3.4017854E7</v>
      </c>
      <c r="E650" s="18" t="s">
        <v>137</v>
      </c>
      <c r="F650" s="9">
        <f t="shared" si="1"/>
        <v>1</v>
      </c>
      <c r="G650" s="18" t="s">
        <v>2548</v>
      </c>
      <c r="H650" s="11" t="str">
        <f>IFERROR(__xludf.DUMMYFUNCTION("REGEXREPLACE(G650, ""[^0-9a-zA-Z .'Ã]"","""")"),"Bella Thorne")</f>
        <v>Bella Thorne</v>
      </c>
      <c r="I650" s="20" t="s">
        <v>2549</v>
      </c>
      <c r="J650" s="18">
        <v>51326.0</v>
      </c>
      <c r="K650" s="18" t="s">
        <v>2550</v>
      </c>
      <c r="L650" s="18">
        <v>116.0</v>
      </c>
      <c r="M650" s="18" t="s">
        <v>24</v>
      </c>
      <c r="N650" s="18" t="s">
        <v>25</v>
      </c>
      <c r="O650" s="19">
        <v>8500000.0</v>
      </c>
      <c r="P650" s="10">
        <f t="shared" si="2"/>
        <v>25517854</v>
      </c>
      <c r="Q650" s="12">
        <f t="shared" si="3"/>
        <v>0</v>
      </c>
      <c r="R650" s="18">
        <v>2015.0</v>
      </c>
      <c r="S650" s="18">
        <v>6.5</v>
      </c>
    </row>
    <row r="651" ht="15.75" customHeight="1">
      <c r="A651" s="17" t="s">
        <v>2312</v>
      </c>
      <c r="B651" s="8" t="str">
        <f>IFERROR(__xludf.DUMMYFUNCTION("REGEXREPLACE(A651, ""[^0-9a-zA-Z .'Ã]"","""")"),"John Singleton")</f>
        <v>John Singleton</v>
      </c>
      <c r="C651" s="18">
        <v>41.0</v>
      </c>
      <c r="D651" s="19">
        <v>2.8734552E7</v>
      </c>
      <c r="E651" s="18" t="s">
        <v>810</v>
      </c>
      <c r="F651" s="9">
        <f t="shared" si="1"/>
        <v>4</v>
      </c>
      <c r="G651" s="18" t="s">
        <v>2279</v>
      </c>
      <c r="H651" s="11" t="str">
        <f>IFERROR(__xludf.DUMMYFUNCTION("REGEXREPLACE(G651, ""[^0-9a-zA-Z .'Ã]"","""")"),"Mo'Nique")</f>
        <v>Mo'Nique</v>
      </c>
      <c r="I651" s="20" t="s">
        <v>2551</v>
      </c>
      <c r="J651" s="18">
        <v>9566.0</v>
      </c>
      <c r="K651" s="18" t="s">
        <v>2552</v>
      </c>
      <c r="L651" s="18">
        <v>81.0</v>
      </c>
      <c r="M651" s="18" t="s">
        <v>24</v>
      </c>
      <c r="N651" s="18" t="s">
        <v>25</v>
      </c>
      <c r="O651" s="19">
        <v>1.6E7</v>
      </c>
      <c r="P651" s="10">
        <f t="shared" si="2"/>
        <v>12734552</v>
      </c>
      <c r="Q651" s="12">
        <f t="shared" si="3"/>
        <v>0</v>
      </c>
      <c r="R651" s="18">
        <v>2001.0</v>
      </c>
      <c r="S651" s="18">
        <v>6.4</v>
      </c>
    </row>
    <row r="652" ht="15.75" customHeight="1">
      <c r="A652" s="17" t="s">
        <v>2553</v>
      </c>
      <c r="B652" s="8" t="str">
        <f>IFERROR(__xludf.DUMMYFUNCTION("REGEXREPLACE(A652, ""[^0-9a-zA-Z .'Ã]"","""")"),"Harry F. Millarde")</f>
        <v>Harry F. Millarde</v>
      </c>
      <c r="C652" s="18">
        <v>1.0</v>
      </c>
      <c r="D652" s="19">
        <v>3000000.0</v>
      </c>
      <c r="E652" s="18" t="s">
        <v>54</v>
      </c>
      <c r="F652" s="9">
        <f t="shared" si="1"/>
        <v>2</v>
      </c>
      <c r="G652" s="18" t="s">
        <v>2554</v>
      </c>
      <c r="H652" s="11" t="str">
        <f>IFERROR(__xludf.DUMMYFUNCTION("REGEXREPLACE(G652, ""[^0-9a-zA-Z .'Ã]"","""")"),"Stephen Carr")</f>
        <v>Stephen Carr</v>
      </c>
      <c r="I652" s="20" t="s">
        <v>2555</v>
      </c>
      <c r="J652" s="18">
        <v>5.0</v>
      </c>
      <c r="K652" s="18" t="s">
        <v>2556</v>
      </c>
      <c r="L652" s="18">
        <v>1.0</v>
      </c>
      <c r="M652" s="20" t="s">
        <v>24</v>
      </c>
      <c r="N652" s="18" t="s">
        <v>25</v>
      </c>
      <c r="O652" s="19">
        <v>100000.0</v>
      </c>
      <c r="P652" s="10">
        <f t="shared" si="2"/>
        <v>2900000</v>
      </c>
      <c r="Q652" s="12">
        <f t="shared" si="3"/>
        <v>0</v>
      </c>
      <c r="R652" s="18">
        <v>1920.0</v>
      </c>
      <c r="S652" s="18">
        <v>4.8</v>
      </c>
    </row>
    <row r="653" ht="15.75" customHeight="1">
      <c r="A653" s="7" t="s">
        <v>1682</v>
      </c>
      <c r="B653" s="8" t="str">
        <f>IFERROR(__xludf.DUMMYFUNCTION("REGEXREPLACE(A653, ""[^0-9a-zA-Z .'Ã]"","""")"),"Paul W.S. Anderson")</f>
        <v>Paul W.S. Anderson</v>
      </c>
      <c r="C653" s="9">
        <v>230.0</v>
      </c>
      <c r="D653" s="10">
        <v>3.606491E7</v>
      </c>
      <c r="E653" s="9" t="s">
        <v>1734</v>
      </c>
      <c r="F653" s="9">
        <f t="shared" si="1"/>
        <v>3</v>
      </c>
      <c r="G653" s="9" t="s">
        <v>815</v>
      </c>
      <c r="H653" s="11" t="str">
        <f>IFERROR(__xludf.DUMMYFUNCTION("REGEXREPLACE(G653, ""[^0-9a-zA-Z .'Ã]"","""")"),"Jason Statham")</f>
        <v>Jason Statham</v>
      </c>
      <c r="I653" s="11" t="s">
        <v>2557</v>
      </c>
      <c r="J653" s="9">
        <v>166610.0</v>
      </c>
      <c r="K653" s="9" t="s">
        <v>2558</v>
      </c>
      <c r="L653" s="9">
        <v>211.0</v>
      </c>
      <c r="M653" s="9" t="s">
        <v>24</v>
      </c>
      <c r="N653" s="9" t="s">
        <v>25</v>
      </c>
      <c r="O653" s="10">
        <v>4.5E7</v>
      </c>
      <c r="P653" s="10">
        <f t="shared" si="2"/>
        <v>0</v>
      </c>
      <c r="Q653" s="12">
        <f t="shared" si="3"/>
        <v>8935090</v>
      </c>
      <c r="R653" s="9">
        <v>2008.0</v>
      </c>
      <c r="S653" s="9">
        <v>6.4</v>
      </c>
    </row>
    <row r="654" ht="15.75" customHeight="1">
      <c r="A654" s="21" t="s">
        <v>2559</v>
      </c>
      <c r="B654" s="8" t="str">
        <f>IFERROR(__xludf.DUMMYFUNCTION("REGEXREPLACE(A654, ""[^0-9a-zA-Z .'Ã]"","""")"),"Des McAnuff")</f>
        <v>Des McAnuff</v>
      </c>
      <c r="C654" s="22">
        <v>49.0</v>
      </c>
      <c r="D654" s="23">
        <v>2.600061E7</v>
      </c>
      <c r="E654" s="22" t="s">
        <v>301</v>
      </c>
      <c r="F654" s="9">
        <f t="shared" si="1"/>
        <v>5</v>
      </c>
      <c r="G654" s="22" t="s">
        <v>883</v>
      </c>
      <c r="H654" s="11" t="str">
        <f>IFERROR(__xludf.DUMMYFUNCTION("REGEXREPLACE(G654, ""[^0-9a-zA-Z .'Ã]"","""")"),"Robert De Niro")</f>
        <v>Robert De Niro</v>
      </c>
      <c r="I654" s="24" t="s">
        <v>2560</v>
      </c>
      <c r="J654" s="22">
        <v>16611.0</v>
      </c>
      <c r="K654" s="22" t="s">
        <v>2561</v>
      </c>
      <c r="L654" s="22">
        <v>197.0</v>
      </c>
      <c r="M654" s="22" t="s">
        <v>24</v>
      </c>
      <c r="N654" s="22" t="s">
        <v>25</v>
      </c>
      <c r="O654" s="23">
        <v>7.6E7</v>
      </c>
      <c r="P654" s="10">
        <f t="shared" si="2"/>
        <v>0</v>
      </c>
      <c r="Q654" s="12">
        <f t="shared" si="3"/>
        <v>49999390</v>
      </c>
      <c r="R654" s="22">
        <v>2000.0</v>
      </c>
      <c r="S654" s="22">
        <v>4.1</v>
      </c>
    </row>
    <row r="655" ht="15.75" customHeight="1">
      <c r="A655" s="21" t="s">
        <v>2562</v>
      </c>
      <c r="B655" s="8" t="str">
        <f>IFERROR(__xludf.DUMMYFUNCTION("REGEXREPLACE(A655, ""[^0-9a-zA-Z .'Ã]"","""")"),"Brandon Camp")</f>
        <v>Brandon Camp</v>
      </c>
      <c r="C655" s="22">
        <v>111.0</v>
      </c>
      <c r="D655" s="23">
        <v>2.292739E7</v>
      </c>
      <c r="E655" s="22" t="s">
        <v>232</v>
      </c>
      <c r="F655" s="9">
        <f t="shared" si="1"/>
        <v>2</v>
      </c>
      <c r="G655" s="22" t="s">
        <v>642</v>
      </c>
      <c r="H655" s="11" t="str">
        <f>IFERROR(__xludf.DUMMYFUNCTION("REGEXREPLACE(G655, ""[^0-9a-zA-Z .'Ã]"","""")"),"Judy Greer")</f>
        <v>Judy Greer</v>
      </c>
      <c r="I655" s="24" t="s">
        <v>2563</v>
      </c>
      <c r="J655" s="22">
        <v>25344.0</v>
      </c>
      <c r="K655" s="22" t="s">
        <v>2564</v>
      </c>
      <c r="L655" s="22">
        <v>77.0</v>
      </c>
      <c r="M655" s="22" t="s">
        <v>24</v>
      </c>
      <c r="N655" s="22" t="s">
        <v>25</v>
      </c>
      <c r="O655" s="23">
        <v>1.8E7</v>
      </c>
      <c r="P655" s="10">
        <f t="shared" si="2"/>
        <v>4927390</v>
      </c>
      <c r="Q655" s="12">
        <f t="shared" si="3"/>
        <v>0</v>
      </c>
      <c r="R655" s="22">
        <v>2009.0</v>
      </c>
      <c r="S655" s="22">
        <v>5.6</v>
      </c>
    </row>
    <row r="656" ht="15.75" customHeight="1">
      <c r="A656" s="25" t="s">
        <v>2565</v>
      </c>
      <c r="B656" s="8" t="str">
        <f>IFERROR(__xludf.DUMMYFUNCTION("REGEXREPLACE(A656, ""[^0-9a-zA-Z .'Ã]"","""")"),"Hal Needham")</f>
        <v>Hal Needham</v>
      </c>
      <c r="C656" s="26">
        <v>40.0</v>
      </c>
      <c r="D656" s="27">
        <v>5333658.0</v>
      </c>
      <c r="E656" s="26" t="s">
        <v>848</v>
      </c>
      <c r="F656" s="9">
        <f t="shared" si="1"/>
        <v>2</v>
      </c>
      <c r="G656" s="26" t="s">
        <v>2566</v>
      </c>
      <c r="H656" s="11" t="str">
        <f>IFERROR(__xludf.DUMMYFUNCTION("REGEXREPLACE(G656, ""[^0-9a-zA-Z .'Ã]"","""")"),"Barry Bostwick")</f>
        <v>Barry Bostwick</v>
      </c>
      <c r="I656" s="28" t="s">
        <v>2567</v>
      </c>
      <c r="J656" s="26">
        <v>2541.0</v>
      </c>
      <c r="K656" s="26" t="s">
        <v>2568</v>
      </c>
      <c r="L656" s="26">
        <v>54.0</v>
      </c>
      <c r="M656" s="26" t="s">
        <v>24</v>
      </c>
      <c r="N656" s="26" t="s">
        <v>25</v>
      </c>
      <c r="O656" s="27">
        <v>2.0E7</v>
      </c>
      <c r="P656" s="10">
        <f t="shared" si="2"/>
        <v>0</v>
      </c>
      <c r="Q656" s="12">
        <f t="shared" si="3"/>
        <v>14666342</v>
      </c>
      <c r="R656" s="26">
        <v>1982.0</v>
      </c>
      <c r="S656" s="26">
        <v>3.5</v>
      </c>
    </row>
    <row r="657" ht="15.75" customHeight="1">
      <c r="A657" s="29" t="s">
        <v>315</v>
      </c>
      <c r="B657" s="8" t="str">
        <f>IFERROR(__xludf.DUMMYFUNCTION("REGEXREPLACE(A657, ""[^0-9a-zA-Z .'Ã]"","""")"),"Steven Soderbergh")</f>
        <v>Steven Soderbergh</v>
      </c>
      <c r="C657" s="30">
        <v>450.0</v>
      </c>
      <c r="D657" s="31">
        <v>3.215441E7</v>
      </c>
      <c r="E657" s="30" t="s">
        <v>113</v>
      </c>
      <c r="F657" s="9">
        <f t="shared" si="1"/>
        <v>3</v>
      </c>
      <c r="G657" s="30" t="s">
        <v>176</v>
      </c>
      <c r="H657" s="11" t="str">
        <f>IFERROR(__xludf.DUMMYFUNCTION("REGEXREPLACE(G657, ""[^0-9a-zA-Z .'Ã]"","""")"),"Channing Tatum")</f>
        <v>Channing Tatum</v>
      </c>
      <c r="I657" s="32" t="s">
        <v>2569</v>
      </c>
      <c r="J657" s="30">
        <v>148334.0</v>
      </c>
      <c r="K657" s="30" t="s">
        <v>2570</v>
      </c>
      <c r="L657" s="30">
        <v>274.0</v>
      </c>
      <c r="M657" s="30" t="s">
        <v>24</v>
      </c>
      <c r="N657" s="30" t="s">
        <v>25</v>
      </c>
      <c r="O657" s="31">
        <v>3.0E7</v>
      </c>
      <c r="P657" s="10">
        <f t="shared" si="2"/>
        <v>2154410</v>
      </c>
      <c r="Q657" s="12">
        <f t="shared" si="3"/>
        <v>0</v>
      </c>
      <c r="R657" s="30">
        <v>2013.0</v>
      </c>
      <c r="S657" s="30">
        <v>7.1</v>
      </c>
    </row>
    <row r="658" ht="15.75" customHeight="1">
      <c r="A658" s="17" t="s">
        <v>2571</v>
      </c>
      <c r="B658" s="8" t="str">
        <f>IFERROR(__xludf.DUMMYFUNCTION("REGEXREPLACE(A658, ""[^0-9a-zA-Z .'Ã]"","""")"),"David Dobkin")</f>
        <v>David Dobkin</v>
      </c>
      <c r="C658" s="18">
        <v>49.0</v>
      </c>
      <c r="D658" s="19">
        <v>1789892.0</v>
      </c>
      <c r="E658" s="18" t="s">
        <v>440</v>
      </c>
      <c r="F658" s="9">
        <f t="shared" si="1"/>
        <v>2</v>
      </c>
      <c r="G658" s="18" t="s">
        <v>2572</v>
      </c>
      <c r="H658" s="11" t="str">
        <f>IFERROR(__xludf.DUMMYFUNCTION("REGEXREPLACE(G658, ""[^0-9a-zA-Z .'Ã]"","""")"),"Janeane Garofalo")</f>
        <v>Janeane Garofalo</v>
      </c>
      <c r="I658" s="20" t="s">
        <v>2573</v>
      </c>
      <c r="J658" s="18">
        <v>9494.0</v>
      </c>
      <c r="K658" s="18" t="s">
        <v>2574</v>
      </c>
      <c r="L658" s="18">
        <v>109.0</v>
      </c>
      <c r="M658" s="18" t="s">
        <v>24</v>
      </c>
      <c r="N658" s="18" t="s">
        <v>173</v>
      </c>
      <c r="O658" s="19">
        <v>8000000.0</v>
      </c>
      <c r="P658" s="10">
        <f t="shared" si="2"/>
        <v>0</v>
      </c>
      <c r="Q658" s="12">
        <f t="shared" si="3"/>
        <v>6210108</v>
      </c>
      <c r="R658" s="18">
        <v>1998.0</v>
      </c>
      <c r="S658" s="18">
        <v>6.6</v>
      </c>
    </row>
    <row r="659" ht="15.75" customHeight="1">
      <c r="A659" s="7" t="s">
        <v>2575</v>
      </c>
      <c r="B659" s="8" t="str">
        <f>IFERROR(__xludf.DUMMYFUNCTION("REGEXREPLACE(A659, ""[^0-9a-zA-Z .'Ã]"","""")"),"J Blakeson")</f>
        <v>J Blakeson</v>
      </c>
      <c r="C659" s="9">
        <v>194.0</v>
      </c>
      <c r="D659" s="10">
        <v>3.4912982E7</v>
      </c>
      <c r="E659" s="9" t="s">
        <v>794</v>
      </c>
      <c r="F659" s="9">
        <f t="shared" si="1"/>
        <v>4</v>
      </c>
      <c r="G659" s="9" t="s">
        <v>2259</v>
      </c>
      <c r="H659" s="11" t="str">
        <f>IFERROR(__xludf.DUMMYFUNCTION("REGEXREPLACE(G659, ""[^0-9a-zA-Z .'Ã]"","""")"),"ChloÃ Grace Moretz")</f>
        <v>ChloÃ Grace Moretz</v>
      </c>
      <c r="I659" s="11" t="s">
        <v>2576</v>
      </c>
      <c r="J659" s="9">
        <v>55617.0</v>
      </c>
      <c r="K659" s="9" t="s">
        <v>2577</v>
      </c>
      <c r="L659" s="9">
        <v>266.0</v>
      </c>
      <c r="M659" s="9" t="s">
        <v>24</v>
      </c>
      <c r="N659" s="9" t="s">
        <v>25</v>
      </c>
      <c r="O659" s="10">
        <v>3.8E7</v>
      </c>
      <c r="P659" s="10">
        <f t="shared" si="2"/>
        <v>0</v>
      </c>
      <c r="Q659" s="12">
        <f t="shared" si="3"/>
        <v>3087018</v>
      </c>
      <c r="R659" s="9">
        <v>2016.0</v>
      </c>
      <c r="S659" s="9">
        <v>5.2</v>
      </c>
    </row>
    <row r="660" ht="15.75" customHeight="1">
      <c r="A660" s="21" t="s">
        <v>2578</v>
      </c>
      <c r="B660" s="8" t="str">
        <f>IFERROR(__xludf.DUMMYFUNCTION("REGEXREPLACE(A660, ""[^0-9a-zA-Z .'Ã]"","""")"),"Tomm Moore")</f>
        <v>Tomm Moore</v>
      </c>
      <c r="C660" s="22">
        <v>118.0</v>
      </c>
      <c r="D660" s="23">
        <v>686383.0</v>
      </c>
      <c r="E660" s="22" t="s">
        <v>865</v>
      </c>
      <c r="F660" s="9">
        <f t="shared" si="1"/>
        <v>4</v>
      </c>
      <c r="G660" s="22" t="s">
        <v>2579</v>
      </c>
      <c r="H660" s="11" t="str">
        <f>IFERROR(__xludf.DUMMYFUNCTION("REGEXREPLACE(G660, ""[^0-9a-zA-Z .'Ã]"","""")"),"Sean Lennon")</f>
        <v>Sean Lennon</v>
      </c>
      <c r="I660" s="24" t="s">
        <v>2580</v>
      </c>
      <c r="J660" s="22">
        <v>22811.0</v>
      </c>
      <c r="K660" s="22" t="s">
        <v>2581</v>
      </c>
      <c r="L660" s="22">
        <v>71.0</v>
      </c>
      <c r="M660" s="22" t="s">
        <v>24</v>
      </c>
      <c r="N660" s="22" t="s">
        <v>608</v>
      </c>
      <c r="O660" s="23">
        <v>6500000.0</v>
      </c>
      <c r="P660" s="10">
        <f t="shared" si="2"/>
        <v>0</v>
      </c>
      <c r="Q660" s="12">
        <f t="shared" si="3"/>
        <v>5813617</v>
      </c>
      <c r="R660" s="22">
        <v>2009.0</v>
      </c>
      <c r="S660" s="22">
        <v>7.7</v>
      </c>
    </row>
    <row r="661" ht="15.75" customHeight="1">
      <c r="A661" s="7" t="s">
        <v>2582</v>
      </c>
      <c r="B661" s="8" t="str">
        <f>IFERROR(__xludf.DUMMYFUNCTION("REGEXREPLACE(A661, ""[^0-9a-zA-Z .'Ã]"","""")"),"Terry George")</f>
        <v>Terry George</v>
      </c>
      <c r="C661" s="9">
        <v>187.0</v>
      </c>
      <c r="D661" s="10">
        <v>2.34729E7</v>
      </c>
      <c r="E661" s="9" t="s">
        <v>74</v>
      </c>
      <c r="F661" s="9">
        <f t="shared" si="1"/>
        <v>3</v>
      </c>
      <c r="G661" s="9" t="s">
        <v>590</v>
      </c>
      <c r="H661" s="11" t="str">
        <f>IFERROR(__xludf.DUMMYFUNCTION("REGEXREPLACE(G661, ""[^0-9a-zA-Z .'Ã]"","""")"),"Don Cheadle")</f>
        <v>Don Cheadle</v>
      </c>
      <c r="I661" s="11" t="s">
        <v>2583</v>
      </c>
      <c r="J661" s="9">
        <v>264533.0</v>
      </c>
      <c r="K661" s="9" t="s">
        <v>2584</v>
      </c>
      <c r="L661" s="9">
        <v>609.0</v>
      </c>
      <c r="M661" s="9" t="s">
        <v>24</v>
      </c>
      <c r="N661" s="9" t="s">
        <v>130</v>
      </c>
      <c r="O661" s="10">
        <v>1.75E7</v>
      </c>
      <c r="P661" s="10">
        <f t="shared" si="2"/>
        <v>5972900</v>
      </c>
      <c r="Q661" s="12">
        <f t="shared" si="3"/>
        <v>0</v>
      </c>
      <c r="R661" s="9">
        <v>2004.0</v>
      </c>
      <c r="S661" s="9">
        <v>8.1</v>
      </c>
    </row>
    <row r="662" ht="15.75" customHeight="1">
      <c r="A662" s="13" t="s">
        <v>2585</v>
      </c>
      <c r="B662" s="8" t="str">
        <f>IFERROR(__xludf.DUMMYFUNCTION("REGEXREPLACE(A662, ""[^0-9a-zA-Z .'Ã]"","""")"),"Trent Cooper")</f>
        <v>Trent Cooper</v>
      </c>
      <c r="C662" s="14">
        <v>37.0</v>
      </c>
      <c r="D662" s="15">
        <v>1.5655665E7</v>
      </c>
      <c r="E662" s="14" t="s">
        <v>89</v>
      </c>
      <c r="F662" s="9">
        <f t="shared" si="1"/>
        <v>2</v>
      </c>
      <c r="G662" s="14" t="s">
        <v>2586</v>
      </c>
      <c r="H662" s="11" t="str">
        <f>IFERROR(__xludf.DUMMYFUNCTION("REGEXREPLACE(G662, ""[^0-9a-zA-Z .'Ã]"","""")"),"Thomas F. Wilson")</f>
        <v>Thomas F. Wilson</v>
      </c>
      <c r="I662" s="16" t="s">
        <v>2587</v>
      </c>
      <c r="J662" s="14">
        <v>9104.0</v>
      </c>
      <c r="K662" s="14" t="s">
        <v>2588</v>
      </c>
      <c r="L662" s="14">
        <v>112.0</v>
      </c>
      <c r="M662" s="14" t="s">
        <v>24</v>
      </c>
      <c r="N662" s="14" t="s">
        <v>25</v>
      </c>
      <c r="O662" s="15">
        <v>4000000.0</v>
      </c>
      <c r="P662" s="10">
        <f t="shared" si="2"/>
        <v>11655665</v>
      </c>
      <c r="Q662" s="12">
        <f t="shared" si="3"/>
        <v>0</v>
      </c>
      <c r="R662" s="14">
        <v>2006.0</v>
      </c>
      <c r="S662" s="14">
        <v>3.1</v>
      </c>
    </row>
    <row r="663" ht="15.75" customHeight="1">
      <c r="A663" s="17" t="s">
        <v>2589</v>
      </c>
      <c r="B663" s="8" t="str">
        <f>IFERROR(__xludf.DUMMYFUNCTION("REGEXREPLACE(A663, ""[^0-9a-zA-Z .'Ã]"","""")"),"Henry Alex Rubin")</f>
        <v>Henry Alex Rubin</v>
      </c>
      <c r="C663" s="18">
        <v>110.0</v>
      </c>
      <c r="D663" s="19">
        <v>1523883.0</v>
      </c>
      <c r="E663" s="18" t="s">
        <v>1721</v>
      </c>
      <c r="F663" s="9">
        <f t="shared" si="1"/>
        <v>2</v>
      </c>
      <c r="G663" s="18" t="s">
        <v>2590</v>
      </c>
      <c r="H663" s="11" t="str">
        <f>IFERROR(__xludf.DUMMYFUNCTION("REGEXREPLACE(G663, ""[^0-9a-zA-Z .'Ã]"","""")"),"Mark Zupan")</f>
        <v>Mark Zupan</v>
      </c>
      <c r="I663" s="20" t="s">
        <v>2591</v>
      </c>
      <c r="J663" s="18">
        <v>9037.0</v>
      </c>
      <c r="K663" s="18" t="s">
        <v>2592</v>
      </c>
      <c r="L663" s="18">
        <v>70.0</v>
      </c>
      <c r="M663" s="18" t="s">
        <v>24</v>
      </c>
      <c r="N663" s="18" t="s">
        <v>25</v>
      </c>
      <c r="O663" s="19">
        <v>1750211.0</v>
      </c>
      <c r="P663" s="10">
        <f t="shared" si="2"/>
        <v>0</v>
      </c>
      <c r="Q663" s="12">
        <f t="shared" si="3"/>
        <v>226328</v>
      </c>
      <c r="R663" s="18">
        <v>2005.0</v>
      </c>
      <c r="S663" s="18">
        <v>7.8</v>
      </c>
    </row>
    <row r="664" ht="15.75" customHeight="1">
      <c r="A664" s="29" t="s">
        <v>2593</v>
      </c>
      <c r="B664" s="8" t="str">
        <f>IFERROR(__xludf.DUMMYFUNCTION("REGEXREPLACE(A664, ""[^0-9a-zA-Z .'Ã]"","""")"),"Don Scardino")</f>
        <v>Don Scardino</v>
      </c>
      <c r="C664" s="30">
        <v>260.0</v>
      </c>
      <c r="D664" s="31">
        <v>2.2525921E7</v>
      </c>
      <c r="E664" s="30" t="s">
        <v>137</v>
      </c>
      <c r="F664" s="9">
        <f t="shared" si="1"/>
        <v>1</v>
      </c>
      <c r="G664" s="30" t="s">
        <v>453</v>
      </c>
      <c r="H664" s="11" t="str">
        <f>IFERROR(__xludf.DUMMYFUNCTION("REGEXREPLACE(G664, ""[^0-9a-zA-Z .'Ã]"","""")"),"Steve Buscemi")</f>
        <v>Steve Buscemi</v>
      </c>
      <c r="I664" s="32" t="s">
        <v>2594</v>
      </c>
      <c r="J664" s="30">
        <v>60596.0</v>
      </c>
      <c r="K664" s="30" t="s">
        <v>2595</v>
      </c>
      <c r="L664" s="30">
        <v>158.0</v>
      </c>
      <c r="M664" s="30" t="s">
        <v>24</v>
      </c>
      <c r="N664" s="30" t="s">
        <v>25</v>
      </c>
      <c r="O664" s="31">
        <v>3.0E7</v>
      </c>
      <c r="P664" s="10">
        <f t="shared" si="2"/>
        <v>0</v>
      </c>
      <c r="Q664" s="12">
        <f t="shared" si="3"/>
        <v>7474079</v>
      </c>
      <c r="R664" s="30">
        <v>2013.0</v>
      </c>
      <c r="S664" s="30">
        <v>5.9</v>
      </c>
    </row>
    <row r="665" ht="15.75" customHeight="1">
      <c r="A665" s="21" t="s">
        <v>2376</v>
      </c>
      <c r="B665" s="8" t="str">
        <f>IFERROR(__xludf.DUMMYFUNCTION("REGEXREPLACE(A665, ""[^0-9a-zA-Z .'Ã]"","""")"),"John Carney")</f>
        <v>John Carney</v>
      </c>
      <c r="C665" s="22">
        <v>232.0</v>
      </c>
      <c r="D665" s="23">
        <v>9437933.0</v>
      </c>
      <c r="E665" s="22" t="s">
        <v>734</v>
      </c>
      <c r="F665" s="9">
        <f t="shared" si="1"/>
        <v>3</v>
      </c>
      <c r="G665" s="22" t="s">
        <v>2596</v>
      </c>
      <c r="H665" s="11" t="str">
        <f>IFERROR(__xludf.DUMMYFUNCTION("REGEXREPLACE(G665, ""[^0-9a-zA-Z .'Ã]"","""")"),"Glen Hansard")</f>
        <v>Glen Hansard</v>
      </c>
      <c r="I665" s="24" t="s">
        <v>2597</v>
      </c>
      <c r="J665" s="22">
        <v>90827.0</v>
      </c>
      <c r="K665" s="22" t="s">
        <v>2598</v>
      </c>
      <c r="L665" s="22">
        <v>329.0</v>
      </c>
      <c r="M665" s="22" t="s">
        <v>24</v>
      </c>
      <c r="N665" s="22" t="s">
        <v>593</v>
      </c>
      <c r="O665" s="23">
        <v>180000.0</v>
      </c>
      <c r="P665" s="10">
        <f t="shared" si="2"/>
        <v>9257933</v>
      </c>
      <c r="Q665" s="12">
        <f t="shared" si="3"/>
        <v>0</v>
      </c>
      <c r="R665" s="22">
        <v>2007.0</v>
      </c>
      <c r="S665" s="22">
        <v>7.9</v>
      </c>
    </row>
    <row r="666" ht="15.75" customHeight="1">
      <c r="A666" s="21" t="s">
        <v>2599</v>
      </c>
      <c r="B666" s="8" t="str">
        <f>IFERROR(__xludf.DUMMYFUNCTION("REGEXREPLACE(A666, ""[^0-9a-zA-Z .'Ã]"","""")"),"Richard Linklater")</f>
        <v>Richard Linklater</v>
      </c>
      <c r="C666" s="22">
        <v>152.0</v>
      </c>
      <c r="D666" s="23">
        <v>7993039.0</v>
      </c>
      <c r="E666" s="22" t="s">
        <v>137</v>
      </c>
      <c r="F666" s="9">
        <f t="shared" si="1"/>
        <v>1</v>
      </c>
      <c r="G666" s="22" t="s">
        <v>65</v>
      </c>
      <c r="H666" s="11" t="str">
        <f>IFERROR(__xludf.DUMMYFUNCTION("REGEXREPLACE(G666, ""[^0-9a-zA-Z .'Ã]"","""")"),"Milla Jovovich")</f>
        <v>Milla Jovovich</v>
      </c>
      <c r="I666" s="24" t="s">
        <v>2600</v>
      </c>
      <c r="J666" s="22">
        <v>120036.0</v>
      </c>
      <c r="K666" s="22" t="s">
        <v>2601</v>
      </c>
      <c r="L666" s="22">
        <v>408.0</v>
      </c>
      <c r="M666" s="22" t="s">
        <v>24</v>
      </c>
      <c r="N666" s="22" t="s">
        <v>25</v>
      </c>
      <c r="O666" s="23">
        <v>6900000.0</v>
      </c>
      <c r="P666" s="10">
        <f t="shared" si="2"/>
        <v>1093039</v>
      </c>
      <c r="Q666" s="12">
        <f t="shared" si="3"/>
        <v>0</v>
      </c>
      <c r="R666" s="22">
        <v>1993.0</v>
      </c>
      <c r="S666" s="22">
        <v>7.7</v>
      </c>
    </row>
    <row r="667" ht="15.75" customHeight="1">
      <c r="A667" s="29" t="s">
        <v>2602</v>
      </c>
      <c r="B667" s="8" t="str">
        <f>IFERROR(__xludf.DUMMYFUNCTION("REGEXREPLACE(A667, ""[^0-9a-zA-Z .'Ã]"","""")"),"Walter Hill")</f>
        <v>Walter Hill</v>
      </c>
      <c r="C667" s="30">
        <v>100.0</v>
      </c>
      <c r="D667" s="31">
        <v>1.4218868E7</v>
      </c>
      <c r="E667" s="30" t="s">
        <v>1017</v>
      </c>
      <c r="F667" s="9">
        <f t="shared" si="1"/>
        <v>3</v>
      </c>
      <c r="G667" s="30" t="s">
        <v>2335</v>
      </c>
      <c r="H667" s="11" t="str">
        <f>IFERROR(__xludf.DUMMYFUNCTION("REGEXREPLACE(G667, ""[^0-9a-zA-Z .'Ã]"","""")"),"Robert Forster")</f>
        <v>Robert Forster</v>
      </c>
      <c r="I667" s="32" t="s">
        <v>2603</v>
      </c>
      <c r="J667" s="30">
        <v>14596.0</v>
      </c>
      <c r="K667" s="30" t="s">
        <v>2604</v>
      </c>
      <c r="L667" s="30">
        <v>282.0</v>
      </c>
      <c r="M667" s="30" t="s">
        <v>24</v>
      </c>
      <c r="N667" s="30" t="s">
        <v>25</v>
      </c>
      <c r="O667" s="31">
        <v>6.5E7</v>
      </c>
      <c r="P667" s="10">
        <f t="shared" si="2"/>
        <v>0</v>
      </c>
      <c r="Q667" s="12">
        <f t="shared" si="3"/>
        <v>50781132</v>
      </c>
      <c r="R667" s="30">
        <v>2000.0</v>
      </c>
      <c r="S667" s="30">
        <v>4.8</v>
      </c>
    </row>
    <row r="668" ht="15.75" customHeight="1">
      <c r="A668" s="29" t="s">
        <v>609</v>
      </c>
      <c r="B668" s="8" t="str">
        <f>IFERROR(__xludf.DUMMYFUNCTION("REGEXREPLACE(A668, ""[^0-9a-zA-Z .'Ã]"","""")"),"Jonathan Mostow")</f>
        <v>Jonathan Mostow</v>
      </c>
      <c r="C668" s="30">
        <v>280.0</v>
      </c>
      <c r="D668" s="31">
        <v>1.50350192E8</v>
      </c>
      <c r="E668" s="30" t="s">
        <v>848</v>
      </c>
      <c r="F668" s="9">
        <f t="shared" si="1"/>
        <v>2</v>
      </c>
      <c r="G668" s="30" t="s">
        <v>2605</v>
      </c>
      <c r="H668" s="11" t="str">
        <f>IFERROR(__xludf.DUMMYFUNCTION("REGEXREPLACE(G668, ""[^0-9a-zA-Z .'Ã]"","""")"),"Nick Stahl")</f>
        <v>Nick Stahl</v>
      </c>
      <c r="I668" s="32" t="s">
        <v>2606</v>
      </c>
      <c r="J668" s="30">
        <v>305340.0</v>
      </c>
      <c r="K668" s="30" t="s">
        <v>2607</v>
      </c>
      <c r="L668" s="30">
        <v>1676.0</v>
      </c>
      <c r="M668" s="30" t="s">
        <v>24</v>
      </c>
      <c r="N668" s="30" t="s">
        <v>25</v>
      </c>
      <c r="O668" s="31">
        <v>2.0E8</v>
      </c>
      <c r="P668" s="10">
        <f t="shared" si="2"/>
        <v>0</v>
      </c>
      <c r="Q668" s="12">
        <f t="shared" si="3"/>
        <v>49649808</v>
      </c>
      <c r="R668" s="30">
        <v>2003.0</v>
      </c>
      <c r="S668" s="30">
        <v>6.4</v>
      </c>
    </row>
    <row r="669" ht="15.75" customHeight="1">
      <c r="A669" s="7" t="s">
        <v>2608</v>
      </c>
      <c r="B669" s="8" t="str">
        <f>IFERROR(__xludf.DUMMYFUNCTION("REGEXREPLACE(A669, ""[^0-9a-zA-Z .'Ã]"","""")"),"Barbra Streisand")</f>
        <v>Barbra Streisand</v>
      </c>
      <c r="C669" s="9">
        <v>30.0</v>
      </c>
      <c r="D669" s="10">
        <v>7.4787599E7</v>
      </c>
      <c r="E669" s="9" t="s">
        <v>232</v>
      </c>
      <c r="F669" s="9">
        <f t="shared" si="1"/>
        <v>2</v>
      </c>
      <c r="G669" s="9" t="s">
        <v>2609</v>
      </c>
      <c r="H669" s="11" t="str">
        <f>IFERROR(__xludf.DUMMYFUNCTION("REGEXREPLACE(G669, ""[^0-9a-zA-Z .'Ã]"","""")"),"George Carlin")</f>
        <v>George Carlin</v>
      </c>
      <c r="I669" s="11" t="s">
        <v>2610</v>
      </c>
      <c r="J669" s="9">
        <v>12549.0</v>
      </c>
      <c r="K669" s="9" t="s">
        <v>2611</v>
      </c>
      <c r="L669" s="9">
        <v>109.0</v>
      </c>
      <c r="M669" s="9" t="s">
        <v>24</v>
      </c>
      <c r="N669" s="9" t="s">
        <v>25</v>
      </c>
      <c r="O669" s="10">
        <v>3.0E7</v>
      </c>
      <c r="P669" s="10">
        <f t="shared" si="2"/>
        <v>44787599</v>
      </c>
      <c r="Q669" s="12">
        <f t="shared" si="3"/>
        <v>0</v>
      </c>
      <c r="R669" s="9">
        <v>1991.0</v>
      </c>
      <c r="S669" s="9">
        <v>6.6</v>
      </c>
    </row>
    <row r="670" ht="15.75" customHeight="1">
      <c r="A670" s="7" t="s">
        <v>838</v>
      </c>
      <c r="B670" s="8" t="str">
        <f>IFERROR(__xludf.DUMMYFUNCTION("REGEXREPLACE(A670, ""[^0-9a-zA-Z .'Ã]"","""")"),"John Glen")</f>
        <v>John Glen</v>
      </c>
      <c r="C670" s="9">
        <v>105.0</v>
      </c>
      <c r="D670" s="10">
        <v>5.1185897E7</v>
      </c>
      <c r="E670" s="9" t="s">
        <v>474</v>
      </c>
      <c r="F670" s="9">
        <f t="shared" si="1"/>
        <v>3</v>
      </c>
      <c r="G670" s="9" t="s">
        <v>2612</v>
      </c>
      <c r="H670" s="11" t="str">
        <f>IFERROR(__xludf.DUMMYFUNCTION("REGEXREPLACE(G670, ""[^0-9a-zA-Z .'Ã]"","""")"),"Joe Don Baker")</f>
        <v>Joe Don Baker</v>
      </c>
      <c r="I670" s="11" t="s">
        <v>2613</v>
      </c>
      <c r="J670" s="9">
        <v>69457.0</v>
      </c>
      <c r="K670" s="9" t="s">
        <v>2614</v>
      </c>
      <c r="L670" s="9">
        <v>271.0</v>
      </c>
      <c r="M670" s="9" t="s">
        <v>24</v>
      </c>
      <c r="N670" s="9" t="s">
        <v>130</v>
      </c>
      <c r="O670" s="10">
        <v>3.0E7</v>
      </c>
      <c r="P670" s="10">
        <f t="shared" si="2"/>
        <v>21185897</v>
      </c>
      <c r="Q670" s="12">
        <f t="shared" si="3"/>
        <v>0</v>
      </c>
      <c r="R670" s="9">
        <v>1987.0</v>
      </c>
      <c r="S670" s="9">
        <v>6.7</v>
      </c>
    </row>
    <row r="671" ht="15.75" customHeight="1">
      <c r="A671" s="17" t="s">
        <v>1526</v>
      </c>
      <c r="B671" s="8" t="str">
        <f>IFERROR(__xludf.DUMMYFUNCTION("REGEXREPLACE(A671, ""[^0-9a-zA-Z .'Ã]"","""")"),"Gore Verbinski")</f>
        <v>Gore Verbinski</v>
      </c>
      <c r="C671" s="18">
        <v>125.0</v>
      </c>
      <c r="D671" s="19">
        <v>6.6808615E7</v>
      </c>
      <c r="E671" s="18" t="s">
        <v>2615</v>
      </c>
      <c r="F671" s="9">
        <f t="shared" si="1"/>
        <v>4</v>
      </c>
      <c r="G671" s="18" t="s">
        <v>878</v>
      </c>
      <c r="H671" s="11" t="str">
        <f>IFERROR(__xludf.DUMMYFUNCTION("REGEXREPLACE(G671, ""[^0-9a-zA-Z .'Ã]"","""")"),"J.K. Simmons")</f>
        <v>J.K. Simmons</v>
      </c>
      <c r="I671" s="20" t="s">
        <v>2616</v>
      </c>
      <c r="J671" s="18">
        <v>87351.0</v>
      </c>
      <c r="K671" s="18" t="s">
        <v>2617</v>
      </c>
      <c r="L671" s="18">
        <v>344.0</v>
      </c>
      <c r="M671" s="18" t="s">
        <v>24</v>
      </c>
      <c r="N671" s="18" t="s">
        <v>25</v>
      </c>
      <c r="O671" s="19">
        <v>3.4E7</v>
      </c>
      <c r="P671" s="10">
        <f t="shared" si="2"/>
        <v>32808615</v>
      </c>
      <c r="Q671" s="12">
        <f t="shared" si="3"/>
        <v>0</v>
      </c>
      <c r="R671" s="18">
        <v>2001.0</v>
      </c>
      <c r="S671" s="18">
        <v>6.1</v>
      </c>
    </row>
    <row r="672" ht="15.75" customHeight="1">
      <c r="A672" s="17" t="s">
        <v>2618</v>
      </c>
      <c r="B672" s="8" t="str">
        <f>IFERROR(__xludf.DUMMYFUNCTION("REGEXREPLACE(A672, ""[^0-9a-zA-Z .'Ã]"","""")"),"Jonathan Demme")</f>
        <v>Jonathan Demme</v>
      </c>
      <c r="C672" s="18">
        <v>68.0</v>
      </c>
      <c r="D672" s="19">
        <v>7.7324422E7</v>
      </c>
      <c r="E672" s="18" t="s">
        <v>103</v>
      </c>
      <c r="F672" s="9">
        <f t="shared" si="1"/>
        <v>1</v>
      </c>
      <c r="G672" s="18" t="s">
        <v>70</v>
      </c>
      <c r="H672" s="11" t="str">
        <f>IFERROR(__xludf.DUMMYFUNCTION("REGEXREPLACE(G672, ""[^0-9a-zA-Z .'Ã]"","""")"),"Denzel Washington")</f>
        <v>Denzel Washington</v>
      </c>
      <c r="I672" s="20" t="s">
        <v>2619</v>
      </c>
      <c r="J672" s="18">
        <v>178731.0</v>
      </c>
      <c r="K672" s="18" t="s">
        <v>2620</v>
      </c>
      <c r="L672" s="18">
        <v>261.0</v>
      </c>
      <c r="M672" s="18" t="s">
        <v>24</v>
      </c>
      <c r="N672" s="18" t="s">
        <v>25</v>
      </c>
      <c r="O672" s="19">
        <v>2.6E7</v>
      </c>
      <c r="P672" s="10">
        <f t="shared" si="2"/>
        <v>51324422</v>
      </c>
      <c r="Q672" s="12">
        <f t="shared" si="3"/>
        <v>0</v>
      </c>
      <c r="R672" s="18">
        <v>1993.0</v>
      </c>
      <c r="S672" s="18">
        <v>7.7</v>
      </c>
    </row>
    <row r="673" ht="15.75" customHeight="1">
      <c r="A673" s="21" t="s">
        <v>1458</v>
      </c>
      <c r="B673" s="8" t="str">
        <f>IFERROR(__xludf.DUMMYFUNCTION("REGEXREPLACE(A673, ""[^0-9a-zA-Z .'Ã]"","""")"),"Bobby Farrelly")</f>
        <v>Bobby Farrelly</v>
      </c>
      <c r="C673" s="22">
        <v>171.0</v>
      </c>
      <c r="D673" s="23">
        <v>1.76483808E8</v>
      </c>
      <c r="E673" s="22" t="s">
        <v>89</v>
      </c>
      <c r="F673" s="9">
        <f t="shared" si="1"/>
        <v>2</v>
      </c>
      <c r="G673" s="22" t="s">
        <v>242</v>
      </c>
      <c r="H673" s="11" t="str">
        <f>IFERROR(__xludf.DUMMYFUNCTION("REGEXREPLACE(G673, ""[^0-9a-zA-Z .'Ã]"","""")"),"Sarah Silverman")</f>
        <v>Sarah Silverman</v>
      </c>
      <c r="I673" s="24" t="s">
        <v>2621</v>
      </c>
      <c r="J673" s="22">
        <v>247289.0</v>
      </c>
      <c r="K673" s="22" t="s">
        <v>2622</v>
      </c>
      <c r="L673" s="22">
        <v>611.0</v>
      </c>
      <c r="M673" s="22" t="s">
        <v>24</v>
      </c>
      <c r="N673" s="22" t="s">
        <v>25</v>
      </c>
      <c r="O673" s="23">
        <v>2.3E7</v>
      </c>
      <c r="P673" s="10">
        <f t="shared" si="2"/>
        <v>153483808</v>
      </c>
      <c r="Q673" s="12">
        <f t="shared" si="3"/>
        <v>0</v>
      </c>
      <c r="R673" s="22">
        <v>1998.0</v>
      </c>
      <c r="S673" s="22">
        <v>7.1</v>
      </c>
    </row>
    <row r="674" ht="15.75" customHeight="1">
      <c r="A674" s="7" t="s">
        <v>2623</v>
      </c>
      <c r="B674" s="8" t="str">
        <f>IFERROR(__xludf.DUMMYFUNCTION("REGEXREPLACE(A674, ""[^0-9a-zA-Z .'Ã]"","""")"),"Alex Proyas")</f>
        <v>Alex Proyas</v>
      </c>
      <c r="C674" s="9">
        <v>184.0</v>
      </c>
      <c r="D674" s="10">
        <v>3.1141074E7</v>
      </c>
      <c r="E674" s="9" t="s">
        <v>278</v>
      </c>
      <c r="F674" s="9">
        <f t="shared" si="1"/>
        <v>3</v>
      </c>
      <c r="G674" s="9" t="s">
        <v>830</v>
      </c>
      <c r="H674" s="11" t="str">
        <f>IFERROR(__xludf.DUMMYFUNCTION("REGEXREPLACE(G674, ""[^0-9a-zA-Z .'Ã]"","""")"),"Gerard Butler")</f>
        <v>Gerard Butler</v>
      </c>
      <c r="I674" s="11" t="s">
        <v>2624</v>
      </c>
      <c r="J674" s="9">
        <v>51892.0</v>
      </c>
      <c r="K674" s="9" t="s">
        <v>2625</v>
      </c>
      <c r="L674" s="9">
        <v>273.0</v>
      </c>
      <c r="M674" s="9" t="s">
        <v>24</v>
      </c>
      <c r="N674" s="9" t="s">
        <v>25</v>
      </c>
      <c r="O674" s="10">
        <v>1.4E8</v>
      </c>
      <c r="P674" s="10">
        <f t="shared" si="2"/>
        <v>0</v>
      </c>
      <c r="Q674" s="12">
        <f t="shared" si="3"/>
        <v>108858926</v>
      </c>
      <c r="R674" s="9">
        <v>2016.0</v>
      </c>
      <c r="S674" s="9">
        <v>5.5</v>
      </c>
    </row>
    <row r="675" ht="15.75" customHeight="1">
      <c r="A675" s="13" t="s">
        <v>2626</v>
      </c>
      <c r="B675" s="8" t="str">
        <f>IFERROR(__xludf.DUMMYFUNCTION("REGEXREPLACE(A675, ""[^0-9a-zA-Z .'Ã]"","""")"),"Shekhar Kapur")</f>
        <v>Shekhar Kapur</v>
      </c>
      <c r="C675" s="14">
        <v>141.0</v>
      </c>
      <c r="D675" s="15">
        <v>3.001299E7</v>
      </c>
      <c r="E675" s="14" t="s">
        <v>620</v>
      </c>
      <c r="F675" s="9">
        <f t="shared" si="1"/>
        <v>3</v>
      </c>
      <c r="G675" s="14" t="s">
        <v>2627</v>
      </c>
      <c r="H675" s="11" t="str">
        <f>IFERROR(__xludf.DUMMYFUNCTION("REGEXREPLACE(G675, ""[^0-9a-zA-Z .'Ã]"","""")"),"Fanny Ardant")</f>
        <v>Fanny Ardant</v>
      </c>
      <c r="I675" s="16" t="s">
        <v>2628</v>
      </c>
      <c r="J675" s="14">
        <v>75973.0</v>
      </c>
      <c r="K675" s="14" t="s">
        <v>2629</v>
      </c>
      <c r="L675" s="14">
        <v>409.0</v>
      </c>
      <c r="M675" s="14" t="s">
        <v>24</v>
      </c>
      <c r="N675" s="14" t="s">
        <v>130</v>
      </c>
      <c r="O675" s="15">
        <v>2.5E7</v>
      </c>
      <c r="P675" s="10">
        <f t="shared" si="2"/>
        <v>5012990</v>
      </c>
      <c r="Q675" s="12">
        <f t="shared" si="3"/>
        <v>0</v>
      </c>
      <c r="R675" s="14">
        <v>1998.0</v>
      </c>
      <c r="S675" s="14">
        <v>7.5</v>
      </c>
    </row>
    <row r="676" ht="15.75" customHeight="1">
      <c r="A676" s="7" t="s">
        <v>2630</v>
      </c>
      <c r="B676" s="8" t="str">
        <f>IFERROR(__xludf.DUMMYFUNCTION("REGEXREPLACE(A676, ""[^0-9a-zA-Z .'Ã]"","""")"),"Stephen Hillenburg")</f>
        <v>Stephen Hillenburg</v>
      </c>
      <c r="C676" s="9">
        <v>89.0</v>
      </c>
      <c r="D676" s="10">
        <v>8.5416609E7</v>
      </c>
      <c r="E676" s="9" t="s">
        <v>301</v>
      </c>
      <c r="F676" s="9">
        <f t="shared" si="1"/>
        <v>5</v>
      </c>
      <c r="G676" s="9" t="s">
        <v>436</v>
      </c>
      <c r="H676" s="11" t="str">
        <f>IFERROR(__xludf.DUMMYFUNCTION("REGEXREPLACE(G676, ""[^0-9a-zA-Z .'Ã]"","""")"),"Scarlett Johansson")</f>
        <v>Scarlett Johansson</v>
      </c>
      <c r="I676" s="11" t="s">
        <v>2631</v>
      </c>
      <c r="J676" s="9">
        <v>58906.0</v>
      </c>
      <c r="K676" s="9" t="s">
        <v>2632</v>
      </c>
      <c r="L676" s="9">
        <v>186.0</v>
      </c>
      <c r="M676" s="9" t="s">
        <v>24</v>
      </c>
      <c r="N676" s="9" t="s">
        <v>25</v>
      </c>
      <c r="O676" s="10">
        <v>3.0E7</v>
      </c>
      <c r="P676" s="10">
        <f t="shared" si="2"/>
        <v>55416609</v>
      </c>
      <c r="Q676" s="12">
        <f t="shared" si="3"/>
        <v>0</v>
      </c>
      <c r="R676" s="9">
        <v>2004.0</v>
      </c>
      <c r="S676" s="9">
        <v>7.0</v>
      </c>
    </row>
    <row r="677" ht="15.75" customHeight="1">
      <c r="A677" s="29" t="s">
        <v>2633</v>
      </c>
      <c r="B677" s="8" t="str">
        <f>IFERROR(__xludf.DUMMYFUNCTION("REGEXREPLACE(A677, ""[^0-9a-zA-Z .'Ã]"","""")"),"Brian Dannelly")</f>
        <v>Brian Dannelly</v>
      </c>
      <c r="C677" s="30">
        <v>121.0</v>
      </c>
      <c r="D677" s="31">
        <v>8786715.0</v>
      </c>
      <c r="E677" s="30" t="s">
        <v>454</v>
      </c>
      <c r="F677" s="9">
        <f t="shared" si="1"/>
        <v>2</v>
      </c>
      <c r="G677" s="30" t="s">
        <v>2080</v>
      </c>
      <c r="H677" s="11" t="str">
        <f>IFERROR(__xludf.DUMMYFUNCTION("REGEXREPLACE(G677, ""[^0-9a-zA-Z .'Ã]"","""")"),"Macaulay Culkin")</f>
        <v>Macaulay Culkin</v>
      </c>
      <c r="I677" s="32" t="s">
        <v>2634</v>
      </c>
      <c r="J677" s="30">
        <v>40274.0</v>
      </c>
      <c r="K677" s="30" t="s">
        <v>2635</v>
      </c>
      <c r="L677" s="30">
        <v>324.0</v>
      </c>
      <c r="M677" s="30" t="s">
        <v>24</v>
      </c>
      <c r="N677" s="30" t="s">
        <v>25</v>
      </c>
      <c r="O677" s="31">
        <v>5000000.0</v>
      </c>
      <c r="P677" s="10">
        <f t="shared" si="2"/>
        <v>3786715</v>
      </c>
      <c r="Q677" s="12">
        <f t="shared" si="3"/>
        <v>0</v>
      </c>
      <c r="R677" s="30">
        <v>2004.0</v>
      </c>
      <c r="S677" s="30">
        <v>6.9</v>
      </c>
    </row>
    <row r="678" ht="15.75" customHeight="1">
      <c r="A678" s="21" t="s">
        <v>2636</v>
      </c>
      <c r="B678" s="8" t="str">
        <f>IFERROR(__xludf.DUMMYFUNCTION("REGEXREPLACE(A678, ""[^0-9a-zA-Z .'Ã]"","""")"),"Patricia Riggen")</f>
        <v>Patricia Riggen</v>
      </c>
      <c r="C678" s="22">
        <v>63.0</v>
      </c>
      <c r="D678" s="23">
        <v>6.1693523E7</v>
      </c>
      <c r="E678" s="22" t="s">
        <v>103</v>
      </c>
      <c r="F678" s="9">
        <f t="shared" si="1"/>
        <v>1</v>
      </c>
      <c r="G678" s="22" t="s">
        <v>862</v>
      </c>
      <c r="H678" s="11" t="str">
        <f>IFERROR(__xludf.DUMMYFUNCTION("REGEXREPLACE(G678, ""[^0-9a-zA-Z .'Ã]"","""")"),"Jennifer Garner")</f>
        <v>Jennifer Garner</v>
      </c>
      <c r="I678" s="24" t="s">
        <v>2637</v>
      </c>
      <c r="J678" s="22">
        <v>6276.0</v>
      </c>
      <c r="K678" s="22" t="s">
        <v>2638</v>
      </c>
      <c r="L678" s="22">
        <v>55.0</v>
      </c>
      <c r="M678" s="22" t="s">
        <v>24</v>
      </c>
      <c r="N678" s="22" t="s">
        <v>25</v>
      </c>
      <c r="O678" s="23">
        <v>1.3E7</v>
      </c>
      <c r="P678" s="10">
        <f t="shared" si="2"/>
        <v>48693523</v>
      </c>
      <c r="Q678" s="12">
        <f t="shared" si="3"/>
        <v>0</v>
      </c>
      <c r="R678" s="22">
        <v>2016.0</v>
      </c>
      <c r="S678" s="22">
        <v>6.8</v>
      </c>
    </row>
    <row r="679" ht="15.75" customHeight="1">
      <c r="A679" s="17" t="s">
        <v>2639</v>
      </c>
      <c r="B679" s="8" t="str">
        <f>IFERROR(__xludf.DUMMYFUNCTION("REGEXREPLACE(A679, ""[^0-9a-zA-Z .'Ã]"","""")"),"Jonathan Teplitzky")</f>
        <v>Jonathan Teplitzky</v>
      </c>
      <c r="C679" s="18">
        <v>186.0</v>
      </c>
      <c r="D679" s="19">
        <v>4435083.0</v>
      </c>
      <c r="E679" s="18" t="s">
        <v>2640</v>
      </c>
      <c r="F679" s="9">
        <f t="shared" si="1"/>
        <v>4</v>
      </c>
      <c r="G679" s="18" t="s">
        <v>680</v>
      </c>
      <c r="H679" s="11" t="str">
        <f>IFERROR(__xludf.DUMMYFUNCTION("REGEXREPLACE(G679, ""[^0-9a-zA-Z .'Ã]"","""")"),"Jeremy Irvine")</f>
        <v>Jeremy Irvine</v>
      </c>
      <c r="I679" s="20" t="s">
        <v>2641</v>
      </c>
      <c r="J679" s="18">
        <v>27882.0</v>
      </c>
      <c r="K679" s="18" t="s">
        <v>2642</v>
      </c>
      <c r="L679" s="18">
        <v>119.0</v>
      </c>
      <c r="M679" s="18" t="s">
        <v>24</v>
      </c>
      <c r="N679" s="18" t="s">
        <v>146</v>
      </c>
      <c r="O679" s="19">
        <v>1.8E7</v>
      </c>
      <c r="P679" s="10">
        <f t="shared" si="2"/>
        <v>0</v>
      </c>
      <c r="Q679" s="12">
        <f t="shared" si="3"/>
        <v>13564917</v>
      </c>
      <c r="R679" s="18">
        <v>2013.0</v>
      </c>
      <c r="S679" s="18">
        <v>7.1</v>
      </c>
    </row>
    <row r="680" ht="15.75" customHeight="1">
      <c r="A680" s="25" t="s">
        <v>635</v>
      </c>
      <c r="B680" s="8" t="str">
        <f>IFERROR(__xludf.DUMMYFUNCTION("REGEXREPLACE(A680, ""[^0-9a-zA-Z .'Ã]"","""")"),"Steven Spielberg")</f>
        <v>Steven Spielberg</v>
      </c>
      <c r="C680" s="26">
        <v>252.0</v>
      </c>
      <c r="D680" s="27">
        <v>1.32014112E8</v>
      </c>
      <c r="E680" s="26" t="s">
        <v>409</v>
      </c>
      <c r="F680" s="9">
        <f t="shared" si="1"/>
        <v>4</v>
      </c>
      <c r="G680" s="26" t="s">
        <v>220</v>
      </c>
      <c r="H680" s="11" t="str">
        <f>IFERROR(__xludf.DUMMYFUNCTION("REGEXREPLACE(G680, ""[^0-9a-zA-Z .'Ã]"","""")"),"Tom Cruise")</f>
        <v>Tom Cruise</v>
      </c>
      <c r="I680" s="28" t="s">
        <v>2643</v>
      </c>
      <c r="J680" s="26">
        <v>399651.0</v>
      </c>
      <c r="K680" s="26" t="s">
        <v>2644</v>
      </c>
      <c r="L680" s="26">
        <v>1331.0</v>
      </c>
      <c r="M680" s="26" t="s">
        <v>24</v>
      </c>
      <c r="N680" s="26" t="s">
        <v>25</v>
      </c>
      <c r="O680" s="27">
        <v>1.02E8</v>
      </c>
      <c r="P680" s="10">
        <f t="shared" si="2"/>
        <v>30014112</v>
      </c>
      <c r="Q680" s="12">
        <f t="shared" si="3"/>
        <v>0</v>
      </c>
      <c r="R680" s="26">
        <v>2002.0</v>
      </c>
      <c r="S680" s="26">
        <v>7.7</v>
      </c>
    </row>
    <row r="681" ht="15.75" customHeight="1">
      <c r="A681" s="17" t="s">
        <v>2645</v>
      </c>
      <c r="B681" s="8" t="str">
        <f>IFERROR(__xludf.DUMMYFUNCTION("REGEXREPLACE(A681, ""[^0-9a-zA-Z .'Ã]"","""")"),"Richard Fleischer")</f>
        <v>Richard Fleischer</v>
      </c>
      <c r="C681" s="18">
        <v>79.0</v>
      </c>
      <c r="D681" s="19">
        <v>1.45E7</v>
      </c>
      <c r="E681" s="18" t="s">
        <v>1446</v>
      </c>
      <c r="F681" s="9">
        <f t="shared" si="1"/>
        <v>4</v>
      </c>
      <c r="G681" s="18" t="s">
        <v>2646</v>
      </c>
      <c r="H681" s="11" t="str">
        <f>IFERROR(__xludf.DUMMYFUNCTION("REGEXREPLACE(G681, ""[^0-9a-zA-Z .'Ã]"","""")"),"Joseph Cotten")</f>
        <v>Joseph Cotten</v>
      </c>
      <c r="I681" s="20" t="s">
        <v>2647</v>
      </c>
      <c r="J681" s="18">
        <v>25019.0</v>
      </c>
      <c r="K681" s="18" t="s">
        <v>2648</v>
      </c>
      <c r="L681" s="18">
        <v>159.0</v>
      </c>
      <c r="M681" s="18" t="s">
        <v>24</v>
      </c>
      <c r="N681" s="18" t="s">
        <v>1535</v>
      </c>
      <c r="O681" s="19">
        <v>2.5E7</v>
      </c>
      <c r="P681" s="10">
        <f t="shared" si="2"/>
        <v>0</v>
      </c>
      <c r="Q681" s="12">
        <f t="shared" si="3"/>
        <v>10500000</v>
      </c>
      <c r="R681" s="18">
        <v>1970.0</v>
      </c>
      <c r="S681" s="18">
        <v>7.5</v>
      </c>
    </row>
    <row r="682" ht="15.75" customHeight="1">
      <c r="A682" s="21" t="s">
        <v>2649</v>
      </c>
      <c r="B682" s="8" t="str">
        <f>IFERROR(__xludf.DUMMYFUNCTION("REGEXREPLACE(A682, ""[^0-9a-zA-Z .'Ã]"","""")"),"Les Mayfield")</f>
        <v>Les Mayfield</v>
      </c>
      <c r="C682" s="22">
        <v>40.0</v>
      </c>
      <c r="D682" s="23">
        <v>6.820819E7</v>
      </c>
      <c r="E682" s="22" t="s">
        <v>790</v>
      </c>
      <c r="F682" s="9">
        <f t="shared" si="1"/>
        <v>4</v>
      </c>
      <c r="G682" s="22" t="s">
        <v>493</v>
      </c>
      <c r="H682" s="11" t="str">
        <f>IFERROR(__xludf.DUMMYFUNCTION("REGEXREPLACE(G682, ""[^0-9a-zA-Z .'Ã]"","""")"),"Peter Greene")</f>
        <v>Peter Greene</v>
      </c>
      <c r="I682" s="24" t="s">
        <v>2650</v>
      </c>
      <c r="J682" s="22">
        <v>60572.0</v>
      </c>
      <c r="K682" s="22" t="s">
        <v>2651</v>
      </c>
      <c r="L682" s="22">
        <v>144.0</v>
      </c>
      <c r="M682" s="22" t="s">
        <v>24</v>
      </c>
      <c r="N682" s="22" t="s">
        <v>25</v>
      </c>
      <c r="O682" s="23">
        <v>6.5E7</v>
      </c>
      <c r="P682" s="10">
        <f t="shared" si="2"/>
        <v>3208190</v>
      </c>
      <c r="Q682" s="12">
        <f t="shared" si="3"/>
        <v>0</v>
      </c>
      <c r="R682" s="22">
        <v>1999.0</v>
      </c>
      <c r="S682" s="22">
        <v>6.3</v>
      </c>
    </row>
    <row r="683" ht="15.75" customHeight="1">
      <c r="A683" s="7" t="s">
        <v>935</v>
      </c>
      <c r="B683" s="8" t="str">
        <f>IFERROR(__xludf.DUMMYFUNCTION("REGEXREPLACE(A683, ""[^0-9a-zA-Z .'Ã]"","""")"),"Betty Thomas")</f>
        <v>Betty Thomas</v>
      </c>
      <c r="C683" s="9">
        <v>107.0</v>
      </c>
      <c r="D683" s="10">
        <v>2.19613391E8</v>
      </c>
      <c r="E683" s="9" t="s">
        <v>2652</v>
      </c>
      <c r="F683" s="9">
        <f t="shared" si="1"/>
        <v>5</v>
      </c>
      <c r="G683" s="9" t="s">
        <v>2653</v>
      </c>
      <c r="H683" s="11" t="str">
        <f>IFERROR(__xludf.DUMMYFUNCTION("REGEXREPLACE(G683, ""[^0-9a-zA-Z .'Ã]"","""")"),"Amy Poehler")</f>
        <v>Amy Poehler</v>
      </c>
      <c r="I683" s="11" t="s">
        <v>2654</v>
      </c>
      <c r="J683" s="9">
        <v>31649.0</v>
      </c>
      <c r="K683" s="9" t="s">
        <v>2655</v>
      </c>
      <c r="L683" s="9">
        <v>98.0</v>
      </c>
      <c r="M683" s="9" t="s">
        <v>24</v>
      </c>
      <c r="N683" s="9" t="s">
        <v>25</v>
      </c>
      <c r="O683" s="10">
        <v>7.5E7</v>
      </c>
      <c r="P683" s="10">
        <f t="shared" si="2"/>
        <v>144613391</v>
      </c>
      <c r="Q683" s="12">
        <f t="shared" si="3"/>
        <v>0</v>
      </c>
      <c r="R683" s="9">
        <v>2009.0</v>
      </c>
      <c r="S683" s="9">
        <v>4.5</v>
      </c>
    </row>
    <row r="684" ht="15.75" customHeight="1">
      <c r="A684" s="29" t="s">
        <v>881</v>
      </c>
      <c r="B684" s="8" t="str">
        <f>IFERROR(__xludf.DUMMYFUNCTION("REGEXREPLACE(A684, ""[^0-9a-zA-Z .'Ã]"","""")"),"Terry Gilliam")</f>
        <v>Terry Gilliam</v>
      </c>
      <c r="C684" s="30">
        <v>131.0</v>
      </c>
      <c r="D684" s="31">
        <v>1229197.0</v>
      </c>
      <c r="E684" s="30" t="s">
        <v>2656</v>
      </c>
      <c r="F684" s="9">
        <f t="shared" si="1"/>
        <v>3</v>
      </c>
      <c r="G684" s="30" t="s">
        <v>2241</v>
      </c>
      <c r="H684" s="11" t="str">
        <f>IFERROR(__xludf.DUMMYFUNCTION("REGEXREPLACE(G684, ""[^0-9a-zA-Z .'Ã]"","""")"),"Eric Idle")</f>
        <v>Eric Idle</v>
      </c>
      <c r="I684" s="32" t="s">
        <v>2657</v>
      </c>
      <c r="J684" s="30">
        <v>382240.0</v>
      </c>
      <c r="K684" s="30" t="s">
        <v>2658</v>
      </c>
      <c r="L684" s="30">
        <v>660.0</v>
      </c>
      <c r="M684" s="30" t="s">
        <v>24</v>
      </c>
      <c r="N684" s="30" t="s">
        <v>130</v>
      </c>
      <c r="O684" s="31">
        <v>229575.0</v>
      </c>
      <c r="P684" s="10">
        <f t="shared" si="2"/>
        <v>999622</v>
      </c>
      <c r="Q684" s="12">
        <f t="shared" si="3"/>
        <v>0</v>
      </c>
      <c r="R684" s="30">
        <v>1975.0</v>
      </c>
      <c r="S684" s="30">
        <v>8.3</v>
      </c>
    </row>
    <row r="685" ht="15.75" customHeight="1">
      <c r="A685" s="21" t="s">
        <v>2659</v>
      </c>
      <c r="B685" s="8" t="str">
        <f>IFERROR(__xludf.DUMMYFUNCTION("REGEXREPLACE(A685, ""[^0-9a-zA-Z .'Ã]"","""")"),"Tina Gordon Chism")</f>
        <v>Tina Gordon Chism</v>
      </c>
      <c r="C685" s="22">
        <v>43.0</v>
      </c>
      <c r="D685" s="23">
        <v>9123834.0</v>
      </c>
      <c r="E685" s="22" t="s">
        <v>89</v>
      </c>
      <c r="F685" s="9">
        <f t="shared" si="1"/>
        <v>2</v>
      </c>
      <c r="G685" s="22" t="s">
        <v>2660</v>
      </c>
      <c r="H685" s="11" t="str">
        <f>IFERROR(__xludf.DUMMYFUNCTION("REGEXREPLACE(G685, ""[^0-9a-zA-Z .'Ã]"","""")"),"Tyler James Williams")</f>
        <v>Tyler James Williams</v>
      </c>
      <c r="I685" s="24" t="s">
        <v>2661</v>
      </c>
      <c r="J685" s="22">
        <v>4065.0</v>
      </c>
      <c r="K685" s="22" t="s">
        <v>2662</v>
      </c>
      <c r="L685" s="22">
        <v>33.0</v>
      </c>
      <c r="M685" s="22" t="s">
        <v>24</v>
      </c>
      <c r="N685" s="22" t="s">
        <v>25</v>
      </c>
      <c r="O685" s="23">
        <v>1.5E7</v>
      </c>
      <c r="P685" s="10">
        <f t="shared" si="2"/>
        <v>0</v>
      </c>
      <c r="Q685" s="12">
        <f t="shared" si="3"/>
        <v>5876166</v>
      </c>
      <c r="R685" s="22">
        <v>2013.0</v>
      </c>
      <c r="S685" s="22">
        <v>5.3</v>
      </c>
    </row>
    <row r="686" ht="15.75" customHeight="1">
      <c r="A686" s="7" t="s">
        <v>2663</v>
      </c>
      <c r="B686" s="8" t="str">
        <f>IFERROR(__xludf.DUMMYFUNCTION("REGEXREPLACE(A686, ""[^0-9a-zA-Z .'Ã]"","""")"),"Mort Nathan")</f>
        <v>Mort Nathan</v>
      </c>
      <c r="C686" s="9">
        <v>63.0</v>
      </c>
      <c r="D686" s="10">
        <v>8586376.0</v>
      </c>
      <c r="E686" s="9" t="s">
        <v>137</v>
      </c>
      <c r="F686" s="9">
        <f t="shared" si="1"/>
        <v>1</v>
      </c>
      <c r="G686" s="9" t="s">
        <v>165</v>
      </c>
      <c r="H686" s="11" t="str">
        <f>IFERROR(__xludf.DUMMYFUNCTION("REGEXREPLACE(G686, ""[^0-9a-zA-Z .'Ã]"","""")"),"Vivica A. Fox")</f>
        <v>Vivica A. Fox</v>
      </c>
      <c r="I686" s="11" t="s">
        <v>2664</v>
      </c>
      <c r="J686" s="9">
        <v>26598.0</v>
      </c>
      <c r="K686" s="9" t="s">
        <v>2665</v>
      </c>
      <c r="L686" s="9">
        <v>132.0</v>
      </c>
      <c r="M686" s="9" t="s">
        <v>24</v>
      </c>
      <c r="N686" s="9" t="s">
        <v>25</v>
      </c>
      <c r="O686" s="10">
        <v>2.0E7</v>
      </c>
      <c r="P686" s="10">
        <f t="shared" si="2"/>
        <v>0</v>
      </c>
      <c r="Q686" s="12">
        <f t="shared" si="3"/>
        <v>11413624</v>
      </c>
      <c r="R686" s="9">
        <v>2002.0</v>
      </c>
      <c r="S686" s="9">
        <v>4.9</v>
      </c>
    </row>
    <row r="687" ht="15.75" customHeight="1">
      <c r="A687" s="25" t="s">
        <v>2190</v>
      </c>
      <c r="B687" s="8" t="str">
        <f>IFERROR(__xludf.DUMMYFUNCTION("REGEXREPLACE(A687, ""[^0-9a-zA-Z .'Ã]"","""")"),"Ben Stiller")</f>
        <v>Ben Stiller</v>
      </c>
      <c r="C687" s="26">
        <v>362.0</v>
      </c>
      <c r="D687" s="27">
        <v>5.822912E7</v>
      </c>
      <c r="E687" s="26" t="s">
        <v>2666</v>
      </c>
      <c r="F687" s="9">
        <f t="shared" si="1"/>
        <v>5</v>
      </c>
      <c r="G687" s="26" t="s">
        <v>2667</v>
      </c>
      <c r="H687" s="11" t="str">
        <f>IFERROR(__xludf.DUMMYFUNCTION("REGEXREPLACE(G687, ""[^0-9a-zA-Z .'Ã]"","""")"),"Adam Scott")</f>
        <v>Adam Scott</v>
      </c>
      <c r="I687" s="28" t="s">
        <v>2668</v>
      </c>
      <c r="J687" s="26">
        <v>236421.0</v>
      </c>
      <c r="K687" s="26" t="s">
        <v>2669</v>
      </c>
      <c r="L687" s="26">
        <v>515.0</v>
      </c>
      <c r="M687" s="26" t="s">
        <v>24</v>
      </c>
      <c r="N687" s="26" t="s">
        <v>25</v>
      </c>
      <c r="O687" s="27">
        <v>9.0E7</v>
      </c>
      <c r="P687" s="10">
        <f t="shared" si="2"/>
        <v>0</v>
      </c>
      <c r="Q687" s="12">
        <f t="shared" si="3"/>
        <v>31770880</v>
      </c>
      <c r="R687" s="26">
        <v>2013.0</v>
      </c>
      <c r="S687" s="26">
        <v>7.3</v>
      </c>
    </row>
    <row r="688" ht="15.75" customHeight="1">
      <c r="A688" s="17" t="s">
        <v>2670</v>
      </c>
      <c r="B688" s="8" t="str">
        <f>IFERROR(__xludf.DUMMYFUNCTION("REGEXREPLACE(A688, ""[^0-9a-zA-Z .'Ã]"","""")"),"David Nixon")</f>
        <v>David Nixon</v>
      </c>
      <c r="C688" s="18">
        <v>19.0</v>
      </c>
      <c r="D688" s="19">
        <v>2848578.0</v>
      </c>
      <c r="E688" s="18" t="s">
        <v>2166</v>
      </c>
      <c r="F688" s="9">
        <f t="shared" si="1"/>
        <v>2</v>
      </c>
      <c r="G688" s="18" t="s">
        <v>2671</v>
      </c>
      <c r="H688" s="11" t="str">
        <f>IFERROR(__xludf.DUMMYFUNCTION("REGEXREPLACE(G688, ""[^0-9a-zA-Z .'Ã]"","""")"),"Robyn Lively")</f>
        <v>Robyn Lively</v>
      </c>
      <c r="I688" s="20" t="s">
        <v>2672</v>
      </c>
      <c r="J688" s="18">
        <v>3942.0</v>
      </c>
      <c r="K688" s="18" t="s">
        <v>2673</v>
      </c>
      <c r="L688" s="18">
        <v>65.0</v>
      </c>
      <c r="M688" s="18" t="s">
        <v>24</v>
      </c>
      <c r="N688" s="18" t="s">
        <v>25</v>
      </c>
      <c r="O688" s="19">
        <v>3500000.0</v>
      </c>
      <c r="P688" s="10">
        <f t="shared" si="2"/>
        <v>0</v>
      </c>
      <c r="Q688" s="12">
        <f t="shared" si="3"/>
        <v>651422</v>
      </c>
      <c r="R688" s="18">
        <v>2010.0</v>
      </c>
      <c r="S688" s="18">
        <v>6.3</v>
      </c>
    </row>
    <row r="689" ht="15.75" customHeight="1">
      <c r="A689" s="7" t="s">
        <v>2674</v>
      </c>
      <c r="B689" s="8" t="str">
        <f>IFERROR(__xludf.DUMMYFUNCTION("REGEXREPLACE(A689, ""[^0-9a-zA-Z .'Ã]"","""")"),"Michael Mann")</f>
        <v>Michael Mann</v>
      </c>
      <c r="C689" s="9">
        <v>357.0</v>
      </c>
      <c r="D689" s="10">
        <v>9.7030725E7</v>
      </c>
      <c r="E689" s="9" t="s">
        <v>2675</v>
      </c>
      <c r="F689" s="9">
        <f t="shared" si="1"/>
        <v>5</v>
      </c>
      <c r="G689" s="9" t="s">
        <v>85</v>
      </c>
      <c r="H689" s="11" t="str">
        <f>IFERROR(__xludf.DUMMYFUNCTION("REGEXREPLACE(G689, ""[^0-9a-zA-Z .'Ã]"","""")"),"Johnny Depp")</f>
        <v>Johnny Depp</v>
      </c>
      <c r="I689" s="11" t="s">
        <v>2676</v>
      </c>
      <c r="J689" s="9">
        <v>230931.0</v>
      </c>
      <c r="K689" s="9" t="s">
        <v>2677</v>
      </c>
      <c r="L689" s="9">
        <v>585.0</v>
      </c>
      <c r="M689" s="9" t="s">
        <v>24</v>
      </c>
      <c r="N689" s="9" t="s">
        <v>25</v>
      </c>
      <c r="O689" s="10">
        <v>1.0E8</v>
      </c>
      <c r="P689" s="10">
        <f t="shared" si="2"/>
        <v>0</v>
      </c>
      <c r="Q689" s="12">
        <f t="shared" si="3"/>
        <v>2969275</v>
      </c>
      <c r="R689" s="9">
        <v>2009.0</v>
      </c>
      <c r="S689" s="9">
        <v>7.0</v>
      </c>
    </row>
    <row r="690" ht="15.75" customHeight="1">
      <c r="A690" s="7" t="s">
        <v>760</v>
      </c>
      <c r="B690" s="8" t="str">
        <f>IFERROR(__xludf.DUMMYFUNCTION("REGEXREPLACE(A690, ""[^0-9a-zA-Z .'Ã]"","""")"),"Martin Scorsese")</f>
        <v>Martin Scorsese</v>
      </c>
      <c r="C690" s="9">
        <v>151.0</v>
      </c>
      <c r="D690" s="10">
        <v>45250.0</v>
      </c>
      <c r="E690" s="9" t="s">
        <v>1124</v>
      </c>
      <c r="F690" s="9">
        <f t="shared" si="1"/>
        <v>3</v>
      </c>
      <c r="G690" s="9" t="s">
        <v>883</v>
      </c>
      <c r="H690" s="11" t="str">
        <f>IFERROR(__xludf.DUMMYFUNCTION("REGEXREPLACE(G690, ""[^0-9a-zA-Z .'Ã]"","""")"),"Robert De Niro")</f>
        <v>Robert De Niro</v>
      </c>
      <c r="I690" s="11" t="s">
        <v>2678</v>
      </c>
      <c r="J690" s="9">
        <v>235133.0</v>
      </c>
      <c r="K690" s="9" t="s">
        <v>2679</v>
      </c>
      <c r="L690" s="9">
        <v>494.0</v>
      </c>
      <c r="M690" s="9" t="s">
        <v>24</v>
      </c>
      <c r="N690" s="9" t="s">
        <v>25</v>
      </c>
      <c r="O690" s="10">
        <v>1.8E7</v>
      </c>
      <c r="P690" s="10">
        <f t="shared" si="2"/>
        <v>0</v>
      </c>
      <c r="Q690" s="12">
        <f t="shared" si="3"/>
        <v>17954750</v>
      </c>
      <c r="R690" s="9">
        <v>1980.0</v>
      </c>
      <c r="S690" s="9">
        <v>8.3</v>
      </c>
    </row>
    <row r="691" ht="15.75" customHeight="1">
      <c r="A691" s="21" t="s">
        <v>2680</v>
      </c>
      <c r="B691" s="8" t="str">
        <f>IFERROR(__xludf.DUMMYFUNCTION("REGEXREPLACE(A691, ""[^0-9a-zA-Z .'Ã]"","""")"),"Lucio Fulci")</f>
        <v>Lucio Fulci</v>
      </c>
      <c r="C691" s="22">
        <v>203.0</v>
      </c>
      <c r="D691" s="23">
        <v>126387.0</v>
      </c>
      <c r="E691" s="22" t="s">
        <v>148</v>
      </c>
      <c r="F691" s="9">
        <f t="shared" si="1"/>
        <v>1</v>
      </c>
      <c r="G691" s="22" t="s">
        <v>2681</v>
      </c>
      <c r="H691" s="11" t="str">
        <f>IFERROR(__xludf.DUMMYFUNCTION("REGEXREPLACE(G691, ""[^0-9a-zA-Z .'Ã]"","""")"),"Catriona MacColl")</f>
        <v>Catriona MacColl</v>
      </c>
      <c r="I691" s="24" t="s">
        <v>2682</v>
      </c>
      <c r="J691" s="22">
        <v>14985.0</v>
      </c>
      <c r="K691" s="22" t="s">
        <v>2683</v>
      </c>
      <c r="L691" s="22">
        <v>253.0</v>
      </c>
      <c r="M691" s="22" t="s">
        <v>41</v>
      </c>
      <c r="N691" s="22" t="s">
        <v>42</v>
      </c>
      <c r="O691" s="23">
        <v>400000.0</v>
      </c>
      <c r="P691" s="10">
        <f t="shared" si="2"/>
        <v>0</v>
      </c>
      <c r="Q691" s="12">
        <f t="shared" si="3"/>
        <v>273613</v>
      </c>
      <c r="R691" s="22">
        <v>1981.0</v>
      </c>
      <c r="S691" s="22">
        <v>6.9</v>
      </c>
    </row>
    <row r="692" ht="15.75" customHeight="1">
      <c r="A692" s="7" t="s">
        <v>2684</v>
      </c>
      <c r="B692" s="8" t="str">
        <f>IFERROR(__xludf.DUMMYFUNCTION("REGEXREPLACE(A692, ""[^0-9a-zA-Z .'Ã]"","""")"),"Isabel Coixet")</f>
        <v>Isabel Coixet</v>
      </c>
      <c r="C692" s="9">
        <v>72.0</v>
      </c>
      <c r="D692" s="10">
        <v>395592.0</v>
      </c>
      <c r="E692" s="9" t="s">
        <v>232</v>
      </c>
      <c r="F692" s="9">
        <f t="shared" si="1"/>
        <v>2</v>
      </c>
      <c r="G692" s="9" t="s">
        <v>2685</v>
      </c>
      <c r="H692" s="11" t="str">
        <f>IFERROR(__xludf.DUMMYFUNCTION("REGEXREPLACE(G692, ""[^0-9a-zA-Z .'Ã]"","""")"),"Sarah Polley")</f>
        <v>Sarah Polley</v>
      </c>
      <c r="I692" s="11" t="s">
        <v>2686</v>
      </c>
      <c r="J692" s="9">
        <v>21202.0</v>
      </c>
      <c r="K692" s="9" t="s">
        <v>2687</v>
      </c>
      <c r="L692" s="9">
        <v>134.0</v>
      </c>
      <c r="M692" s="9" t="s">
        <v>24</v>
      </c>
      <c r="N692" s="9" t="s">
        <v>1108</v>
      </c>
      <c r="O692" s="10">
        <v>2000000.0</v>
      </c>
      <c r="P692" s="10">
        <f t="shared" si="2"/>
        <v>0</v>
      </c>
      <c r="Q692" s="12">
        <f t="shared" si="3"/>
        <v>1604408</v>
      </c>
      <c r="R692" s="9">
        <v>2003.0</v>
      </c>
      <c r="S692" s="9">
        <v>7.6</v>
      </c>
    </row>
    <row r="693" ht="15.75" customHeight="1">
      <c r="A693" s="25" t="s">
        <v>158</v>
      </c>
      <c r="B693" s="8" t="str">
        <f>IFERROR(__xludf.DUMMYFUNCTION("REGEXREPLACE(A693, ""[^0-9a-zA-Z .'Ã]"","""")"),"James L. Brooks")</f>
        <v>James L. Brooks</v>
      </c>
      <c r="C693" s="26">
        <v>124.0</v>
      </c>
      <c r="D693" s="27">
        <v>4.2044321E7</v>
      </c>
      <c r="E693" s="26" t="s">
        <v>159</v>
      </c>
      <c r="F693" s="9">
        <f t="shared" si="1"/>
        <v>3</v>
      </c>
      <c r="G693" s="26" t="s">
        <v>616</v>
      </c>
      <c r="H693" s="11" t="str">
        <f>IFERROR(__xludf.DUMMYFUNCTION("REGEXREPLACE(G693, ""[^0-9a-zA-Z .'Ã]"","""")"),"Adam Sandler")</f>
        <v>Adam Sandler</v>
      </c>
      <c r="I693" s="28" t="s">
        <v>2688</v>
      </c>
      <c r="J693" s="26">
        <v>65668.0</v>
      </c>
      <c r="K693" s="26" t="s">
        <v>2689</v>
      </c>
      <c r="L693" s="26">
        <v>342.0</v>
      </c>
      <c r="M693" s="26" t="s">
        <v>24</v>
      </c>
      <c r="N693" s="26" t="s">
        <v>25</v>
      </c>
      <c r="O693" s="27">
        <v>8.0E7</v>
      </c>
      <c r="P693" s="10">
        <f t="shared" si="2"/>
        <v>0</v>
      </c>
      <c r="Q693" s="12">
        <f t="shared" si="3"/>
        <v>37955679</v>
      </c>
      <c r="R693" s="26">
        <v>2004.0</v>
      </c>
      <c r="S693" s="26">
        <v>6.5</v>
      </c>
    </row>
    <row r="694" ht="15.75" customHeight="1">
      <c r="A694" s="21" t="s">
        <v>277</v>
      </c>
      <c r="B694" s="8" t="str">
        <f>IFERROR(__xludf.DUMMYFUNCTION("REGEXREPLACE(A694, ""[^0-9a-zA-Z .'Ã]"","""")"),"Rob Cohen")</f>
        <v>Rob Cohen</v>
      </c>
      <c r="C694" s="22">
        <v>187.0</v>
      </c>
      <c r="D694" s="23">
        <v>1.4451231E8</v>
      </c>
      <c r="E694" s="22" t="s">
        <v>152</v>
      </c>
      <c r="F694" s="9">
        <f t="shared" si="1"/>
        <v>3</v>
      </c>
      <c r="G694" s="22" t="s">
        <v>802</v>
      </c>
      <c r="H694" s="11" t="str">
        <f>IFERROR(__xludf.DUMMYFUNCTION("REGEXREPLACE(G694, ""[^0-9a-zA-Z .'Ã]"","""")"),"Paul Walker")</f>
        <v>Paul Walker</v>
      </c>
      <c r="I694" s="24" t="s">
        <v>2690</v>
      </c>
      <c r="J694" s="22">
        <v>272223.0</v>
      </c>
      <c r="K694" s="22" t="s">
        <v>2691</v>
      </c>
      <c r="L694" s="22">
        <v>988.0</v>
      </c>
      <c r="M694" s="22" t="s">
        <v>24</v>
      </c>
      <c r="N694" s="22" t="s">
        <v>25</v>
      </c>
      <c r="O694" s="23">
        <v>3.8E7</v>
      </c>
      <c r="P694" s="10">
        <f t="shared" si="2"/>
        <v>106512310</v>
      </c>
      <c r="Q694" s="12">
        <f t="shared" si="3"/>
        <v>0</v>
      </c>
      <c r="R694" s="22">
        <v>2001.0</v>
      </c>
      <c r="S694" s="22">
        <v>6.7</v>
      </c>
    </row>
    <row r="695" ht="15.75" customHeight="1">
      <c r="A695" s="7" t="s">
        <v>2692</v>
      </c>
      <c r="B695" s="8" t="str">
        <f>IFERROR(__xludf.DUMMYFUNCTION("REGEXREPLACE(A695, ""[^0-9a-zA-Z .'Ã]"","""")"),"Taylor Hackford")</f>
        <v>Taylor Hackford</v>
      </c>
      <c r="C695" s="9">
        <v>224.0</v>
      </c>
      <c r="D695" s="10">
        <v>1.7609982E7</v>
      </c>
      <c r="E695" s="9" t="s">
        <v>824</v>
      </c>
      <c r="F695" s="9">
        <f t="shared" si="1"/>
        <v>4</v>
      </c>
      <c r="G695" s="9" t="s">
        <v>815</v>
      </c>
      <c r="H695" s="11" t="str">
        <f>IFERROR(__xludf.DUMMYFUNCTION("REGEXREPLACE(G695, ""[^0-9a-zA-Z .'Ã]"","""")"),"Jason Statham")</f>
        <v>Jason Statham</v>
      </c>
      <c r="I695" s="11" t="s">
        <v>2693</v>
      </c>
      <c r="J695" s="9">
        <v>90046.0</v>
      </c>
      <c r="K695" s="9" t="s">
        <v>2694</v>
      </c>
      <c r="L695" s="9">
        <v>141.0</v>
      </c>
      <c r="M695" s="9" t="s">
        <v>24</v>
      </c>
      <c r="N695" s="9" t="s">
        <v>25</v>
      </c>
      <c r="O695" s="10">
        <v>3.5E7</v>
      </c>
      <c r="P695" s="10">
        <f t="shared" si="2"/>
        <v>0</v>
      </c>
      <c r="Q695" s="12">
        <f t="shared" si="3"/>
        <v>17390018</v>
      </c>
      <c r="R695" s="9">
        <v>2013.0</v>
      </c>
      <c r="S695" s="9">
        <v>6.2</v>
      </c>
    </row>
    <row r="696" ht="15.75" customHeight="1">
      <c r="A696" s="25" t="s">
        <v>212</v>
      </c>
      <c r="B696" s="8" t="str">
        <f>IFERROR(__xludf.DUMMYFUNCTION("REGEXREPLACE(A696, ""[^0-9a-zA-Z .'Ã]"","""")"),"Wayne Wang")</f>
        <v>Wayne Wang</v>
      </c>
      <c r="C696" s="26">
        <v>96.0</v>
      </c>
      <c r="D696" s="27">
        <v>3.2645546E7</v>
      </c>
      <c r="E696" s="26" t="s">
        <v>1486</v>
      </c>
      <c r="F696" s="9">
        <f t="shared" si="1"/>
        <v>3</v>
      </c>
      <c r="G696" s="26" t="s">
        <v>2695</v>
      </c>
      <c r="H696" s="11" t="str">
        <f>IFERROR(__xludf.DUMMYFUNCTION("REGEXREPLACE(G696, ""[^0-9a-zA-Z .'Ã]"","""")"),"Cicely Tyson")</f>
        <v>Cicely Tyson</v>
      </c>
      <c r="I696" s="28" t="s">
        <v>2696</v>
      </c>
      <c r="J696" s="26">
        <v>8427.0</v>
      </c>
      <c r="K696" s="26" t="s">
        <v>2697</v>
      </c>
      <c r="L696" s="26">
        <v>88.0</v>
      </c>
      <c r="M696" s="26" t="s">
        <v>24</v>
      </c>
      <c r="N696" s="26" t="s">
        <v>25</v>
      </c>
      <c r="O696" s="27">
        <v>1.4E7</v>
      </c>
      <c r="P696" s="10">
        <f t="shared" si="2"/>
        <v>18645546</v>
      </c>
      <c r="Q696" s="12">
        <f t="shared" si="3"/>
        <v>0</v>
      </c>
      <c r="R696" s="26">
        <v>2005.0</v>
      </c>
      <c r="S696" s="26">
        <v>6.4</v>
      </c>
    </row>
    <row r="697" ht="15.75" customHeight="1">
      <c r="A697" s="7" t="s">
        <v>189</v>
      </c>
      <c r="B697" s="8" t="str">
        <f>IFERROR(__xludf.DUMMYFUNCTION("REGEXREPLACE(A697, ""[^0-9a-zA-Z .'Ã]"","""")"),"Robert Luketic")</f>
        <v>Robert Luketic</v>
      </c>
      <c r="C697" s="9">
        <v>144.0</v>
      </c>
      <c r="D697" s="10">
        <v>8.1159365E7</v>
      </c>
      <c r="E697" s="9" t="s">
        <v>113</v>
      </c>
      <c r="F697" s="9">
        <f t="shared" si="1"/>
        <v>3</v>
      </c>
      <c r="G697" s="9" t="s">
        <v>483</v>
      </c>
      <c r="H697" s="11" t="str">
        <f>IFERROR(__xludf.DUMMYFUNCTION("REGEXREPLACE(G697, ""[^0-9a-zA-Z .'Ã]"","""")"),"Kevin Spacey")</f>
        <v>Kevin Spacey</v>
      </c>
      <c r="I697" s="11" t="s">
        <v>2698</v>
      </c>
      <c r="J697" s="9">
        <v>191470.0</v>
      </c>
      <c r="K697" s="9" t="s">
        <v>2699</v>
      </c>
      <c r="L697" s="9">
        <v>278.0</v>
      </c>
      <c r="M697" s="9" t="s">
        <v>24</v>
      </c>
      <c r="N697" s="9" t="s">
        <v>25</v>
      </c>
      <c r="O697" s="10">
        <v>3.5E7</v>
      </c>
      <c r="P697" s="10">
        <f t="shared" si="2"/>
        <v>46159365</v>
      </c>
      <c r="Q697" s="12">
        <f t="shared" si="3"/>
        <v>0</v>
      </c>
      <c r="R697" s="9">
        <v>2008.0</v>
      </c>
      <c r="S697" s="9">
        <v>6.8</v>
      </c>
    </row>
    <row r="698" ht="15.75" customHeight="1">
      <c r="A698" s="17" t="s">
        <v>1526</v>
      </c>
      <c r="B698" s="8" t="str">
        <f>IFERROR(__xludf.DUMMYFUNCTION("REGEXREPLACE(A698, ""[^0-9a-zA-Z .'Ã]"","""")"),"Gore Verbinski")</f>
        <v>Gore Verbinski</v>
      </c>
      <c r="C698" s="18">
        <v>313.0</v>
      </c>
      <c r="D698" s="19">
        <v>4.23032628E8</v>
      </c>
      <c r="E698" s="18" t="s">
        <v>278</v>
      </c>
      <c r="F698" s="9">
        <f t="shared" si="1"/>
        <v>3</v>
      </c>
      <c r="G698" s="18" t="s">
        <v>85</v>
      </c>
      <c r="H698" s="11" t="str">
        <f>IFERROR(__xludf.DUMMYFUNCTION("REGEXREPLACE(G698, ""[^0-9a-zA-Z .'Ã]"","""")"),"Johnny Depp")</f>
        <v>Johnny Depp</v>
      </c>
      <c r="I698" s="20" t="s">
        <v>2700</v>
      </c>
      <c r="J698" s="18">
        <v>522040.0</v>
      </c>
      <c r="K698" s="18" t="s">
        <v>2701</v>
      </c>
      <c r="L698" s="18">
        <v>1832.0</v>
      </c>
      <c r="M698" s="18" t="s">
        <v>24</v>
      </c>
      <c r="N698" s="18" t="s">
        <v>25</v>
      </c>
      <c r="O698" s="19">
        <v>2.25E8</v>
      </c>
      <c r="P698" s="10">
        <f t="shared" si="2"/>
        <v>198032628</v>
      </c>
      <c r="Q698" s="12">
        <f t="shared" si="3"/>
        <v>0</v>
      </c>
      <c r="R698" s="18">
        <v>2006.0</v>
      </c>
      <c r="S698" s="18">
        <v>7.3</v>
      </c>
    </row>
    <row r="699" ht="15.75" customHeight="1">
      <c r="A699" s="7" t="s">
        <v>959</v>
      </c>
      <c r="B699" s="8" t="str">
        <f>IFERROR(__xludf.DUMMYFUNCTION("REGEXREPLACE(A699, ""[^0-9a-zA-Z .'Ã]"","""")"),"Oliver Stone")</f>
        <v>Oliver Stone</v>
      </c>
      <c r="C699" s="9">
        <v>120.0</v>
      </c>
      <c r="D699" s="10">
        <v>1.37963328E8</v>
      </c>
      <c r="E699" s="9" t="s">
        <v>679</v>
      </c>
      <c r="F699" s="9">
        <f t="shared" si="1"/>
        <v>2</v>
      </c>
      <c r="G699" s="9" t="s">
        <v>85</v>
      </c>
      <c r="H699" s="11" t="str">
        <f>IFERROR(__xludf.DUMMYFUNCTION("REGEXREPLACE(G699, ""[^0-9a-zA-Z .'Ã]"","""")"),"Johnny Depp")</f>
        <v>Johnny Depp</v>
      </c>
      <c r="I699" s="11" t="s">
        <v>2702</v>
      </c>
      <c r="J699" s="9">
        <v>291603.0</v>
      </c>
      <c r="K699" s="9" t="s">
        <v>2703</v>
      </c>
      <c r="L699" s="9">
        <v>505.0</v>
      </c>
      <c r="M699" s="9" t="s">
        <v>24</v>
      </c>
      <c r="N699" s="9" t="s">
        <v>130</v>
      </c>
      <c r="O699" s="10">
        <v>6000000.0</v>
      </c>
      <c r="P699" s="10">
        <f t="shared" si="2"/>
        <v>131963328</v>
      </c>
      <c r="Q699" s="12">
        <f t="shared" si="3"/>
        <v>0</v>
      </c>
      <c r="R699" s="9">
        <v>1986.0</v>
      </c>
      <c r="S699" s="9">
        <v>8.1</v>
      </c>
    </row>
    <row r="700" ht="15.75" customHeight="1">
      <c r="A700" s="21" t="s">
        <v>2704</v>
      </c>
      <c r="B700" s="8" t="str">
        <f>IFERROR(__xludf.DUMMYFUNCTION("REGEXREPLACE(A700, ""[^0-9a-zA-Z .'Ã]"","""")"),"Bennett Miller")</f>
        <v>Bennett Miller</v>
      </c>
      <c r="C700" s="22">
        <v>419.0</v>
      </c>
      <c r="D700" s="23">
        <v>7.5605492E7</v>
      </c>
      <c r="E700" s="22" t="s">
        <v>1124</v>
      </c>
      <c r="F700" s="9">
        <f t="shared" si="1"/>
        <v>3</v>
      </c>
      <c r="G700" s="22" t="s">
        <v>1340</v>
      </c>
      <c r="H700" s="11" t="str">
        <f>IFERROR(__xludf.DUMMYFUNCTION("REGEXREPLACE(G700, ""[^0-9a-zA-Z .'Ã]"","""")"),"Philip Seymour Hoffman")</f>
        <v>Philip Seymour Hoffman</v>
      </c>
      <c r="I700" s="24" t="s">
        <v>2705</v>
      </c>
      <c r="J700" s="22">
        <v>283563.0</v>
      </c>
      <c r="K700" s="22" t="s">
        <v>2706</v>
      </c>
      <c r="L700" s="22">
        <v>312.0</v>
      </c>
      <c r="M700" s="22" t="s">
        <v>24</v>
      </c>
      <c r="N700" s="22" t="s">
        <v>25</v>
      </c>
      <c r="O700" s="23">
        <v>5.0E7</v>
      </c>
      <c r="P700" s="10">
        <f t="shared" si="2"/>
        <v>25605492</v>
      </c>
      <c r="Q700" s="12">
        <f t="shared" si="3"/>
        <v>0</v>
      </c>
      <c r="R700" s="22">
        <v>2011.0</v>
      </c>
      <c r="S700" s="22">
        <v>7.6</v>
      </c>
    </row>
    <row r="701" ht="15.75" customHeight="1">
      <c r="A701" s="7" t="s">
        <v>972</v>
      </c>
      <c r="B701" s="8" t="str">
        <f>IFERROR(__xludf.DUMMYFUNCTION("REGEXREPLACE(A701, ""[^0-9a-zA-Z .'Ã]"","""")"),"Shawn Levy")</f>
        <v>Shawn Levy</v>
      </c>
      <c r="C701" s="9">
        <v>69.0</v>
      </c>
      <c r="D701" s="10">
        <v>4.7811275E7</v>
      </c>
      <c r="E701" s="9" t="s">
        <v>2707</v>
      </c>
      <c r="F701" s="9">
        <f t="shared" si="1"/>
        <v>3</v>
      </c>
      <c r="G701" s="9" t="s">
        <v>2708</v>
      </c>
      <c r="H701" s="11" t="str">
        <f>IFERROR(__xludf.DUMMYFUNCTION("REGEXREPLACE(G701, ""[^0-9a-zA-Z .'Ã]"","""")"),"Frankie Muniz")</f>
        <v>Frankie Muniz</v>
      </c>
      <c r="I701" s="11" t="s">
        <v>2709</v>
      </c>
      <c r="J701" s="9">
        <v>29008.0</v>
      </c>
      <c r="K701" s="9" t="s">
        <v>2710</v>
      </c>
      <c r="L701" s="9">
        <v>99.0</v>
      </c>
      <c r="M701" s="9" t="s">
        <v>24</v>
      </c>
      <c r="N701" s="9" t="s">
        <v>25</v>
      </c>
      <c r="O701" s="10">
        <v>1.5E7</v>
      </c>
      <c r="P701" s="10">
        <f t="shared" si="2"/>
        <v>32811275</v>
      </c>
      <c r="Q701" s="12">
        <f t="shared" si="3"/>
        <v>0</v>
      </c>
      <c r="R701" s="9">
        <v>2002.0</v>
      </c>
      <c r="S701" s="9">
        <v>5.4</v>
      </c>
    </row>
    <row r="702" ht="15.75" customHeight="1">
      <c r="A702" s="25" t="s">
        <v>2711</v>
      </c>
      <c r="B702" s="8" t="str">
        <f>IFERROR(__xludf.DUMMYFUNCTION("REGEXREPLACE(A702, ""[^0-9a-zA-Z .'Ã]"","""")"),"Nick Love")</f>
        <v>Nick Love</v>
      </c>
      <c r="C702" s="26">
        <v>111.0</v>
      </c>
      <c r="D702" s="27">
        <v>26345.0</v>
      </c>
      <c r="E702" s="26" t="s">
        <v>978</v>
      </c>
      <c r="F702" s="9">
        <f t="shared" si="1"/>
        <v>3</v>
      </c>
      <c r="G702" s="26" t="s">
        <v>2712</v>
      </c>
      <c r="H702" s="11" t="str">
        <f>IFERROR(__xludf.DUMMYFUNCTION("REGEXREPLACE(G702, ""[^0-9a-zA-Z .'Ã]"","""")"),"Hayley Atwell")</f>
        <v>Hayley Atwell</v>
      </c>
      <c r="I702" s="28" t="s">
        <v>2713</v>
      </c>
      <c r="J702" s="26">
        <v>16445.0</v>
      </c>
      <c r="K702" s="26" t="s">
        <v>2714</v>
      </c>
      <c r="L702" s="26">
        <v>99.0</v>
      </c>
      <c r="M702" s="26" t="s">
        <v>24</v>
      </c>
      <c r="N702" s="26" t="s">
        <v>130</v>
      </c>
      <c r="O702" s="27">
        <v>3000000.0</v>
      </c>
      <c r="P702" s="10">
        <f t="shared" si="2"/>
        <v>0</v>
      </c>
      <c r="Q702" s="12">
        <f t="shared" si="3"/>
        <v>2973655</v>
      </c>
      <c r="R702" s="26">
        <v>2012.0</v>
      </c>
      <c r="S702" s="26">
        <v>6.1</v>
      </c>
    </row>
    <row r="703" ht="15.75" customHeight="1">
      <c r="A703" s="7" t="s">
        <v>2715</v>
      </c>
      <c r="B703" s="8" t="str">
        <f>IFERROR(__xludf.DUMMYFUNCTION("REGEXREPLACE(A703, ""[^0-9a-zA-Z .'Ã]"","""")"),"Barry Sonnenfeld")</f>
        <v>Barry Sonnenfeld</v>
      </c>
      <c r="C703" s="9">
        <v>451.0</v>
      </c>
      <c r="D703" s="10">
        <v>1.79020854E8</v>
      </c>
      <c r="E703" s="9" t="s">
        <v>2716</v>
      </c>
      <c r="F703" s="9">
        <f t="shared" si="1"/>
        <v>6</v>
      </c>
      <c r="G703" s="9" t="s">
        <v>2717</v>
      </c>
      <c r="H703" s="11" t="str">
        <f>IFERROR(__xludf.DUMMYFUNCTION("REGEXREPLACE(G703, ""[^0-9a-zA-Z .'Ã]"","""")"),"Will Smith")</f>
        <v>Will Smith</v>
      </c>
      <c r="I703" s="11" t="s">
        <v>2718</v>
      </c>
      <c r="J703" s="9">
        <v>268154.0</v>
      </c>
      <c r="K703" s="9" t="s">
        <v>2719</v>
      </c>
      <c r="L703" s="9">
        <v>341.0</v>
      </c>
      <c r="M703" s="9" t="s">
        <v>24</v>
      </c>
      <c r="N703" s="9" t="s">
        <v>25</v>
      </c>
      <c r="O703" s="10">
        <v>2.25E8</v>
      </c>
      <c r="P703" s="10">
        <f t="shared" si="2"/>
        <v>0</v>
      </c>
      <c r="Q703" s="12">
        <f t="shared" si="3"/>
        <v>45979146</v>
      </c>
      <c r="R703" s="9">
        <v>2012.0</v>
      </c>
      <c r="S703" s="9">
        <v>6.8</v>
      </c>
    </row>
    <row r="704" ht="15.75" customHeight="1">
      <c r="A704" s="7" t="s">
        <v>2720</v>
      </c>
      <c r="B704" s="8" t="str">
        <f>IFERROR(__xludf.DUMMYFUNCTION("REGEXREPLACE(A704, ""[^0-9a-zA-Z .'Ã]"","""")"),"Rich Moore")</f>
        <v>Rich Moore</v>
      </c>
      <c r="C704" s="9">
        <v>377.0</v>
      </c>
      <c r="D704" s="10">
        <v>1.89412677E8</v>
      </c>
      <c r="E704" s="9" t="s">
        <v>20</v>
      </c>
      <c r="F704" s="9">
        <f t="shared" si="1"/>
        <v>5</v>
      </c>
      <c r="G704" s="9" t="s">
        <v>1069</v>
      </c>
      <c r="H704" s="11" t="str">
        <f>IFERROR(__xludf.DUMMYFUNCTION("REGEXREPLACE(G704, ""[^0-9a-zA-Z .'Ã]"","""")"),"Jack McBrayer")</f>
        <v>Jack McBrayer</v>
      </c>
      <c r="I704" s="11" t="s">
        <v>2721</v>
      </c>
      <c r="J704" s="9">
        <v>272534.0</v>
      </c>
      <c r="K704" s="9" t="s">
        <v>2722</v>
      </c>
      <c r="L704" s="9">
        <v>345.0</v>
      </c>
      <c r="M704" s="9" t="s">
        <v>24</v>
      </c>
      <c r="N704" s="9" t="s">
        <v>25</v>
      </c>
      <c r="O704" s="10">
        <v>1.65E8</v>
      </c>
      <c r="P704" s="10">
        <f t="shared" si="2"/>
        <v>24412677</v>
      </c>
      <c r="Q704" s="12">
        <f t="shared" si="3"/>
        <v>0</v>
      </c>
      <c r="R704" s="9">
        <v>2012.0</v>
      </c>
      <c r="S704" s="9">
        <v>7.8</v>
      </c>
    </row>
    <row r="705" ht="15.75" customHeight="1">
      <c r="A705" s="21" t="s">
        <v>2723</v>
      </c>
      <c r="B705" s="8" t="str">
        <f>IFERROR(__xludf.DUMMYFUNCTION("REGEXREPLACE(A705, ""[^0-9a-zA-Z .'Ã]"","""")"),"Patrick Read Johnson")</f>
        <v>Patrick Read Johnson</v>
      </c>
      <c r="C705" s="22">
        <v>16.0</v>
      </c>
      <c r="D705" s="23">
        <v>1.5369573E7</v>
      </c>
      <c r="E705" s="22" t="s">
        <v>646</v>
      </c>
      <c r="F705" s="9">
        <f t="shared" si="1"/>
        <v>3</v>
      </c>
      <c r="G705" s="22" t="s">
        <v>2724</v>
      </c>
      <c r="H705" s="11" t="str">
        <f>IFERROR(__xludf.DUMMYFUNCTION("REGEXREPLACE(G705, ""[^0-9a-zA-Z .'Ã]"","""")"),"Ariana Richards")</f>
        <v>Ariana Richards</v>
      </c>
      <c r="I705" s="24" t="s">
        <v>2725</v>
      </c>
      <c r="J705" s="22">
        <v>2580.0</v>
      </c>
      <c r="K705" s="22" t="s">
        <v>2726</v>
      </c>
      <c r="L705" s="22">
        <v>54.0</v>
      </c>
      <c r="M705" s="22" t="s">
        <v>24</v>
      </c>
      <c r="N705" s="22" t="s">
        <v>25</v>
      </c>
      <c r="O705" s="23">
        <v>3000000.0</v>
      </c>
      <c r="P705" s="10">
        <f t="shared" si="2"/>
        <v>12369573</v>
      </c>
      <c r="Q705" s="12">
        <f t="shared" si="3"/>
        <v>0</v>
      </c>
      <c r="R705" s="22">
        <v>1990.0</v>
      </c>
      <c r="S705" s="22">
        <v>5.3</v>
      </c>
    </row>
    <row r="706" ht="15.75" customHeight="1">
      <c r="A706" s="21" t="s">
        <v>2727</v>
      </c>
      <c r="B706" s="8" t="str">
        <f>IFERROR(__xludf.DUMMYFUNCTION("REGEXREPLACE(A706, ""[^0-9a-zA-Z .'Ã]"","""")"),"Elizabeth Banks")</f>
        <v>Elizabeth Banks</v>
      </c>
      <c r="C706" s="22">
        <v>180.0</v>
      </c>
      <c r="D706" s="23">
        <v>8828771.0</v>
      </c>
      <c r="E706" s="22" t="s">
        <v>137</v>
      </c>
      <c r="F706" s="9">
        <f t="shared" si="1"/>
        <v>1</v>
      </c>
      <c r="G706" s="22" t="s">
        <v>974</v>
      </c>
      <c r="H706" s="11" t="str">
        <f>IFERROR(__xludf.DUMMYFUNCTION("REGEXREPLACE(G706, ""[^0-9a-zA-Z .'Ã]"","""")"),"Hugh Jackman")</f>
        <v>Hugh Jackman</v>
      </c>
      <c r="I706" s="24" t="s">
        <v>2728</v>
      </c>
      <c r="J706" s="22">
        <v>79146.0</v>
      </c>
      <c r="K706" s="22" t="s">
        <v>2729</v>
      </c>
      <c r="L706" s="22">
        <v>352.0</v>
      </c>
      <c r="M706" s="22" t="s">
        <v>24</v>
      </c>
      <c r="N706" s="22" t="s">
        <v>25</v>
      </c>
      <c r="O706" s="23">
        <v>6000000.0</v>
      </c>
      <c r="P706" s="10">
        <f t="shared" si="2"/>
        <v>2828771</v>
      </c>
      <c r="Q706" s="12">
        <f t="shared" si="3"/>
        <v>0</v>
      </c>
      <c r="R706" s="22">
        <v>2013.0</v>
      </c>
      <c r="S706" s="22">
        <v>4.3</v>
      </c>
    </row>
    <row r="707" ht="15.75" customHeight="1">
      <c r="A707" s="13" t="s">
        <v>2730</v>
      </c>
      <c r="B707" s="8" t="str">
        <f>IFERROR(__xludf.DUMMYFUNCTION("REGEXREPLACE(A707, ""[^0-9a-zA-Z .'Ã]"","""")"),"Matthew Vaughn")</f>
        <v>Matthew Vaughn</v>
      </c>
      <c r="C707" s="14">
        <v>447.0</v>
      </c>
      <c r="D707" s="15">
        <v>4.8043505E7</v>
      </c>
      <c r="E707" s="14" t="s">
        <v>968</v>
      </c>
      <c r="F707" s="9">
        <f t="shared" si="1"/>
        <v>2</v>
      </c>
      <c r="G707" s="14" t="s">
        <v>2731</v>
      </c>
      <c r="H707" s="11" t="str">
        <f>IFERROR(__xludf.DUMMYFUNCTION("REGEXREPLACE(G707, ""[^0-9a-zA-Z .'Ã]"","""")"),"Elizabeth McGovern")</f>
        <v>Elizabeth McGovern</v>
      </c>
      <c r="I707" s="16" t="s">
        <v>2732</v>
      </c>
      <c r="J707" s="14">
        <v>435864.0</v>
      </c>
      <c r="K707" s="14" t="s">
        <v>2733</v>
      </c>
      <c r="L707" s="14">
        <v>801.0</v>
      </c>
      <c r="M707" s="14" t="s">
        <v>24</v>
      </c>
      <c r="N707" s="14" t="s">
        <v>130</v>
      </c>
      <c r="O707" s="15">
        <v>3.0E7</v>
      </c>
      <c r="P707" s="10">
        <f t="shared" si="2"/>
        <v>18043505</v>
      </c>
      <c r="Q707" s="12">
        <f t="shared" si="3"/>
        <v>0</v>
      </c>
      <c r="R707" s="14">
        <v>2010.0</v>
      </c>
      <c r="S707" s="14">
        <v>7.7</v>
      </c>
    </row>
    <row r="708" ht="15.75" customHeight="1">
      <c r="A708" s="29" t="s">
        <v>2734</v>
      </c>
      <c r="B708" s="8" t="str">
        <f>IFERROR(__xludf.DUMMYFUNCTION("REGEXREPLACE(A708, ""[^0-9a-zA-Z .'Ã]"","""")"),"Alexander Payne")</f>
        <v>Alexander Payne</v>
      </c>
      <c r="C708" s="30">
        <v>217.0</v>
      </c>
      <c r="D708" s="31">
        <v>6.5010106E7</v>
      </c>
      <c r="E708" s="30" t="s">
        <v>454</v>
      </c>
      <c r="F708" s="9">
        <f t="shared" si="1"/>
        <v>2</v>
      </c>
      <c r="G708" s="30" t="s">
        <v>2735</v>
      </c>
      <c r="H708" s="11" t="str">
        <f>IFERROR(__xludf.DUMMYFUNCTION("REGEXREPLACE(G708, ""[^0-9a-zA-Z .'Ã]"","""")"),"Hope Davis")</f>
        <v>Hope Davis</v>
      </c>
      <c r="I708" s="32" t="s">
        <v>2736</v>
      </c>
      <c r="J708" s="30">
        <v>107557.0</v>
      </c>
      <c r="K708" s="30" t="s">
        <v>2737</v>
      </c>
      <c r="L708" s="30">
        <v>612.0</v>
      </c>
      <c r="M708" s="30" t="s">
        <v>24</v>
      </c>
      <c r="N708" s="30" t="s">
        <v>25</v>
      </c>
      <c r="O708" s="31">
        <v>3.0E7</v>
      </c>
      <c r="P708" s="10">
        <f t="shared" si="2"/>
        <v>35010106</v>
      </c>
      <c r="Q708" s="12">
        <f t="shared" si="3"/>
        <v>0</v>
      </c>
      <c r="R708" s="30">
        <v>2002.0</v>
      </c>
      <c r="S708" s="30">
        <v>7.2</v>
      </c>
    </row>
    <row r="709" ht="15.75" customHeight="1">
      <c r="A709" s="29" t="s">
        <v>2738</v>
      </c>
      <c r="B709" s="8" t="str">
        <f>IFERROR(__xludf.DUMMYFUNCTION("REGEXREPLACE(A709, ""[^0-9a-zA-Z .'Ã]"","""")"),"Brett Leonard")</f>
        <v>Brett Leonard</v>
      </c>
      <c r="C709" s="30">
        <v>48.0</v>
      </c>
      <c r="D709" s="31">
        <v>3.2101E7</v>
      </c>
      <c r="E709" s="30" t="s">
        <v>1321</v>
      </c>
      <c r="F709" s="9">
        <f t="shared" si="1"/>
        <v>2</v>
      </c>
      <c r="G709" s="30" t="s">
        <v>2739</v>
      </c>
      <c r="H709" s="11" t="str">
        <f>IFERROR(__xludf.DUMMYFUNCTION("REGEXREPLACE(G709, ""[^0-9a-zA-Z .'Ã]"","""")"),"Jeff Fahey")</f>
        <v>Jeff Fahey</v>
      </c>
      <c r="I709" s="32" t="s">
        <v>2740</v>
      </c>
      <c r="J709" s="30">
        <v>27800.0</v>
      </c>
      <c r="K709" s="30" t="s">
        <v>2741</v>
      </c>
      <c r="L709" s="30">
        <v>96.0</v>
      </c>
      <c r="M709" s="30" t="s">
        <v>24</v>
      </c>
      <c r="N709" s="30" t="s">
        <v>130</v>
      </c>
      <c r="O709" s="31">
        <v>1.0E7</v>
      </c>
      <c r="P709" s="10">
        <f t="shared" si="2"/>
        <v>22101000</v>
      </c>
      <c r="Q709" s="12">
        <f t="shared" si="3"/>
        <v>0</v>
      </c>
      <c r="R709" s="30">
        <v>1992.0</v>
      </c>
      <c r="S709" s="30">
        <v>5.4</v>
      </c>
    </row>
    <row r="710" ht="15.75" customHeight="1">
      <c r="A710" s="7" t="s">
        <v>2742</v>
      </c>
      <c r="B710" s="8" t="str">
        <f>IFERROR(__xludf.DUMMYFUNCTION("REGEXREPLACE(A710, ""[^0-9a-zA-Z .'Ã]"","""")"),"Patrick Lussier")</f>
        <v>Patrick Lussier</v>
      </c>
      <c r="C710" s="9">
        <v>122.0</v>
      </c>
      <c r="D710" s="10">
        <v>3.3000377E7</v>
      </c>
      <c r="E710" s="9" t="s">
        <v>1033</v>
      </c>
      <c r="F710" s="9">
        <f t="shared" si="1"/>
        <v>4</v>
      </c>
      <c r="G710" s="9" t="s">
        <v>830</v>
      </c>
      <c r="H710" s="11" t="str">
        <f>IFERROR(__xludf.DUMMYFUNCTION("REGEXREPLACE(G710, ""[^0-9a-zA-Z .'Ã]"","""")"),"Gerard Butler")</f>
        <v>Gerard Butler</v>
      </c>
      <c r="I710" s="11" t="s">
        <v>2743</v>
      </c>
      <c r="J710" s="9">
        <v>27378.0</v>
      </c>
      <c r="K710" s="9" t="s">
        <v>2744</v>
      </c>
      <c r="L710" s="9">
        <v>365.0</v>
      </c>
      <c r="M710" s="9" t="s">
        <v>24</v>
      </c>
      <c r="N710" s="9" t="s">
        <v>25</v>
      </c>
      <c r="O710" s="10">
        <v>2.8E7</v>
      </c>
      <c r="P710" s="10">
        <f t="shared" si="2"/>
        <v>5000377</v>
      </c>
      <c r="Q710" s="12">
        <f t="shared" si="3"/>
        <v>0</v>
      </c>
      <c r="R710" s="9">
        <v>2000.0</v>
      </c>
      <c r="S710" s="9">
        <v>4.9</v>
      </c>
    </row>
    <row r="711" ht="15.75" customHeight="1">
      <c r="A711" s="7" t="s">
        <v>723</v>
      </c>
      <c r="B711" s="8" t="str">
        <f>IFERROR(__xludf.DUMMYFUNCTION("REGEXREPLACE(A711, ""[^0-9a-zA-Z .'Ã]"","""")"),"Robert Rodriguez")</f>
        <v>Robert Rodriguez</v>
      </c>
      <c r="C711" s="9">
        <v>250.0</v>
      </c>
      <c r="D711" s="10">
        <v>2.5031037E7</v>
      </c>
      <c r="E711" s="9" t="s">
        <v>2745</v>
      </c>
      <c r="F711" s="9">
        <f t="shared" si="1"/>
        <v>3</v>
      </c>
      <c r="G711" s="9" t="s">
        <v>53</v>
      </c>
      <c r="H711" s="11" t="str">
        <f>IFERROR(__xludf.DUMMYFUNCTION("REGEXREPLACE(G711, ""[^0-9a-zA-Z .'Ã]"","""")"),"Quentin Tarantino")</f>
        <v>Quentin Tarantino</v>
      </c>
      <c r="I711" s="11" t="s">
        <v>2746</v>
      </c>
      <c r="J711" s="9">
        <v>155496.0</v>
      </c>
      <c r="K711" s="9" t="s">
        <v>2747</v>
      </c>
      <c r="L711" s="9">
        <v>532.0</v>
      </c>
      <c r="M711" s="9" t="s">
        <v>24</v>
      </c>
      <c r="N711" s="9" t="s">
        <v>25</v>
      </c>
      <c r="O711" s="10">
        <v>5.3E7</v>
      </c>
      <c r="P711" s="10">
        <f t="shared" si="2"/>
        <v>0</v>
      </c>
      <c r="Q711" s="12">
        <f t="shared" si="3"/>
        <v>27968963</v>
      </c>
      <c r="R711" s="9">
        <v>2007.0</v>
      </c>
      <c r="S711" s="9">
        <v>7.6</v>
      </c>
    </row>
    <row r="712" ht="15.75" customHeight="1">
      <c r="A712" s="7" t="s">
        <v>2748</v>
      </c>
      <c r="B712" s="8" t="str">
        <f>IFERROR(__xludf.DUMMYFUNCTION("REGEXREPLACE(A712, ""[^0-9a-zA-Z .'Ã]"","""")"),"Marc F. Adler")</f>
        <v>Marc F. Adler</v>
      </c>
      <c r="C712" s="9">
        <v>41.0</v>
      </c>
      <c r="D712" s="10">
        <v>511920.0</v>
      </c>
      <c r="E712" s="9" t="s">
        <v>2749</v>
      </c>
      <c r="F712" s="9">
        <f t="shared" si="1"/>
        <v>5</v>
      </c>
      <c r="G712" s="9" t="s">
        <v>2241</v>
      </c>
      <c r="H712" s="11" t="str">
        <f>IFERROR(__xludf.DUMMYFUNCTION("REGEXREPLACE(G712, ""[^0-9a-zA-Z .'Ã]"","""")"),"Eric Idle")</f>
        <v>Eric Idle</v>
      </c>
      <c r="I712" s="11" t="s">
        <v>2750</v>
      </c>
      <c r="J712" s="9">
        <v>2458.0</v>
      </c>
      <c r="K712" s="9" t="s">
        <v>2751</v>
      </c>
      <c r="L712" s="9">
        <v>26.0</v>
      </c>
      <c r="M712" s="9" t="s">
        <v>24</v>
      </c>
      <c r="N712" s="9" t="s">
        <v>25</v>
      </c>
      <c r="O712" s="10">
        <v>4.0E7</v>
      </c>
      <c r="P712" s="10">
        <f t="shared" si="2"/>
        <v>0</v>
      </c>
      <c r="Q712" s="12">
        <f t="shared" si="3"/>
        <v>39488080</v>
      </c>
      <c r="R712" s="9">
        <v>2008.0</v>
      </c>
      <c r="S712" s="9">
        <v>4.4</v>
      </c>
    </row>
    <row r="713" ht="15.75" customHeight="1">
      <c r="A713" s="7" t="s">
        <v>1984</v>
      </c>
      <c r="B713" s="8" t="str">
        <f>IFERROR(__xludf.DUMMYFUNCTION("REGEXREPLACE(A713, ""[^0-9a-zA-Z .'Ã]"","""")"),"Danny DeVito")</f>
        <v>Danny DeVito</v>
      </c>
      <c r="C713" s="9">
        <v>78.0</v>
      </c>
      <c r="D713" s="10">
        <v>9652000.0</v>
      </c>
      <c r="E713" s="9" t="s">
        <v>137</v>
      </c>
      <c r="F713" s="9">
        <f t="shared" si="1"/>
        <v>1</v>
      </c>
      <c r="G713" s="9" t="s">
        <v>2752</v>
      </c>
      <c r="H713" s="11" t="str">
        <f>IFERROR(__xludf.DUMMYFUNCTION("REGEXREPLACE(G713, ""[^0-9a-zA-Z .'Ã]"","""")"),"Justin Theroux")</f>
        <v>Justin Theroux</v>
      </c>
      <c r="I713" s="11" t="s">
        <v>2753</v>
      </c>
      <c r="J713" s="9">
        <v>46205.0</v>
      </c>
      <c r="K713" s="9" t="s">
        <v>2754</v>
      </c>
      <c r="L713" s="9">
        <v>147.0</v>
      </c>
      <c r="M713" s="9" t="s">
        <v>24</v>
      </c>
      <c r="N713" s="9" t="s">
        <v>25</v>
      </c>
      <c r="O713" s="10">
        <v>4.0E7</v>
      </c>
      <c r="P713" s="10">
        <f t="shared" si="2"/>
        <v>0</v>
      </c>
      <c r="Q713" s="12">
        <f t="shared" si="3"/>
        <v>30348000</v>
      </c>
      <c r="R713" s="9">
        <v>2003.0</v>
      </c>
      <c r="S713" s="9">
        <v>5.8</v>
      </c>
    </row>
    <row r="714" ht="15.75" customHeight="1">
      <c r="A714" s="17" t="s">
        <v>2755</v>
      </c>
      <c r="B714" s="8" t="str">
        <f>IFERROR(__xludf.DUMMYFUNCTION("REGEXREPLACE(A714, ""[^0-9a-zA-Z .'Ã]"","""")"),"Genndy Tartakovsky")</f>
        <v>Genndy Tartakovsky</v>
      </c>
      <c r="C714" s="18">
        <v>256.0</v>
      </c>
      <c r="D714" s="19">
        <v>1.48313048E8</v>
      </c>
      <c r="E714" s="18" t="s">
        <v>2756</v>
      </c>
      <c r="F714" s="9">
        <f t="shared" si="1"/>
        <v>4</v>
      </c>
      <c r="G714" s="18" t="s">
        <v>453</v>
      </c>
      <c r="H714" s="11" t="str">
        <f>IFERROR(__xludf.DUMMYFUNCTION("REGEXREPLACE(G714, ""[^0-9a-zA-Z .'Ã]"","""")"),"Steve Buscemi")</f>
        <v>Steve Buscemi</v>
      </c>
      <c r="I714" s="20" t="s">
        <v>2757</v>
      </c>
      <c r="J714" s="18">
        <v>164148.0</v>
      </c>
      <c r="K714" s="18" t="s">
        <v>2758</v>
      </c>
      <c r="L714" s="18">
        <v>168.0</v>
      </c>
      <c r="M714" s="18" t="s">
        <v>24</v>
      </c>
      <c r="N714" s="18" t="s">
        <v>25</v>
      </c>
      <c r="O714" s="19">
        <v>8.5E7</v>
      </c>
      <c r="P714" s="10">
        <f t="shared" si="2"/>
        <v>63313048</v>
      </c>
      <c r="Q714" s="12">
        <f t="shared" si="3"/>
        <v>0</v>
      </c>
      <c r="R714" s="18">
        <v>2012.0</v>
      </c>
      <c r="S714" s="18">
        <v>7.1</v>
      </c>
    </row>
    <row r="715" ht="15.75" customHeight="1">
      <c r="A715" s="17" t="s">
        <v>2759</v>
      </c>
      <c r="B715" s="8" t="str">
        <f>IFERROR(__xludf.DUMMYFUNCTION("REGEXREPLACE(A715, ""[^0-9a-zA-Z .'Ã]"","""")"),"Rick Famuyiwa")</f>
        <v>Rick Famuyiwa</v>
      </c>
      <c r="C715" s="18">
        <v>180.0</v>
      </c>
      <c r="D715" s="19">
        <v>1.7474107E7</v>
      </c>
      <c r="E715" s="18" t="s">
        <v>169</v>
      </c>
      <c r="F715" s="9">
        <f t="shared" si="1"/>
        <v>3</v>
      </c>
      <c r="G715" s="18" t="s">
        <v>2760</v>
      </c>
      <c r="H715" s="11" t="str">
        <f>IFERROR(__xludf.DUMMYFUNCTION("REGEXREPLACE(G715, ""[^0-9a-zA-Z .'Ã]"","""")"),"Kimberly Elise")</f>
        <v>Kimberly Elise</v>
      </c>
      <c r="I715" s="20" t="s">
        <v>2761</v>
      </c>
      <c r="J715" s="18">
        <v>56605.0</v>
      </c>
      <c r="K715" s="18" t="s">
        <v>2762</v>
      </c>
      <c r="L715" s="18">
        <v>89.0</v>
      </c>
      <c r="M715" s="18" t="s">
        <v>24</v>
      </c>
      <c r="N715" s="18" t="s">
        <v>25</v>
      </c>
      <c r="O715" s="19">
        <v>7000000.0</v>
      </c>
      <c r="P715" s="10">
        <f t="shared" si="2"/>
        <v>10474107</v>
      </c>
      <c r="Q715" s="12">
        <f t="shared" si="3"/>
        <v>0</v>
      </c>
      <c r="R715" s="18">
        <v>2015.0</v>
      </c>
      <c r="S715" s="18">
        <v>7.3</v>
      </c>
    </row>
    <row r="716" ht="15.75" customHeight="1">
      <c r="A716" s="21" t="s">
        <v>2763</v>
      </c>
      <c r="B716" s="8" t="str">
        <f>IFERROR(__xludf.DUMMYFUNCTION("REGEXREPLACE(A716, ""[^0-9a-zA-Z .'Ã]"","""")"),"Carlos Saura")</f>
        <v>Carlos Saura</v>
      </c>
      <c r="C716" s="22">
        <v>35.0</v>
      </c>
      <c r="D716" s="23">
        <v>1687311.0</v>
      </c>
      <c r="E716" s="22" t="s">
        <v>2764</v>
      </c>
      <c r="F716" s="9">
        <f t="shared" si="1"/>
        <v>2</v>
      </c>
      <c r="G716" s="22" t="s">
        <v>2765</v>
      </c>
      <c r="H716" s="11" t="str">
        <f>IFERROR(__xludf.DUMMYFUNCTION("REGEXREPLACE(G716, ""[^0-9a-zA-Z .'Ã]"","""")"),"MÃa Maestro")</f>
        <v>MÃa Maestro</v>
      </c>
      <c r="I716" s="24" t="s">
        <v>2766</v>
      </c>
      <c r="J716" s="22">
        <v>2412.0</v>
      </c>
      <c r="K716" s="22" t="s">
        <v>2767</v>
      </c>
      <c r="L716" s="22">
        <v>40.0</v>
      </c>
      <c r="M716" s="22" t="s">
        <v>1553</v>
      </c>
      <c r="N716" s="22" t="s">
        <v>1108</v>
      </c>
      <c r="O716" s="23">
        <v>7.0E8</v>
      </c>
      <c r="P716" s="10">
        <f t="shared" si="2"/>
        <v>0</v>
      </c>
      <c r="Q716" s="12">
        <f t="shared" si="3"/>
        <v>698312689</v>
      </c>
      <c r="R716" s="22">
        <v>1998.0</v>
      </c>
      <c r="S716" s="22">
        <v>7.2</v>
      </c>
    </row>
    <row r="717" ht="15.75" customHeight="1">
      <c r="A717" s="7" t="s">
        <v>2768</v>
      </c>
      <c r="B717" s="8" t="str">
        <f>IFERROR(__xludf.DUMMYFUNCTION("REGEXREPLACE(A717, ""[^0-9a-zA-Z .'Ã]"","""")"),"Tony Goldwyn")</f>
        <v>Tony Goldwyn</v>
      </c>
      <c r="C717" s="9">
        <v>47.0</v>
      </c>
      <c r="D717" s="10">
        <v>4741987.0</v>
      </c>
      <c r="E717" s="9" t="s">
        <v>103</v>
      </c>
      <c r="F717" s="9">
        <f t="shared" si="1"/>
        <v>1</v>
      </c>
      <c r="G717" s="9" t="s">
        <v>484</v>
      </c>
      <c r="H717" s="11" t="str">
        <f>IFERROR(__xludf.DUMMYFUNCTION("REGEXREPLACE(G717, ""[^0-9a-zA-Z .'Ã]"","""")"),"Viggo Mortensen")</f>
        <v>Viggo Mortensen</v>
      </c>
      <c r="I717" s="11" t="s">
        <v>2769</v>
      </c>
      <c r="J717" s="9">
        <v>6782.0</v>
      </c>
      <c r="K717" s="9" t="s">
        <v>2770</v>
      </c>
      <c r="L717" s="9">
        <v>114.0</v>
      </c>
      <c r="M717" s="9" t="s">
        <v>24</v>
      </c>
      <c r="N717" s="9" t="s">
        <v>25</v>
      </c>
      <c r="O717" s="10">
        <v>1.4E7</v>
      </c>
      <c r="P717" s="10">
        <f t="shared" si="2"/>
        <v>0</v>
      </c>
      <c r="Q717" s="12">
        <f t="shared" si="3"/>
        <v>9258013</v>
      </c>
      <c r="R717" s="9">
        <v>1999.0</v>
      </c>
      <c r="S717" s="9">
        <v>6.6</v>
      </c>
    </row>
    <row r="718" ht="15.75" customHeight="1">
      <c r="A718" s="13" t="s">
        <v>2771</v>
      </c>
      <c r="B718" s="8" t="str">
        <f>IFERROR(__xludf.DUMMYFUNCTION("REGEXREPLACE(A718, ""[^0-9a-zA-Z -.'Ã]"","""")"),"Ãmile Gaudreault")</f>
        <v>Ãmile Gaudreault</v>
      </c>
      <c r="C718" s="14">
        <v>67.0</v>
      </c>
      <c r="D718" s="15">
        <v>6239558.0</v>
      </c>
      <c r="E718" s="14" t="s">
        <v>454</v>
      </c>
      <c r="F718" s="9">
        <f t="shared" si="1"/>
        <v>2</v>
      </c>
      <c r="G718" s="14" t="s">
        <v>2772</v>
      </c>
      <c r="H718" s="11" t="str">
        <f>IFERROR(__xludf.DUMMYFUNCTION("REGEXREPLACE(G718, ""[^0-9a-zA-Z .'Ã]"","""")"),"Paul Sorvino")</f>
        <v>Paul Sorvino</v>
      </c>
      <c r="I718" s="16" t="s">
        <v>2773</v>
      </c>
      <c r="J718" s="14">
        <v>5548.0</v>
      </c>
      <c r="K718" s="14" t="s">
        <v>2774</v>
      </c>
      <c r="L718" s="14">
        <v>67.0</v>
      </c>
      <c r="M718" s="14" t="s">
        <v>24</v>
      </c>
      <c r="N718" s="14" t="s">
        <v>624</v>
      </c>
      <c r="O718" s="15">
        <v>5000000.0</v>
      </c>
      <c r="P718" s="10">
        <f t="shared" si="2"/>
        <v>1239558</v>
      </c>
      <c r="Q718" s="12">
        <f t="shared" si="3"/>
        <v>0</v>
      </c>
      <c r="R718" s="14">
        <v>2003.0</v>
      </c>
      <c r="S718" s="14">
        <v>6.7</v>
      </c>
    </row>
    <row r="719" ht="15.75" customHeight="1">
      <c r="A719" s="21" t="s">
        <v>2775</v>
      </c>
      <c r="B719" s="8" t="str">
        <f>IFERROR(__xludf.DUMMYFUNCTION("REGEXREPLACE(A719, ""[^0-9a-zA-Z .'Ã]"","""")"),"Peter Kassovitz")</f>
        <v>Peter Kassovitz</v>
      </c>
      <c r="C719" s="22">
        <v>68.0</v>
      </c>
      <c r="D719" s="23">
        <v>4956401.0</v>
      </c>
      <c r="E719" s="22" t="s">
        <v>679</v>
      </c>
      <c r="F719" s="9">
        <f t="shared" si="1"/>
        <v>2</v>
      </c>
      <c r="G719" s="22" t="s">
        <v>673</v>
      </c>
      <c r="H719" s="11" t="str">
        <f>IFERROR(__xludf.DUMMYFUNCTION("REGEXREPLACE(G719, ""[^0-9a-zA-Z .'Ã]"","""")"),"Robin Williams")</f>
        <v>Robin Williams</v>
      </c>
      <c r="I719" s="24" t="s">
        <v>2776</v>
      </c>
      <c r="J719" s="22">
        <v>12601.0</v>
      </c>
      <c r="K719" s="22" t="s">
        <v>2777</v>
      </c>
      <c r="L719" s="22">
        <v>89.0</v>
      </c>
      <c r="M719" s="22" t="s">
        <v>24</v>
      </c>
      <c r="N719" s="22" t="s">
        <v>608</v>
      </c>
      <c r="O719" s="23">
        <v>1.5E7</v>
      </c>
      <c r="P719" s="10">
        <f t="shared" si="2"/>
        <v>0</v>
      </c>
      <c r="Q719" s="12">
        <f t="shared" si="3"/>
        <v>10043599</v>
      </c>
      <c r="R719" s="22">
        <v>1999.0</v>
      </c>
      <c r="S719" s="22">
        <v>6.5</v>
      </c>
    </row>
    <row r="720" ht="15.75" customHeight="1">
      <c r="A720" s="29" t="s">
        <v>2778</v>
      </c>
      <c r="B720" s="8" t="str">
        <f>IFERROR(__xludf.DUMMYFUNCTION("REGEXREPLACE(A720, ""[^0-9a-zA-Z -.'Ã]"","""")"),"Baltasar KormÃkur")</f>
        <v>Baltasar KormÃkur</v>
      </c>
      <c r="C720" s="30">
        <v>270.0</v>
      </c>
      <c r="D720" s="31">
        <v>6.6489425E7</v>
      </c>
      <c r="E720" s="30" t="s">
        <v>501</v>
      </c>
      <c r="F720" s="9">
        <f t="shared" si="1"/>
        <v>4</v>
      </c>
      <c r="G720" s="30" t="s">
        <v>878</v>
      </c>
      <c r="H720" s="11" t="str">
        <f>IFERROR(__xludf.DUMMYFUNCTION("REGEXREPLACE(G720, ""[^0-9a-zA-Z .'Ã]"","""")"),"J.K. Simmons")</f>
        <v>J.K. Simmons</v>
      </c>
      <c r="I720" s="32" t="s">
        <v>2779</v>
      </c>
      <c r="J720" s="30">
        <v>101977.0</v>
      </c>
      <c r="K720" s="30" t="s">
        <v>2780</v>
      </c>
      <c r="L720" s="30">
        <v>161.0</v>
      </c>
      <c r="M720" s="30" t="s">
        <v>24</v>
      </c>
      <c r="N720" s="30" t="s">
        <v>25</v>
      </c>
      <c r="O720" s="31">
        <v>2.5E7</v>
      </c>
      <c r="P720" s="10">
        <f t="shared" si="2"/>
        <v>41489425</v>
      </c>
      <c r="Q720" s="12">
        <f t="shared" si="3"/>
        <v>0</v>
      </c>
      <c r="R720" s="30">
        <v>2012.0</v>
      </c>
      <c r="S720" s="30">
        <v>6.5</v>
      </c>
    </row>
    <row r="721" ht="15.75" customHeight="1">
      <c r="A721" s="29" t="s">
        <v>2781</v>
      </c>
      <c r="B721" s="8" t="str">
        <f>IFERROR(__xludf.DUMMYFUNCTION("REGEXREPLACE(A721, ""[^0-9a-zA-Z .'Ã]"","""")"),"Morgan J. Freeman")</f>
        <v>Morgan J. Freeman</v>
      </c>
      <c r="C721" s="30">
        <v>31.0</v>
      </c>
      <c r="D721" s="31">
        <v>99147.0</v>
      </c>
      <c r="E721" s="30" t="s">
        <v>103</v>
      </c>
      <c r="F721" s="9">
        <f t="shared" si="1"/>
        <v>1</v>
      </c>
      <c r="G721" s="30" t="s">
        <v>2782</v>
      </c>
      <c r="H721" s="11" t="str">
        <f>IFERROR(__xludf.DUMMYFUNCTION("REGEXREPLACE(G721, ""[^0-9a-zA-Z .'Ã]"","""")"),"Ethan Suplee")</f>
        <v>Ethan Suplee</v>
      </c>
      <c r="I721" s="32" t="s">
        <v>2783</v>
      </c>
      <c r="J721" s="30">
        <v>1884.0</v>
      </c>
      <c r="K721" s="30" t="s">
        <v>2784</v>
      </c>
      <c r="L721" s="30">
        <v>28.0</v>
      </c>
      <c r="M721" s="30" t="s">
        <v>24</v>
      </c>
      <c r="N721" s="30" t="s">
        <v>25</v>
      </c>
      <c r="O721" s="31">
        <v>2000000.0</v>
      </c>
      <c r="P721" s="10">
        <f t="shared" si="2"/>
        <v>0</v>
      </c>
      <c r="Q721" s="12">
        <f t="shared" si="3"/>
        <v>1900853</v>
      </c>
      <c r="R721" s="30">
        <v>1998.0</v>
      </c>
      <c r="S721" s="30">
        <v>6.2</v>
      </c>
    </row>
    <row r="722" ht="15.75" customHeight="1">
      <c r="A722" s="21" t="s">
        <v>2232</v>
      </c>
      <c r="B722" s="8" t="str">
        <f>IFERROR(__xludf.DUMMYFUNCTION("REGEXREPLACE(A722, ""[^0-9a-zA-Z .'Ã]"","""")"),"Julie Taymor")</f>
        <v>Julie Taymor</v>
      </c>
      <c r="C722" s="22">
        <v>92.0</v>
      </c>
      <c r="D722" s="23">
        <v>263365.0</v>
      </c>
      <c r="E722" s="22" t="s">
        <v>59</v>
      </c>
      <c r="F722" s="9">
        <f t="shared" si="1"/>
        <v>4</v>
      </c>
      <c r="G722" s="22" t="s">
        <v>2785</v>
      </c>
      <c r="H722" s="11" t="str">
        <f>IFERROR(__xludf.DUMMYFUNCTION("REGEXREPLACE(G722, ""[^0-9a-zA-Z .'Ã]"","""")"),"Djimon Hounsou")</f>
        <v>Djimon Hounsou</v>
      </c>
      <c r="I722" s="24" t="s">
        <v>2786</v>
      </c>
      <c r="J722" s="22">
        <v>6147.0</v>
      </c>
      <c r="K722" s="22" t="s">
        <v>2787</v>
      </c>
      <c r="L722" s="22">
        <v>36.0</v>
      </c>
      <c r="M722" s="22" t="s">
        <v>24</v>
      </c>
      <c r="N722" s="22" t="s">
        <v>25</v>
      </c>
      <c r="O722" s="23">
        <v>2.0E7</v>
      </c>
      <c r="P722" s="10">
        <f t="shared" si="2"/>
        <v>0</v>
      </c>
      <c r="Q722" s="12">
        <f t="shared" si="3"/>
        <v>19736635</v>
      </c>
      <c r="R722" s="22">
        <v>2010.0</v>
      </c>
      <c r="S722" s="22">
        <v>5.4</v>
      </c>
    </row>
    <row r="723" ht="15.75" customHeight="1">
      <c r="A723" s="17" t="s">
        <v>2788</v>
      </c>
      <c r="B723" s="8" t="str">
        <f>IFERROR(__xludf.DUMMYFUNCTION("REGEXREPLACE(A723, ""[^0-9a-zA-Z .'Ã]"","""")"),"Dan Scanlon")</f>
        <v>Dan Scanlon</v>
      </c>
      <c r="C723" s="18">
        <v>376.0</v>
      </c>
      <c r="D723" s="19">
        <v>2.68488329E8</v>
      </c>
      <c r="E723" s="18" t="s">
        <v>301</v>
      </c>
      <c r="F723" s="9">
        <f t="shared" si="1"/>
        <v>5</v>
      </c>
      <c r="G723" s="18" t="s">
        <v>453</v>
      </c>
      <c r="H723" s="11" t="str">
        <f>IFERROR(__xludf.DUMMYFUNCTION("REGEXREPLACE(G723, ""[^0-9a-zA-Z .'Ã]"","""")"),"Steve Buscemi")</f>
        <v>Steve Buscemi</v>
      </c>
      <c r="I723" s="20" t="s">
        <v>2789</v>
      </c>
      <c r="J723" s="18">
        <v>235025.0</v>
      </c>
      <c r="K723" s="18" t="s">
        <v>2790</v>
      </c>
      <c r="L723" s="18">
        <v>265.0</v>
      </c>
      <c r="M723" s="18" t="s">
        <v>24</v>
      </c>
      <c r="N723" s="18" t="s">
        <v>25</v>
      </c>
      <c r="O723" s="19">
        <v>2.0E8</v>
      </c>
      <c r="P723" s="10">
        <f t="shared" si="2"/>
        <v>68488329</v>
      </c>
      <c r="Q723" s="12">
        <f t="shared" si="3"/>
        <v>0</v>
      </c>
      <c r="R723" s="18">
        <v>2013.0</v>
      </c>
      <c r="S723" s="18">
        <v>7.3</v>
      </c>
    </row>
    <row r="724" ht="15.75" customHeight="1">
      <c r="A724" s="25" t="s">
        <v>1346</v>
      </c>
      <c r="B724" s="8" t="str">
        <f>IFERROR(__xludf.DUMMYFUNCTION("REGEXREPLACE(A724, ""[^0-9a-zA-Z .'Ã]"","""")"),"Sam Raimi")</f>
        <v>Sam Raimi</v>
      </c>
      <c r="C724" s="26">
        <v>525.0</v>
      </c>
      <c r="D724" s="27">
        <v>2.34903076E8</v>
      </c>
      <c r="E724" s="26" t="s">
        <v>1252</v>
      </c>
      <c r="F724" s="9">
        <f t="shared" si="1"/>
        <v>3</v>
      </c>
      <c r="G724" s="26" t="s">
        <v>2791</v>
      </c>
      <c r="H724" s="11" t="str">
        <f>IFERROR(__xludf.DUMMYFUNCTION("REGEXREPLACE(G724, ""[^0-9a-zA-Z .'Ã]"","""")"),"Tim Holmes")</f>
        <v>Tim Holmes</v>
      </c>
      <c r="I724" s="28" t="s">
        <v>2792</v>
      </c>
      <c r="J724" s="26">
        <v>175409.0</v>
      </c>
      <c r="K724" s="26" t="s">
        <v>2793</v>
      </c>
      <c r="L724" s="26">
        <v>511.0</v>
      </c>
      <c r="M724" s="26" t="s">
        <v>24</v>
      </c>
      <c r="N724" s="26" t="s">
        <v>25</v>
      </c>
      <c r="O724" s="27">
        <v>2.15E8</v>
      </c>
      <c r="P724" s="10">
        <f t="shared" si="2"/>
        <v>19903076</v>
      </c>
      <c r="Q724" s="12">
        <f t="shared" si="3"/>
        <v>0</v>
      </c>
      <c r="R724" s="26">
        <v>2013.0</v>
      </c>
      <c r="S724" s="26">
        <v>6.4</v>
      </c>
    </row>
    <row r="725" ht="15.75" customHeight="1">
      <c r="A725" s="7" t="s">
        <v>1652</v>
      </c>
      <c r="B725" s="8" t="str">
        <f>IFERROR(__xludf.DUMMYFUNCTION("REGEXREPLACE(A725, ""[^0-9a-zA-Z .'Ã]"","""")"),"John Carpenter")</f>
        <v>John Carpenter</v>
      </c>
      <c r="C725" s="9">
        <v>114.0</v>
      </c>
      <c r="D725" s="10">
        <v>2.0241395E7</v>
      </c>
      <c r="E725" s="9" t="s">
        <v>2745</v>
      </c>
      <c r="F725" s="9">
        <f t="shared" si="1"/>
        <v>3</v>
      </c>
      <c r="G725" s="9" t="s">
        <v>2794</v>
      </c>
      <c r="H725" s="11" t="str">
        <f>IFERROR(__xludf.DUMMYFUNCTION("REGEXREPLACE(G725, ""[^0-9a-zA-Z .'Ã]"","""")"),"Sheryl Lee")</f>
        <v>Sheryl Lee</v>
      </c>
      <c r="I725" s="11" t="s">
        <v>2795</v>
      </c>
      <c r="J725" s="9">
        <v>42664.0</v>
      </c>
      <c r="K725" s="9" t="s">
        <v>2796</v>
      </c>
      <c r="L725" s="9">
        <v>403.0</v>
      </c>
      <c r="M725" s="9" t="s">
        <v>24</v>
      </c>
      <c r="N725" s="9" t="s">
        <v>25</v>
      </c>
      <c r="O725" s="10">
        <v>2.0E7</v>
      </c>
      <c r="P725" s="10">
        <f t="shared" si="2"/>
        <v>241395</v>
      </c>
      <c r="Q725" s="12">
        <f t="shared" si="3"/>
        <v>0</v>
      </c>
      <c r="R725" s="9">
        <v>1998.0</v>
      </c>
      <c r="S725" s="9">
        <v>6.1</v>
      </c>
    </row>
    <row r="726" ht="15.75" customHeight="1">
      <c r="A726" s="17" t="s">
        <v>2797</v>
      </c>
      <c r="B726" s="8" t="str">
        <f>IFERROR(__xludf.DUMMYFUNCTION("REGEXREPLACE(A726, ""[^0-9a-zA-Z .'Ã]"","""")"),"Anton Corbijn")</f>
        <v>Anton Corbijn</v>
      </c>
      <c r="C726" s="18">
        <v>291.0</v>
      </c>
      <c r="D726" s="19">
        <v>1.7237244E7</v>
      </c>
      <c r="E726" s="18" t="s">
        <v>113</v>
      </c>
      <c r="F726" s="9">
        <f t="shared" si="1"/>
        <v>3</v>
      </c>
      <c r="G726" s="18" t="s">
        <v>1340</v>
      </c>
      <c r="H726" s="11" t="str">
        <f>IFERROR(__xludf.DUMMYFUNCTION("REGEXREPLACE(G726, ""[^0-9a-zA-Z .'Ã]"","""")"),"Philip Seymour Hoffman")</f>
        <v>Philip Seymour Hoffman</v>
      </c>
      <c r="I726" s="20" t="s">
        <v>2798</v>
      </c>
      <c r="J726" s="18">
        <v>57210.0</v>
      </c>
      <c r="K726" s="18" t="s">
        <v>2799</v>
      </c>
      <c r="L726" s="18">
        <v>158.0</v>
      </c>
      <c r="M726" s="18" t="s">
        <v>24</v>
      </c>
      <c r="N726" s="18" t="s">
        <v>130</v>
      </c>
      <c r="O726" s="19">
        <v>1.5E7</v>
      </c>
      <c r="P726" s="10">
        <f t="shared" si="2"/>
        <v>2237244</v>
      </c>
      <c r="Q726" s="12">
        <f t="shared" si="3"/>
        <v>0</v>
      </c>
      <c r="R726" s="18">
        <v>2014.0</v>
      </c>
      <c r="S726" s="18">
        <v>6.8</v>
      </c>
    </row>
    <row r="727" ht="15.75" customHeight="1">
      <c r="A727" s="7" t="s">
        <v>2800</v>
      </c>
      <c r="B727" s="8" t="str">
        <f>IFERROR(__xludf.DUMMYFUNCTION("REGEXREPLACE(A727, ""[^0-9a-zA-Z .'Ã]"","""")"),"Michael Wadleigh")</f>
        <v>Michael Wadleigh</v>
      </c>
      <c r="C727" s="9">
        <v>53.0</v>
      </c>
      <c r="D727" s="10">
        <v>1.33E7</v>
      </c>
      <c r="E727" s="9" t="s">
        <v>2801</v>
      </c>
      <c r="F727" s="9">
        <f t="shared" si="1"/>
        <v>3</v>
      </c>
      <c r="G727" s="9" t="s">
        <v>2802</v>
      </c>
      <c r="H727" s="11" t="str">
        <f>IFERROR(__xludf.DUMMYFUNCTION("REGEXREPLACE(G727, ""[^0-9a-zA-Z .'Ã]"","""")"),"Joe Cocker")</f>
        <v>Joe Cocker</v>
      </c>
      <c r="I727" s="11" t="s">
        <v>2803</v>
      </c>
      <c r="J727" s="9">
        <v>12631.0</v>
      </c>
      <c r="K727" s="9" t="s">
        <v>2804</v>
      </c>
      <c r="L727" s="9">
        <v>63.0</v>
      </c>
      <c r="M727" s="9" t="s">
        <v>24</v>
      </c>
      <c r="N727" s="9" t="s">
        <v>25</v>
      </c>
      <c r="O727" s="10">
        <v>600000.0</v>
      </c>
      <c r="P727" s="10">
        <f t="shared" si="2"/>
        <v>12700000</v>
      </c>
      <c r="Q727" s="12">
        <f t="shared" si="3"/>
        <v>0</v>
      </c>
      <c r="R727" s="9">
        <v>1970.0</v>
      </c>
      <c r="S727" s="9">
        <v>8.1</v>
      </c>
    </row>
    <row r="728" ht="15.75" customHeight="1">
      <c r="A728" s="7" t="s">
        <v>635</v>
      </c>
      <c r="B728" s="8" t="str">
        <f>IFERROR(__xludf.DUMMYFUNCTION("REGEXREPLACE(A728, ""[^0-9a-zA-Z .'Ã]"","""")"),"Steven Spielberg")</f>
        <v>Steven Spielberg</v>
      </c>
      <c r="C728" s="9">
        <v>70.0</v>
      </c>
      <c r="D728" s="10">
        <v>9.4175854E7</v>
      </c>
      <c r="E728" s="9" t="s">
        <v>103</v>
      </c>
      <c r="F728" s="9">
        <f t="shared" si="1"/>
        <v>1</v>
      </c>
      <c r="G728" s="9" t="s">
        <v>2805</v>
      </c>
      <c r="H728" s="11" t="str">
        <f>IFERROR(__xludf.DUMMYFUNCTION("REGEXREPLACE(G728, ""[^0-9a-zA-Z .'Ã]"","""")"),"Oprah Winfrey")</f>
        <v>Oprah Winfrey</v>
      </c>
      <c r="I728" s="11" t="s">
        <v>2806</v>
      </c>
      <c r="J728" s="9">
        <v>60988.0</v>
      </c>
      <c r="K728" s="9" t="s">
        <v>2807</v>
      </c>
      <c r="L728" s="9">
        <v>199.0</v>
      </c>
      <c r="M728" s="9" t="s">
        <v>24</v>
      </c>
      <c r="N728" s="9" t="s">
        <v>25</v>
      </c>
      <c r="O728" s="10">
        <v>1.5E7</v>
      </c>
      <c r="P728" s="10">
        <f t="shared" si="2"/>
        <v>79175854</v>
      </c>
      <c r="Q728" s="12">
        <f t="shared" si="3"/>
        <v>0</v>
      </c>
      <c r="R728" s="9">
        <v>1985.0</v>
      </c>
      <c r="S728" s="9">
        <v>7.8</v>
      </c>
    </row>
    <row r="729" ht="15.75" customHeight="1">
      <c r="A729" s="7" t="s">
        <v>2808</v>
      </c>
      <c r="B729" s="8" t="str">
        <f>IFERROR(__xludf.DUMMYFUNCTION("REGEXREPLACE(A729, ""[^0-9a-zA-Z .'Ã]"","""")"),"Paul Verhoeven")</f>
        <v>Paul Verhoeven</v>
      </c>
      <c r="C729" s="9">
        <v>180.0</v>
      </c>
      <c r="D729" s="10">
        <v>7.320934E7</v>
      </c>
      <c r="E729" s="9" t="s">
        <v>64</v>
      </c>
      <c r="F729" s="9">
        <f t="shared" si="1"/>
        <v>4</v>
      </c>
      <c r="G729" s="9" t="s">
        <v>2809</v>
      </c>
      <c r="H729" s="11" t="str">
        <f>IFERROR(__xludf.DUMMYFUNCTION("REGEXREPLACE(G729, ""[^0-9a-zA-Z .'Ã]"","""")"),"Greg Grunberg")</f>
        <v>Greg Grunberg</v>
      </c>
      <c r="I729" s="11" t="s">
        <v>2810</v>
      </c>
      <c r="J729" s="9">
        <v>101834.0</v>
      </c>
      <c r="K729" s="9" t="s">
        <v>2811</v>
      </c>
      <c r="L729" s="9">
        <v>628.0</v>
      </c>
      <c r="M729" s="9" t="s">
        <v>24</v>
      </c>
      <c r="N729" s="9" t="s">
        <v>25</v>
      </c>
      <c r="O729" s="10">
        <v>9.5E7</v>
      </c>
      <c r="P729" s="10">
        <f t="shared" si="2"/>
        <v>0</v>
      </c>
      <c r="Q729" s="12">
        <f t="shared" si="3"/>
        <v>21790660</v>
      </c>
      <c r="R729" s="9">
        <v>2000.0</v>
      </c>
      <c r="S729" s="9">
        <v>5.7</v>
      </c>
    </row>
    <row r="730" ht="15.75" customHeight="1">
      <c r="A730" s="21" t="s">
        <v>2074</v>
      </c>
      <c r="B730" s="8" t="str">
        <f>IFERROR(__xludf.DUMMYFUNCTION("REGEXREPLACE(A730, ""[^0-9a-zA-Z .'Ã]"","""")"),"James Bobin")</f>
        <v>James Bobin</v>
      </c>
      <c r="C730" s="22">
        <v>218.0</v>
      </c>
      <c r="D730" s="23">
        <v>7.6846624E7</v>
      </c>
      <c r="E730" s="22" t="s">
        <v>1252</v>
      </c>
      <c r="F730" s="9">
        <f t="shared" si="1"/>
        <v>3</v>
      </c>
      <c r="G730" s="22" t="s">
        <v>85</v>
      </c>
      <c r="H730" s="11" t="str">
        <f>IFERROR(__xludf.DUMMYFUNCTION("REGEXREPLACE(G730, ""[^0-9a-zA-Z .'Ã]"","""")"),"Johnny Depp")</f>
        <v>Johnny Depp</v>
      </c>
      <c r="I730" s="24" t="s">
        <v>2812</v>
      </c>
      <c r="J730" s="22">
        <v>21352.0</v>
      </c>
      <c r="K730" s="22" t="s">
        <v>2813</v>
      </c>
      <c r="L730" s="22">
        <v>131.0</v>
      </c>
      <c r="M730" s="22" t="s">
        <v>24</v>
      </c>
      <c r="N730" s="22" t="s">
        <v>25</v>
      </c>
      <c r="O730" s="23">
        <v>1.7E8</v>
      </c>
      <c r="P730" s="10">
        <f t="shared" si="2"/>
        <v>0</v>
      </c>
      <c r="Q730" s="12">
        <f t="shared" si="3"/>
        <v>93153376</v>
      </c>
      <c r="R730" s="22">
        <v>2016.0</v>
      </c>
      <c r="S730" s="22">
        <v>6.4</v>
      </c>
    </row>
    <row r="731" ht="15.75" customHeight="1">
      <c r="A731" s="17" t="s">
        <v>1573</v>
      </c>
      <c r="B731" s="8" t="str">
        <f>IFERROR(__xludf.DUMMYFUNCTION("REGEXREPLACE(A731, ""[^0-9a-zA-Z .'Ã]"","""")"),"Ethan Coen")</f>
        <v>Ethan Coen</v>
      </c>
      <c r="C731" s="18">
        <v>535.0</v>
      </c>
      <c r="D731" s="19">
        <v>1.3214255E7</v>
      </c>
      <c r="E731" s="18" t="s">
        <v>418</v>
      </c>
      <c r="F731" s="9">
        <f t="shared" si="1"/>
        <v>2</v>
      </c>
      <c r="G731" s="18" t="s">
        <v>302</v>
      </c>
      <c r="H731" s="11" t="str">
        <f>IFERROR(__xludf.DUMMYFUNCTION("REGEXREPLACE(G731, ""[^0-9a-zA-Z .'Ã]"","""")"),"Justin Timberlake")</f>
        <v>Justin Timberlake</v>
      </c>
      <c r="I731" s="20" t="s">
        <v>2814</v>
      </c>
      <c r="J731" s="18">
        <v>96233.0</v>
      </c>
      <c r="K731" s="18" t="s">
        <v>2815</v>
      </c>
      <c r="L731" s="18">
        <v>313.0</v>
      </c>
      <c r="M731" s="18" t="s">
        <v>24</v>
      </c>
      <c r="N731" s="18" t="s">
        <v>25</v>
      </c>
      <c r="O731" s="19">
        <v>1.1E7</v>
      </c>
      <c r="P731" s="10">
        <f t="shared" si="2"/>
        <v>2214255</v>
      </c>
      <c r="Q731" s="12">
        <f t="shared" si="3"/>
        <v>0</v>
      </c>
      <c r="R731" s="18">
        <v>2013.0</v>
      </c>
      <c r="S731" s="18">
        <v>7.4</v>
      </c>
    </row>
    <row r="732" ht="15.75" customHeight="1">
      <c r="A732" s="29" t="s">
        <v>355</v>
      </c>
      <c r="B732" s="8" t="str">
        <f>IFERROR(__xludf.DUMMYFUNCTION("REGEXREPLACE(A732, ""[^0-9a-zA-Z .'Ã]"","""")"),"Antoine Fuqua")</f>
        <v>Antoine Fuqua</v>
      </c>
      <c r="C732" s="30">
        <v>197.0</v>
      </c>
      <c r="D732" s="31">
        <v>2.7154426E7</v>
      </c>
      <c r="E732" s="30" t="s">
        <v>113</v>
      </c>
      <c r="F732" s="9">
        <f t="shared" si="1"/>
        <v>3</v>
      </c>
      <c r="G732" s="30" t="s">
        <v>590</v>
      </c>
      <c r="H732" s="11" t="str">
        <f>IFERROR(__xludf.DUMMYFUNCTION("REGEXREPLACE(G732, ""[^0-9a-zA-Z .'Ã]"","""")"),"Don Cheadle")</f>
        <v>Don Cheadle</v>
      </c>
      <c r="I732" s="32" t="s">
        <v>2816</v>
      </c>
      <c r="J732" s="30">
        <v>52852.0</v>
      </c>
      <c r="K732" s="30" t="s">
        <v>2817</v>
      </c>
      <c r="L732" s="30">
        <v>138.0</v>
      </c>
      <c r="M732" s="30" t="s">
        <v>24</v>
      </c>
      <c r="N732" s="30" t="s">
        <v>25</v>
      </c>
      <c r="O732" s="31">
        <v>1.7E7</v>
      </c>
      <c r="P732" s="10">
        <f t="shared" si="2"/>
        <v>10154426</v>
      </c>
      <c r="Q732" s="12">
        <f t="shared" si="3"/>
        <v>0</v>
      </c>
      <c r="R732" s="30">
        <v>2009.0</v>
      </c>
      <c r="S732" s="30">
        <v>6.7</v>
      </c>
    </row>
    <row r="733" ht="15.75" customHeight="1">
      <c r="A733" s="7" t="s">
        <v>2818</v>
      </c>
      <c r="B733" s="8" t="str">
        <f>IFERROR(__xludf.DUMMYFUNCTION("REGEXREPLACE(A733, ""[^0-9a-zA-Z .'Ã]"","""")"),"Hart Bochner")</f>
        <v>Hart Bochner</v>
      </c>
      <c r="C733" s="9">
        <v>15.0</v>
      </c>
      <c r="D733" s="10">
        <v>4350774.0</v>
      </c>
      <c r="E733" s="9" t="s">
        <v>137</v>
      </c>
      <c r="F733" s="9">
        <f t="shared" si="1"/>
        <v>1</v>
      </c>
      <c r="G733" s="9" t="s">
        <v>505</v>
      </c>
      <c r="H733" s="11" t="str">
        <f>IFERROR(__xludf.DUMMYFUNCTION("REGEXREPLACE(G733, ""[^0-9a-zA-Z .'Ã]"","""")"),"Jon Favreau")</f>
        <v>Jon Favreau</v>
      </c>
      <c r="I733" s="11" t="s">
        <v>2819</v>
      </c>
      <c r="J733" s="9">
        <v>10476.0</v>
      </c>
      <c r="K733" s="9" t="s">
        <v>2820</v>
      </c>
      <c r="L733" s="9">
        <v>52.0</v>
      </c>
      <c r="M733" s="9" t="s">
        <v>24</v>
      </c>
      <c r="N733" s="9" t="s">
        <v>25</v>
      </c>
      <c r="O733" s="10">
        <v>8000000.0</v>
      </c>
      <c r="P733" s="10">
        <f t="shared" si="2"/>
        <v>0</v>
      </c>
      <c r="Q733" s="12">
        <f t="shared" si="3"/>
        <v>3649226</v>
      </c>
      <c r="R733" s="9">
        <v>1994.0</v>
      </c>
      <c r="S733" s="9">
        <v>6.5</v>
      </c>
    </row>
    <row r="734" ht="15.75" customHeight="1">
      <c r="A734" s="21" t="s">
        <v>38</v>
      </c>
      <c r="B734" s="8" t="str">
        <f>IFERROR(__xludf.DUMMYFUNCTION("REGEXREPLACE(A734, ""[^0-9a-zA-Z .'Ã]"","""")"),"Clint Eastwood")</f>
        <v>Clint Eastwood</v>
      </c>
      <c r="C734" s="22">
        <v>249.0</v>
      </c>
      <c r="D734" s="23">
        <v>4.7034272E7</v>
      </c>
      <c r="E734" s="22" t="s">
        <v>2436</v>
      </c>
      <c r="F734" s="9">
        <f t="shared" si="1"/>
        <v>4</v>
      </c>
      <c r="G734" s="22" t="s">
        <v>2821</v>
      </c>
      <c r="H734" s="11" t="str">
        <f>IFERROR(__xludf.DUMMYFUNCTION("REGEXREPLACE(G734, ""[^0-9a-zA-Z .'Ã]"","""")"),"Johnny Cannizzaro")</f>
        <v>Johnny Cannizzaro</v>
      </c>
      <c r="I734" s="24" t="s">
        <v>2822</v>
      </c>
      <c r="J734" s="22">
        <v>25465.0</v>
      </c>
      <c r="K734" s="22" t="s">
        <v>2823</v>
      </c>
      <c r="L734" s="22">
        <v>190.0</v>
      </c>
      <c r="M734" s="22" t="s">
        <v>24</v>
      </c>
      <c r="N734" s="22" t="s">
        <v>25</v>
      </c>
      <c r="O734" s="23">
        <v>4.0E7</v>
      </c>
      <c r="P734" s="10">
        <f t="shared" si="2"/>
        <v>7034272</v>
      </c>
      <c r="Q734" s="12">
        <f t="shared" si="3"/>
        <v>0</v>
      </c>
      <c r="R734" s="22">
        <v>2014.0</v>
      </c>
      <c r="S734" s="22">
        <v>6.9</v>
      </c>
    </row>
    <row r="735" ht="15.75" customHeight="1">
      <c r="A735" s="21" t="s">
        <v>2824</v>
      </c>
      <c r="B735" s="8" t="str">
        <f>IFERROR(__xludf.DUMMYFUNCTION("REGEXREPLACE(A735, ""[^0-9a-zA-Z .'Ã]"","""")"),"Michael Ritchie")</f>
        <v>Michael Ritchie</v>
      </c>
      <c r="C735" s="22">
        <v>21.0</v>
      </c>
      <c r="D735" s="23">
        <v>8119205.0</v>
      </c>
      <c r="E735" s="22" t="s">
        <v>514</v>
      </c>
      <c r="F735" s="9">
        <f t="shared" si="1"/>
        <v>3</v>
      </c>
      <c r="G735" s="22" t="s">
        <v>2825</v>
      </c>
      <c r="H735" s="11" t="str">
        <f>IFERROR(__xludf.DUMMYFUNCTION("REGEXREPLACE(G735, ""[^0-9a-zA-Z .'Ã]"","""")"),"Mara Wilson")</f>
        <v>Mara Wilson</v>
      </c>
      <c r="I735" s="24" t="s">
        <v>2826</v>
      </c>
      <c r="J735" s="22">
        <v>4288.0</v>
      </c>
      <c r="K735" s="22" t="s">
        <v>2827</v>
      </c>
      <c r="L735" s="22">
        <v>21.0</v>
      </c>
      <c r="M735" s="22" t="s">
        <v>24</v>
      </c>
      <c r="N735" s="22" t="s">
        <v>25</v>
      </c>
      <c r="O735" s="23">
        <v>2.8E7</v>
      </c>
      <c r="P735" s="10">
        <f t="shared" si="2"/>
        <v>0</v>
      </c>
      <c r="Q735" s="12">
        <f t="shared" si="3"/>
        <v>19880795</v>
      </c>
      <c r="R735" s="22">
        <v>1997.0</v>
      </c>
      <c r="S735" s="22">
        <v>5.4</v>
      </c>
    </row>
    <row r="736" ht="15.75" customHeight="1">
      <c r="A736" s="13" t="s">
        <v>838</v>
      </c>
      <c r="B736" s="8" t="str">
        <f>IFERROR(__xludf.DUMMYFUNCTION("REGEXREPLACE(A736, ""[^0-9a-zA-Z .'Ã]"","""")"),"John Glen")</f>
        <v>John Glen</v>
      </c>
      <c r="C736" s="14">
        <v>108.0</v>
      </c>
      <c r="D736" s="15">
        <v>5.03E7</v>
      </c>
      <c r="E736" s="14" t="s">
        <v>474</v>
      </c>
      <c r="F736" s="9">
        <f t="shared" si="1"/>
        <v>3</v>
      </c>
      <c r="G736" s="14" t="s">
        <v>2828</v>
      </c>
      <c r="H736" s="11" t="str">
        <f>IFERROR(__xludf.DUMMYFUNCTION("REGEXREPLACE(G736, ""[^0-9a-zA-Z .'Ã]"","""")"),"Patrick Macnee")</f>
        <v>Patrick Macnee</v>
      </c>
      <c r="I736" s="16" t="s">
        <v>2829</v>
      </c>
      <c r="J736" s="14">
        <v>68565.0</v>
      </c>
      <c r="K736" s="14" t="s">
        <v>2830</v>
      </c>
      <c r="L736" s="14">
        <v>300.0</v>
      </c>
      <c r="M736" s="14" t="s">
        <v>24</v>
      </c>
      <c r="N736" s="14" t="s">
        <v>130</v>
      </c>
      <c r="O736" s="15">
        <v>3.0E7</v>
      </c>
      <c r="P736" s="10">
        <f t="shared" si="2"/>
        <v>20300000</v>
      </c>
      <c r="Q736" s="12">
        <f t="shared" si="3"/>
        <v>0</v>
      </c>
      <c r="R736" s="14">
        <v>1985.0</v>
      </c>
      <c r="S736" s="14">
        <v>6.3</v>
      </c>
    </row>
    <row r="737" ht="15.75" customHeight="1">
      <c r="A737" s="25" t="s">
        <v>2831</v>
      </c>
      <c r="B737" s="8" t="str">
        <f>IFERROR(__xludf.DUMMYFUNCTION("REGEXREPLACE(A737, ""[^0-9a-zA-Z .'Ã]"","""")"),"Alfred Hitchcock")</f>
        <v>Alfred Hitchcock</v>
      </c>
      <c r="C737" s="26">
        <v>290.0</v>
      </c>
      <c r="D737" s="27">
        <v>3.2E7</v>
      </c>
      <c r="E737" s="26" t="s">
        <v>94</v>
      </c>
      <c r="F737" s="9">
        <f t="shared" si="1"/>
        <v>3</v>
      </c>
      <c r="G737" s="26" t="s">
        <v>2832</v>
      </c>
      <c r="H737" s="11" t="str">
        <f>IFERROR(__xludf.DUMMYFUNCTION("REGEXREPLACE(G737, ""[^0-9a-zA-Z .'Ã]"","""")"),"Janet Leigh")</f>
        <v>Janet Leigh</v>
      </c>
      <c r="I737" s="28" t="s">
        <v>2833</v>
      </c>
      <c r="J737" s="26">
        <v>422432.0</v>
      </c>
      <c r="K737" s="26" t="s">
        <v>2834</v>
      </c>
      <c r="L737" s="26">
        <v>1040.0</v>
      </c>
      <c r="M737" s="26" t="s">
        <v>24</v>
      </c>
      <c r="N737" s="26" t="s">
        <v>25</v>
      </c>
      <c r="O737" s="27">
        <v>806947.0</v>
      </c>
      <c r="P737" s="10">
        <f t="shared" si="2"/>
        <v>31193053</v>
      </c>
      <c r="Q737" s="12">
        <f t="shared" si="3"/>
        <v>0</v>
      </c>
      <c r="R737" s="26">
        <v>1960.0</v>
      </c>
      <c r="S737" s="26">
        <v>8.5</v>
      </c>
    </row>
    <row r="738" ht="15.75" customHeight="1">
      <c r="A738" s="29" t="s">
        <v>1115</v>
      </c>
      <c r="B738" s="8" t="str">
        <f>IFERROR(__xludf.DUMMYFUNCTION("REGEXREPLACE(A738, ""[^0-9a-zA-Z .'Ã]"","""")"),"Christopher McQuarrie")</f>
        <v>Christopher McQuarrie</v>
      </c>
      <c r="C738" s="30">
        <v>117.0</v>
      </c>
      <c r="D738" s="31">
        <v>6047856.0</v>
      </c>
      <c r="E738" s="30" t="s">
        <v>501</v>
      </c>
      <c r="F738" s="9">
        <f t="shared" si="1"/>
        <v>4</v>
      </c>
      <c r="G738" s="30" t="s">
        <v>2835</v>
      </c>
      <c r="H738" s="11" t="str">
        <f>IFERROR(__xludf.DUMMYFUNCTION("REGEXREPLACE(G738, ""[^0-9a-zA-Z .'Ã]"","""")"),"Kristin Lehman")</f>
        <v>Kristin Lehman</v>
      </c>
      <c r="I738" s="32" t="s">
        <v>2836</v>
      </c>
      <c r="J738" s="30">
        <v>27536.0</v>
      </c>
      <c r="K738" s="30" t="s">
        <v>2837</v>
      </c>
      <c r="L738" s="30">
        <v>327.0</v>
      </c>
      <c r="M738" s="30" t="s">
        <v>24</v>
      </c>
      <c r="N738" s="30" t="s">
        <v>25</v>
      </c>
      <c r="O738" s="31">
        <v>8500000.0</v>
      </c>
      <c r="P738" s="10">
        <f t="shared" si="2"/>
        <v>0</v>
      </c>
      <c r="Q738" s="12">
        <f t="shared" si="3"/>
        <v>2452144</v>
      </c>
      <c r="R738" s="30">
        <v>2000.0</v>
      </c>
      <c r="S738" s="30">
        <v>6.7</v>
      </c>
    </row>
    <row r="739" ht="15.75" customHeight="1">
      <c r="A739" s="7" t="s">
        <v>2838</v>
      </c>
      <c r="B739" s="8" t="str">
        <f>IFERROR(__xludf.DUMMYFUNCTION("REGEXREPLACE(A739, ""[^0-9a-zA-Z .'Ã]"","""")"),"Lawrence Kasdan")</f>
        <v>Lawrence Kasdan</v>
      </c>
      <c r="C739" s="9">
        <v>175.0</v>
      </c>
      <c r="D739" s="10">
        <v>3.3685268E7</v>
      </c>
      <c r="E739" s="9" t="s">
        <v>2324</v>
      </c>
      <c r="F739" s="9">
        <f t="shared" si="1"/>
        <v>4</v>
      </c>
      <c r="G739" s="9" t="s">
        <v>170</v>
      </c>
      <c r="H739" s="11" t="str">
        <f>IFERROR(__xludf.DUMMYFUNCTION("REGEXREPLACE(G739, ""[^0-9a-zA-Z .'Ã]"","""")"),"Morgan Freeman")</f>
        <v>Morgan Freeman</v>
      </c>
      <c r="I739" s="11" t="s">
        <v>2839</v>
      </c>
      <c r="J739" s="9">
        <v>75573.0</v>
      </c>
      <c r="K739" s="9" t="s">
        <v>2840</v>
      </c>
      <c r="L739" s="9">
        <v>662.0</v>
      </c>
      <c r="M739" s="9" t="s">
        <v>24</v>
      </c>
      <c r="N739" s="9" t="s">
        <v>25</v>
      </c>
      <c r="O739" s="10">
        <v>6.8E7</v>
      </c>
      <c r="P739" s="10">
        <f t="shared" si="2"/>
        <v>0</v>
      </c>
      <c r="Q739" s="12">
        <f t="shared" si="3"/>
        <v>34314732</v>
      </c>
      <c r="R739" s="9">
        <v>2003.0</v>
      </c>
      <c r="S739" s="9">
        <v>5.5</v>
      </c>
    </row>
    <row r="740" ht="15.75" customHeight="1">
      <c r="A740" s="7" t="s">
        <v>335</v>
      </c>
      <c r="B740" s="8" t="str">
        <f>IFERROR(__xludf.DUMMYFUNCTION("REGEXREPLACE(A740, ""[^0-9a-zA-Z .'Ã]"","""")"),"George Clooney")</f>
        <v>George Clooney</v>
      </c>
      <c r="C740" s="9">
        <v>351.0</v>
      </c>
      <c r="D740" s="10">
        <v>3.1501218E7</v>
      </c>
      <c r="E740" s="9" t="s">
        <v>620</v>
      </c>
      <c r="F740" s="9">
        <f t="shared" si="1"/>
        <v>3</v>
      </c>
      <c r="G740" s="9" t="s">
        <v>327</v>
      </c>
      <c r="H740" s="11" t="str">
        <f>IFERROR(__xludf.DUMMYFUNCTION("REGEXREPLACE(G740, ""[^0-9a-zA-Z .'Ã]"","""")"),"Robert Downey Jr.")</f>
        <v>Robert Downey Jr.</v>
      </c>
      <c r="I740" s="11" t="s">
        <v>2841</v>
      </c>
      <c r="J740" s="9">
        <v>84070.0</v>
      </c>
      <c r="K740" s="9" t="s">
        <v>2842</v>
      </c>
      <c r="L740" s="9">
        <v>526.0</v>
      </c>
      <c r="M740" s="9" t="s">
        <v>24</v>
      </c>
      <c r="N740" s="9" t="s">
        <v>25</v>
      </c>
      <c r="O740" s="10">
        <v>7500000.0</v>
      </c>
      <c r="P740" s="10">
        <f t="shared" si="2"/>
        <v>24001218</v>
      </c>
      <c r="Q740" s="12">
        <f t="shared" si="3"/>
        <v>0</v>
      </c>
      <c r="R740" s="9">
        <v>2005.0</v>
      </c>
      <c r="S740" s="9">
        <v>7.5</v>
      </c>
    </row>
    <row r="741" ht="15.75" customHeight="1">
      <c r="A741" s="7" t="s">
        <v>2843</v>
      </c>
      <c r="B741" s="8" t="str">
        <f>IFERROR(__xludf.DUMMYFUNCTION("REGEXREPLACE(A741, ""[^0-9a-zA-Z .'Ã]"","""")"),"Dan Cutforth")</f>
        <v>Dan Cutforth</v>
      </c>
      <c r="C741" s="9">
        <v>68.0</v>
      </c>
      <c r="D741" s="10">
        <v>2.5240988E7</v>
      </c>
      <c r="E741" s="9" t="s">
        <v>715</v>
      </c>
      <c r="F741" s="9">
        <f t="shared" si="1"/>
        <v>2</v>
      </c>
      <c r="G741" s="9" t="s">
        <v>2844</v>
      </c>
      <c r="H741" s="11" t="str">
        <f>IFERROR(__xludf.DUMMYFUNCTION("REGEXREPLACE(G741, ""[^0-9a-zA-Z .'Ã]"","""")"),"Lexie Contursi")</f>
        <v>Lexie Contursi</v>
      </c>
      <c r="I741" s="11" t="s">
        <v>2845</v>
      </c>
      <c r="J741" s="9">
        <v>12383.0</v>
      </c>
      <c r="K741" s="9" t="s">
        <v>2846</v>
      </c>
      <c r="L741" s="9">
        <v>50.0</v>
      </c>
      <c r="M741" s="9" t="s">
        <v>24</v>
      </c>
      <c r="N741" s="9" t="s">
        <v>25</v>
      </c>
      <c r="O741" s="10">
        <v>1.2E7</v>
      </c>
      <c r="P741" s="10">
        <f t="shared" si="2"/>
        <v>13240988</v>
      </c>
      <c r="Q741" s="12">
        <f t="shared" si="3"/>
        <v>0</v>
      </c>
      <c r="R741" s="9">
        <v>2012.0</v>
      </c>
      <c r="S741" s="9">
        <v>5.9</v>
      </c>
    </row>
    <row r="742" ht="15.75" customHeight="1">
      <c r="A742" s="17" t="s">
        <v>2847</v>
      </c>
      <c r="B742" s="8" t="str">
        <f>IFERROR(__xludf.DUMMYFUNCTION("REGEXREPLACE(A742, ""[^0-9a-zA-Z .'Ã]"","""")"),"Arie Posin")</f>
        <v>Arie Posin</v>
      </c>
      <c r="C742" s="18">
        <v>74.0</v>
      </c>
      <c r="D742" s="19">
        <v>49526.0</v>
      </c>
      <c r="E742" s="18" t="s">
        <v>454</v>
      </c>
      <c r="F742" s="9">
        <f t="shared" si="1"/>
        <v>2</v>
      </c>
      <c r="G742" s="18" t="s">
        <v>2848</v>
      </c>
      <c r="H742" s="11" t="str">
        <f>IFERROR(__xludf.DUMMYFUNCTION("REGEXREPLACE(G742, ""[^0-9a-zA-Z .'Ã]"","""")"),"Rory Culkin")</f>
        <v>Rory Culkin</v>
      </c>
      <c r="I742" s="20" t="s">
        <v>2849</v>
      </c>
      <c r="J742" s="18">
        <v>16299.0</v>
      </c>
      <c r="K742" s="18" t="s">
        <v>2850</v>
      </c>
      <c r="L742" s="18">
        <v>129.0</v>
      </c>
      <c r="M742" s="18" t="s">
        <v>24</v>
      </c>
      <c r="N742" s="18" t="s">
        <v>25</v>
      </c>
      <c r="O742" s="19">
        <v>6800000.0</v>
      </c>
      <c r="P742" s="10">
        <f t="shared" si="2"/>
        <v>0</v>
      </c>
      <c r="Q742" s="12">
        <f t="shared" si="3"/>
        <v>6750474</v>
      </c>
      <c r="R742" s="18">
        <v>2005.0</v>
      </c>
      <c r="S742" s="18">
        <v>7.0</v>
      </c>
    </row>
    <row r="743" ht="15.75" customHeight="1">
      <c r="A743" s="7" t="s">
        <v>2851</v>
      </c>
      <c r="B743" s="8" t="str">
        <f>IFERROR(__xludf.DUMMYFUNCTION("REGEXREPLACE(A743, ""[^0-9a-zA-Z .'Ã]"","""")"),"Hironobu Sakaguchi")</f>
        <v>Hironobu Sakaguchi</v>
      </c>
      <c r="C743" s="9">
        <v>166.0</v>
      </c>
      <c r="D743" s="10">
        <v>3.213183E7</v>
      </c>
      <c r="E743" s="9" t="s">
        <v>2852</v>
      </c>
      <c r="F743" s="9">
        <f t="shared" si="1"/>
        <v>6</v>
      </c>
      <c r="G743" s="9" t="s">
        <v>453</v>
      </c>
      <c r="H743" s="11" t="str">
        <f>IFERROR(__xludf.DUMMYFUNCTION("REGEXREPLACE(G743, ""[^0-9a-zA-Z .'Ã]"","""")"),"Steve Buscemi")</f>
        <v>Steve Buscemi</v>
      </c>
      <c r="I743" s="11" t="s">
        <v>2853</v>
      </c>
      <c r="J743" s="9">
        <v>72259.0</v>
      </c>
      <c r="K743" s="9" t="s">
        <v>2854</v>
      </c>
      <c r="L743" s="9">
        <v>788.0</v>
      </c>
      <c r="M743" s="9" t="s">
        <v>24</v>
      </c>
      <c r="N743" s="9" t="s">
        <v>25</v>
      </c>
      <c r="O743" s="10">
        <v>1.37E8</v>
      </c>
      <c r="P743" s="10">
        <f t="shared" si="2"/>
        <v>0</v>
      </c>
      <c r="Q743" s="12">
        <f t="shared" si="3"/>
        <v>104868170</v>
      </c>
      <c r="R743" s="9">
        <v>2001.0</v>
      </c>
      <c r="S743" s="9">
        <v>6.4</v>
      </c>
    </row>
    <row r="744" ht="15.75" customHeight="1">
      <c r="A744" s="7" t="s">
        <v>2855</v>
      </c>
      <c r="B744" s="8" t="str">
        <f>IFERROR(__xludf.DUMMYFUNCTION("REGEXREPLACE(A744, ""[^0-9a-zA-Z .'Ã]"","""")"),"Pete Travis")</f>
        <v>Pete Travis</v>
      </c>
      <c r="C744" s="9">
        <v>432.0</v>
      </c>
      <c r="D744" s="10">
        <v>1.3401683E7</v>
      </c>
      <c r="E744" s="9" t="s">
        <v>848</v>
      </c>
      <c r="F744" s="9">
        <f t="shared" si="1"/>
        <v>2</v>
      </c>
      <c r="G744" s="9" t="s">
        <v>2856</v>
      </c>
      <c r="H744" s="11" t="str">
        <f>IFERROR(__xludf.DUMMYFUNCTION("REGEXREPLACE(G744, ""[^0-9a-zA-Z .'Ã]"","""")"),"Wood Harris")</f>
        <v>Wood Harris</v>
      </c>
      <c r="I744" s="11" t="s">
        <v>2857</v>
      </c>
      <c r="J744" s="9">
        <v>203458.0</v>
      </c>
      <c r="K744" s="9" t="s">
        <v>2858</v>
      </c>
      <c r="L744" s="9">
        <v>588.0</v>
      </c>
      <c r="M744" s="9" t="s">
        <v>24</v>
      </c>
      <c r="N744" s="9" t="s">
        <v>130</v>
      </c>
      <c r="O744" s="10">
        <v>3.5E7</v>
      </c>
      <c r="P744" s="10">
        <f t="shared" si="2"/>
        <v>0</v>
      </c>
      <c r="Q744" s="12">
        <f t="shared" si="3"/>
        <v>21598317</v>
      </c>
      <c r="R744" s="9">
        <v>2012.0</v>
      </c>
      <c r="S744" s="9">
        <v>7.1</v>
      </c>
    </row>
    <row r="745" ht="15.75" customHeight="1">
      <c r="A745" s="17" t="s">
        <v>2859</v>
      </c>
      <c r="B745" s="8" t="str">
        <f>IFERROR(__xludf.DUMMYFUNCTION("REGEXREPLACE(A745, ""[^0-9a-zA-Z .'Ã]"","""")"),"Louis Leterrier")</f>
        <v>Louis Leterrier</v>
      </c>
      <c r="C745" s="18">
        <v>344.0</v>
      </c>
      <c r="D745" s="19">
        <v>1.63192114E8</v>
      </c>
      <c r="E745" s="18" t="s">
        <v>278</v>
      </c>
      <c r="F745" s="9">
        <f t="shared" si="1"/>
        <v>3</v>
      </c>
      <c r="G745" s="18" t="s">
        <v>605</v>
      </c>
      <c r="H745" s="11" t="str">
        <f>IFERROR(__xludf.DUMMYFUNCTION("REGEXREPLACE(G745, ""[^0-9a-zA-Z .'Ã]"","""")"),"Liam Neeson")</f>
        <v>Liam Neeson</v>
      </c>
      <c r="I745" s="20" t="s">
        <v>2860</v>
      </c>
      <c r="J745" s="18">
        <v>229679.0</v>
      </c>
      <c r="K745" s="18" t="s">
        <v>2861</v>
      </c>
      <c r="L745" s="18">
        <v>637.0</v>
      </c>
      <c r="M745" s="18" t="s">
        <v>24</v>
      </c>
      <c r="N745" s="18" t="s">
        <v>25</v>
      </c>
      <c r="O745" s="19">
        <v>1.25E8</v>
      </c>
      <c r="P745" s="10">
        <f t="shared" si="2"/>
        <v>38192114</v>
      </c>
      <c r="Q745" s="12">
        <f t="shared" si="3"/>
        <v>0</v>
      </c>
      <c r="R745" s="18">
        <v>2010.0</v>
      </c>
      <c r="S745" s="18">
        <v>5.8</v>
      </c>
    </row>
    <row r="746" ht="15.75" customHeight="1">
      <c r="A746" s="7" t="s">
        <v>2862</v>
      </c>
      <c r="B746" s="8" t="str">
        <f>IFERROR(__xludf.DUMMYFUNCTION("REGEXREPLACE(A746, ""[^0-9a-zA-Z .'Ã]"","""")"),"Greg Mottola")</f>
        <v>Greg Mottola</v>
      </c>
      <c r="C746" s="9">
        <v>342.0</v>
      </c>
      <c r="D746" s="10">
        <v>3.7371385E7</v>
      </c>
      <c r="E746" s="9" t="s">
        <v>646</v>
      </c>
      <c r="F746" s="9">
        <f t="shared" si="1"/>
        <v>3</v>
      </c>
      <c r="G746" s="9" t="s">
        <v>2863</v>
      </c>
      <c r="H746" s="11" t="str">
        <f>IFERROR(__xludf.DUMMYFUNCTION("REGEXREPLACE(G746, ""[^0-9a-zA-Z .'Ã]"","""")"),"Bobby Lee")</f>
        <v>Bobby Lee</v>
      </c>
      <c r="I746" s="11" t="s">
        <v>2864</v>
      </c>
      <c r="J746" s="9">
        <v>192462.0</v>
      </c>
      <c r="K746" s="9" t="s">
        <v>2865</v>
      </c>
      <c r="L746" s="9">
        <v>334.0</v>
      </c>
      <c r="M746" s="9" t="s">
        <v>24</v>
      </c>
      <c r="N746" s="9" t="s">
        <v>25</v>
      </c>
      <c r="O746" s="10">
        <v>4.0E7</v>
      </c>
      <c r="P746" s="10">
        <f t="shared" si="2"/>
        <v>0</v>
      </c>
      <c r="Q746" s="12">
        <f t="shared" si="3"/>
        <v>2628615</v>
      </c>
      <c r="R746" s="9">
        <v>2011.0</v>
      </c>
      <c r="S746" s="9">
        <v>7.0</v>
      </c>
    </row>
    <row r="747" ht="15.75" customHeight="1">
      <c r="A747" s="7" t="s">
        <v>1047</v>
      </c>
      <c r="B747" s="8" t="str">
        <f>IFERROR(__xludf.DUMMYFUNCTION("REGEXREPLACE(A747, ""[^0-9a-zA-Z .'Ã]"","""")"),"Tyler Perry")</f>
        <v>Tyler Perry</v>
      </c>
      <c r="C747" s="9">
        <v>24.0</v>
      </c>
      <c r="D747" s="10">
        <v>5.252833E7</v>
      </c>
      <c r="E747" s="9" t="s">
        <v>454</v>
      </c>
      <c r="F747" s="9">
        <f t="shared" si="1"/>
        <v>2</v>
      </c>
      <c r="G747" s="9" t="s">
        <v>1800</v>
      </c>
      <c r="H747" s="11" t="str">
        <f>IFERROR(__xludf.DUMMYFUNCTION("REGEXREPLACE(G747, ""[^0-9a-zA-Z .'Ã]"","""")"),"Alicia Witt")</f>
        <v>Alicia Witt</v>
      </c>
      <c r="I747" s="11" t="s">
        <v>2866</v>
      </c>
      <c r="J747" s="9">
        <v>4265.0</v>
      </c>
      <c r="K747" s="9" t="s">
        <v>2867</v>
      </c>
      <c r="L747" s="9">
        <v>27.0</v>
      </c>
      <c r="M747" s="9" t="s">
        <v>24</v>
      </c>
      <c r="N747" s="9" t="s">
        <v>25</v>
      </c>
      <c r="O747" s="10">
        <v>2.5E7</v>
      </c>
      <c r="P747" s="10">
        <f t="shared" si="2"/>
        <v>27528330</v>
      </c>
      <c r="Q747" s="12">
        <f t="shared" si="3"/>
        <v>0</v>
      </c>
      <c r="R747" s="9">
        <v>2013.0</v>
      </c>
      <c r="S747" s="9">
        <v>4.7</v>
      </c>
    </row>
    <row r="748" ht="15.75" customHeight="1">
      <c r="A748" s="17" t="s">
        <v>2868</v>
      </c>
      <c r="B748" s="8" t="str">
        <f>IFERROR(__xludf.DUMMYFUNCTION("REGEXREPLACE(A748, ""[^0-9a-zA-Z -.'Ã]"","""")"),"CÃdric Klapisch")</f>
        <v>CÃdric Klapisch</v>
      </c>
      <c r="C748" s="18">
        <v>88.0</v>
      </c>
      <c r="D748" s="19">
        <v>3895664.0</v>
      </c>
      <c r="E748" s="18" t="s">
        <v>454</v>
      </c>
      <c r="F748" s="9">
        <f t="shared" si="1"/>
        <v>2</v>
      </c>
      <c r="G748" s="18" t="s">
        <v>1451</v>
      </c>
      <c r="H748" s="11" t="str">
        <f>IFERROR(__xludf.DUMMYFUNCTION("REGEXREPLACE(G748, ""[^0-9a-zA-Z .'Ã]"","""")"),"Romain Duris")</f>
        <v>Romain Duris</v>
      </c>
      <c r="I748" s="20" t="s">
        <v>2869</v>
      </c>
      <c r="J748" s="18">
        <v>34383.0</v>
      </c>
      <c r="K748" s="18" t="s">
        <v>2870</v>
      </c>
      <c r="L748" s="18">
        <v>149.0</v>
      </c>
      <c r="M748" s="18" t="s">
        <v>658</v>
      </c>
      <c r="N748" s="18" t="s">
        <v>608</v>
      </c>
      <c r="O748" s="19">
        <v>5300000.0</v>
      </c>
      <c r="P748" s="10">
        <f t="shared" si="2"/>
        <v>0</v>
      </c>
      <c r="Q748" s="12">
        <f t="shared" si="3"/>
        <v>1404336</v>
      </c>
      <c r="R748" s="18">
        <v>2002.0</v>
      </c>
      <c r="S748" s="18">
        <v>7.3</v>
      </c>
    </row>
    <row r="749" ht="15.75" customHeight="1">
      <c r="A749" s="7" t="s">
        <v>269</v>
      </c>
      <c r="B749" s="8" t="str">
        <f>IFERROR(__xludf.DUMMYFUNCTION("REGEXREPLACE(A749, ""[^0-9a-zA-Z .'Ã]"","""")"),"Lee Tamahori")</f>
        <v>Lee Tamahori</v>
      </c>
      <c r="C749" s="9">
        <v>77.0</v>
      </c>
      <c r="D749" s="10">
        <v>2.6082914E7</v>
      </c>
      <c r="E749" s="9" t="s">
        <v>711</v>
      </c>
      <c r="F749" s="9">
        <f t="shared" si="1"/>
        <v>4</v>
      </c>
      <c r="G749" s="9" t="s">
        <v>2871</v>
      </c>
      <c r="H749" s="11" t="str">
        <f>IFERROR(__xludf.DUMMYFUNCTION("REGEXREPLACE(G749, ""[^0-9a-zA-Z .'Ã]"","""")"),"Sunny Mabrey")</f>
        <v>Sunny Mabrey</v>
      </c>
      <c r="I749" s="11" t="s">
        <v>2872</v>
      </c>
      <c r="J749" s="9">
        <v>51349.0</v>
      </c>
      <c r="K749" s="9" t="s">
        <v>2873</v>
      </c>
      <c r="L749" s="9">
        <v>213.0</v>
      </c>
      <c r="M749" s="9" t="s">
        <v>24</v>
      </c>
      <c r="N749" s="9" t="s">
        <v>25</v>
      </c>
      <c r="O749" s="10">
        <v>8.7E7</v>
      </c>
      <c r="P749" s="10">
        <f t="shared" si="2"/>
        <v>0</v>
      </c>
      <c r="Q749" s="12">
        <f t="shared" si="3"/>
        <v>60917086</v>
      </c>
      <c r="R749" s="9">
        <v>2005.0</v>
      </c>
      <c r="S749" s="9">
        <v>4.3</v>
      </c>
    </row>
    <row r="750" ht="15.75" customHeight="1">
      <c r="A750" s="7" t="s">
        <v>2874</v>
      </c>
      <c r="B750" s="8" t="str">
        <f>IFERROR(__xludf.DUMMYFUNCTION("REGEXREPLACE(A750, ""[^0-9a-zA-Z -.'Ã]"","""")"),"Rodrigo CortÃs")</f>
        <v>Rodrigo CortÃs</v>
      </c>
      <c r="C750" s="9">
        <v>363.0</v>
      </c>
      <c r="D750" s="10">
        <v>1028658.0</v>
      </c>
      <c r="E750" s="9" t="s">
        <v>311</v>
      </c>
      <c r="F750" s="9">
        <f t="shared" si="1"/>
        <v>3</v>
      </c>
      <c r="G750" s="9" t="s">
        <v>2451</v>
      </c>
      <c r="H750" s="11" t="str">
        <f>IFERROR(__xludf.DUMMYFUNCTION("REGEXREPLACE(G750, ""[^0-9a-zA-Z .'Ã]"","""")"),"Ryan Reynolds")</f>
        <v>Ryan Reynolds</v>
      </c>
      <c r="I750" s="11" t="s">
        <v>2875</v>
      </c>
      <c r="J750" s="9">
        <v>118684.0</v>
      </c>
      <c r="K750" s="9" t="s">
        <v>2876</v>
      </c>
      <c r="L750" s="9">
        <v>447.0</v>
      </c>
      <c r="M750" s="9" t="s">
        <v>24</v>
      </c>
      <c r="N750" s="9" t="s">
        <v>1108</v>
      </c>
      <c r="O750" s="10">
        <v>3000000.0</v>
      </c>
      <c r="P750" s="10">
        <f t="shared" si="2"/>
        <v>0</v>
      </c>
      <c r="Q750" s="12">
        <f t="shared" si="3"/>
        <v>1971342</v>
      </c>
      <c r="R750" s="9">
        <v>2010.0</v>
      </c>
      <c r="S750" s="9">
        <v>7.0</v>
      </c>
    </row>
    <row r="751" ht="15.75" customHeight="1">
      <c r="A751" s="17" t="s">
        <v>2571</v>
      </c>
      <c r="B751" s="8" t="str">
        <f>IFERROR(__xludf.DUMMYFUNCTION("REGEXREPLACE(A751, ""[^0-9a-zA-Z .'Ã]"","""")"),"David Dobkin")</f>
        <v>David Dobkin</v>
      </c>
      <c r="C751" s="18">
        <v>276.0</v>
      </c>
      <c r="D751" s="19">
        <v>4.7105085E7</v>
      </c>
      <c r="E751" s="18" t="s">
        <v>54</v>
      </c>
      <c r="F751" s="9">
        <f t="shared" si="1"/>
        <v>2</v>
      </c>
      <c r="G751" s="18" t="s">
        <v>327</v>
      </c>
      <c r="H751" s="11" t="str">
        <f>IFERROR(__xludf.DUMMYFUNCTION("REGEXREPLACE(G751, ""[^0-9a-zA-Z .'Ã]"","""")"),"Robert Downey Jr.")</f>
        <v>Robert Downey Jr.</v>
      </c>
      <c r="I751" s="20" t="s">
        <v>2877</v>
      </c>
      <c r="J751" s="18">
        <v>136973.0</v>
      </c>
      <c r="K751" s="18" t="s">
        <v>2878</v>
      </c>
      <c r="L751" s="18">
        <v>275.0</v>
      </c>
      <c r="M751" s="18" t="s">
        <v>24</v>
      </c>
      <c r="N751" s="18" t="s">
        <v>25</v>
      </c>
      <c r="O751" s="19">
        <v>5.0E7</v>
      </c>
      <c r="P751" s="10">
        <f t="shared" si="2"/>
        <v>0</v>
      </c>
      <c r="Q751" s="12">
        <f t="shared" si="3"/>
        <v>2894915</v>
      </c>
      <c r="R751" s="18">
        <v>2014.0</v>
      </c>
      <c r="S751" s="18">
        <v>7.4</v>
      </c>
    </row>
    <row r="752" ht="15.75" customHeight="1">
      <c r="A752" s="7" t="s">
        <v>2879</v>
      </c>
      <c r="B752" s="8" t="str">
        <f>IFERROR(__xludf.DUMMYFUNCTION("REGEXREPLACE(A752, ""[^0-9a-zA-Z .'Ã]"","""")"),"Gil Junger")</f>
        <v>Gil Junger</v>
      </c>
      <c r="C752" s="9">
        <v>133.0</v>
      </c>
      <c r="D752" s="10">
        <v>3.8176108E7</v>
      </c>
      <c r="E752" s="9" t="s">
        <v>159</v>
      </c>
      <c r="F752" s="9">
        <f t="shared" si="1"/>
        <v>3</v>
      </c>
      <c r="G752" s="9" t="s">
        <v>764</v>
      </c>
      <c r="H752" s="11" t="str">
        <f>IFERROR(__xludf.DUMMYFUNCTION("REGEXREPLACE(G752, ""[^0-9a-zA-Z .'Ã]"","""")"),"Joseph GordonLevitt")</f>
        <v>Joseph GordonLevitt</v>
      </c>
      <c r="I752" s="11" t="s">
        <v>2880</v>
      </c>
      <c r="J752" s="9">
        <v>222099.0</v>
      </c>
      <c r="K752" s="9" t="s">
        <v>2881</v>
      </c>
      <c r="L752" s="9">
        <v>549.0</v>
      </c>
      <c r="M752" s="9" t="s">
        <v>24</v>
      </c>
      <c r="N752" s="9" t="s">
        <v>25</v>
      </c>
      <c r="O752" s="10">
        <v>1.6E7</v>
      </c>
      <c r="P752" s="10">
        <f t="shared" si="2"/>
        <v>22176108</v>
      </c>
      <c r="Q752" s="12">
        <f t="shared" si="3"/>
        <v>0</v>
      </c>
      <c r="R752" s="9">
        <v>1999.0</v>
      </c>
      <c r="S752" s="9">
        <v>7.2</v>
      </c>
    </row>
    <row r="753" ht="15.75" customHeight="1">
      <c r="A753" s="7" t="s">
        <v>2882</v>
      </c>
      <c r="B753" s="8" t="str">
        <f>IFERROR(__xludf.DUMMYFUNCTION("REGEXREPLACE(A753, ""[^0-9a-zA-Z .'Ã]"","""")"),"Kat Coiro")</f>
        <v>Kat Coiro</v>
      </c>
      <c r="C753" s="9">
        <v>18.0</v>
      </c>
      <c r="D753" s="10">
        <v>20186.0</v>
      </c>
      <c r="E753" s="9" t="s">
        <v>137</v>
      </c>
      <c r="F753" s="9">
        <f t="shared" si="1"/>
        <v>1</v>
      </c>
      <c r="G753" s="9" t="s">
        <v>2883</v>
      </c>
      <c r="H753" s="11" t="str">
        <f>IFERROR(__xludf.DUMMYFUNCTION("REGEXREPLACE(G753, ""[^0-9a-zA-Z .'Ã]"","""")"),"Justin Kirk")</f>
        <v>Justin Kirk</v>
      </c>
      <c r="I753" s="11" t="s">
        <v>2884</v>
      </c>
      <c r="J753" s="9">
        <v>6025.0</v>
      </c>
      <c r="K753" s="9" t="s">
        <v>2885</v>
      </c>
      <c r="L753" s="9">
        <v>15.0</v>
      </c>
      <c r="M753" s="9" t="s">
        <v>24</v>
      </c>
      <c r="N753" s="9" t="s">
        <v>25</v>
      </c>
      <c r="O753" s="10">
        <v>930000.0</v>
      </c>
      <c r="P753" s="10">
        <f t="shared" si="2"/>
        <v>0</v>
      </c>
      <c r="Q753" s="12">
        <f t="shared" si="3"/>
        <v>909814</v>
      </c>
      <c r="R753" s="9">
        <v>2011.0</v>
      </c>
      <c r="S753" s="9">
        <v>5.7</v>
      </c>
    </row>
    <row r="754" ht="15.75" customHeight="1">
      <c r="A754" s="7" t="s">
        <v>2886</v>
      </c>
      <c r="B754" s="8" t="str">
        <f>IFERROR(__xludf.DUMMYFUNCTION("REGEXREPLACE(A754, ""[^0-9a-zA-Z .'Ã]"","""")"),"Joe Swanberg")</f>
        <v>Joe Swanberg</v>
      </c>
      <c r="C754" s="9">
        <v>65.0</v>
      </c>
      <c r="D754" s="10">
        <v>30084.0</v>
      </c>
      <c r="E754" s="9" t="s">
        <v>454</v>
      </c>
      <c r="F754" s="9">
        <f t="shared" si="1"/>
        <v>2</v>
      </c>
      <c r="G754" s="9" t="s">
        <v>2887</v>
      </c>
      <c r="H754" s="11" t="str">
        <f>IFERROR(__xludf.DUMMYFUNCTION("REGEXREPLACE(G754, ""[^0-9a-zA-Z .'Ã]"","""")"),"Anna Kendrick")</f>
        <v>Anna Kendrick</v>
      </c>
      <c r="I754" s="11" t="s">
        <v>2888</v>
      </c>
      <c r="J754" s="9">
        <v>5507.0</v>
      </c>
      <c r="K754" s="9" t="s">
        <v>2889</v>
      </c>
      <c r="L754" s="9">
        <v>23.0</v>
      </c>
      <c r="M754" s="9" t="s">
        <v>24</v>
      </c>
      <c r="N754" s="9" t="s">
        <v>25</v>
      </c>
      <c r="O754" s="10">
        <v>70000.0</v>
      </c>
      <c r="P754" s="10">
        <f t="shared" si="2"/>
        <v>0</v>
      </c>
      <c r="Q754" s="12">
        <f t="shared" si="3"/>
        <v>39916</v>
      </c>
      <c r="R754" s="9">
        <v>2014.0</v>
      </c>
      <c r="S754" s="9">
        <v>5.6</v>
      </c>
    </row>
    <row r="755" ht="15.75" customHeight="1">
      <c r="A755" s="7" t="s">
        <v>2890</v>
      </c>
      <c r="B755" s="8" t="str">
        <f>IFERROR(__xludf.DUMMYFUNCTION("REGEXREPLACE(A755, ""[^0-9a-zA-Z .'Ã]"","""")"),"Christopher Landon")</f>
        <v>Christopher Landon</v>
      </c>
      <c r="C755" s="9">
        <v>220.0</v>
      </c>
      <c r="D755" s="10">
        <v>3.2453345E7</v>
      </c>
      <c r="E755" s="9" t="s">
        <v>955</v>
      </c>
      <c r="F755" s="9">
        <f t="shared" si="1"/>
        <v>3</v>
      </c>
      <c r="G755" s="9" t="s">
        <v>2891</v>
      </c>
      <c r="H755" s="11" t="str">
        <f>IFERROR(__xludf.DUMMYFUNCTION("REGEXREPLACE(G755, ""[^0-9a-zA-Z .'Ã]"","""")"),"Richard Cabral")</f>
        <v>Richard Cabral</v>
      </c>
      <c r="I755" s="11" t="s">
        <v>2892</v>
      </c>
      <c r="J755" s="9">
        <v>31791.0</v>
      </c>
      <c r="K755" s="9" t="s">
        <v>2893</v>
      </c>
      <c r="L755" s="9">
        <v>155.0</v>
      </c>
      <c r="M755" s="9" t="s">
        <v>24</v>
      </c>
      <c r="N755" s="9" t="s">
        <v>25</v>
      </c>
      <c r="O755" s="10">
        <v>5000000.0</v>
      </c>
      <c r="P755" s="10">
        <f t="shared" si="2"/>
        <v>27453345</v>
      </c>
      <c r="Q755" s="12">
        <f t="shared" si="3"/>
        <v>0</v>
      </c>
      <c r="R755" s="9">
        <v>2014.0</v>
      </c>
      <c r="S755" s="9">
        <v>5.0</v>
      </c>
    </row>
    <row r="756" ht="15.75" customHeight="1">
      <c r="A756" s="21" t="s">
        <v>2894</v>
      </c>
      <c r="B756" s="8" t="str">
        <f>IFERROR(__xludf.DUMMYFUNCTION("REGEXREPLACE(A756, ""[^0-9a-zA-Z .'Ã]"","""")"),"Matthew Diamond")</f>
        <v>Matthew Diamond</v>
      </c>
      <c r="C756" s="22">
        <v>28.0</v>
      </c>
      <c r="D756" s="23">
        <v>1064277.0</v>
      </c>
      <c r="E756" s="22" t="s">
        <v>2895</v>
      </c>
      <c r="F756" s="9">
        <f t="shared" si="1"/>
        <v>4</v>
      </c>
      <c r="G756" s="22" t="s">
        <v>1875</v>
      </c>
      <c r="H756" s="11" t="str">
        <f>IFERROR(__xludf.DUMMYFUNCTION("REGEXREPLACE(G756, ""[^0-9a-zA-Z .'Ã]"","""")"),"Chazz Palminteri")</f>
        <v>Chazz Palminteri</v>
      </c>
      <c r="I756" s="24" t="s">
        <v>2896</v>
      </c>
      <c r="J756" s="22">
        <v>14015.0</v>
      </c>
      <c r="K756" s="22" t="s">
        <v>2897</v>
      </c>
      <c r="L756" s="22">
        <v>83.0</v>
      </c>
      <c r="M756" s="22" t="s">
        <v>24</v>
      </c>
      <c r="N756" s="22" t="s">
        <v>25</v>
      </c>
      <c r="O756" s="23">
        <v>2.0E7</v>
      </c>
      <c r="P756" s="10">
        <f t="shared" si="2"/>
        <v>0</v>
      </c>
      <c r="Q756" s="12">
        <f t="shared" si="3"/>
        <v>18935723</v>
      </c>
      <c r="R756" s="22">
        <v>2012.0</v>
      </c>
      <c r="S756" s="22">
        <v>6.7</v>
      </c>
    </row>
    <row r="757" ht="15.75" customHeight="1">
      <c r="A757" s="21" t="s">
        <v>2898</v>
      </c>
      <c r="B757" s="8" t="str">
        <f>IFERROR(__xludf.DUMMYFUNCTION("REGEXREPLACE(A757, ""[^0-9a-zA-Z .'Ã]"","""")"),"Will Gluck")</f>
        <v>Will Gluck</v>
      </c>
      <c r="C757" s="22">
        <v>176.0</v>
      </c>
      <c r="D757" s="23">
        <v>8.5911262E7</v>
      </c>
      <c r="E757" s="22" t="s">
        <v>2899</v>
      </c>
      <c r="F757" s="9">
        <f t="shared" si="1"/>
        <v>4</v>
      </c>
      <c r="G757" s="22" t="s">
        <v>2900</v>
      </c>
      <c r="H757" s="11" t="str">
        <f>IFERROR(__xludf.DUMMYFUNCTION("REGEXREPLACE(G757, ""[^0-9a-zA-Z .'Ã]"","""")"),"QuvenzhanÃ Wallis")</f>
        <v>QuvenzhanÃ Wallis</v>
      </c>
      <c r="I757" s="24" t="s">
        <v>2901</v>
      </c>
      <c r="J757" s="22">
        <v>24735.0</v>
      </c>
      <c r="K757" s="22" t="s">
        <v>2902</v>
      </c>
      <c r="L757" s="22">
        <v>213.0</v>
      </c>
      <c r="M757" s="22" t="s">
        <v>24</v>
      </c>
      <c r="N757" s="22" t="s">
        <v>25</v>
      </c>
      <c r="O757" s="23">
        <v>6.5E7</v>
      </c>
      <c r="P757" s="10">
        <f t="shared" si="2"/>
        <v>20911262</v>
      </c>
      <c r="Q757" s="12">
        <f t="shared" si="3"/>
        <v>0</v>
      </c>
      <c r="R757" s="22">
        <v>2014.0</v>
      </c>
      <c r="S757" s="22">
        <v>5.2</v>
      </c>
    </row>
    <row r="758" ht="15.75" customHeight="1">
      <c r="A758" s="25" t="s">
        <v>972</v>
      </c>
      <c r="B758" s="8" t="str">
        <f>IFERROR(__xludf.DUMMYFUNCTION("REGEXREPLACE(A758, ""[^0-9a-zA-Z .'Ã]"","""")"),"Shawn Levy")</f>
        <v>Shawn Levy</v>
      </c>
      <c r="C758" s="26">
        <v>104.0</v>
      </c>
      <c r="D758" s="27">
        <v>1.38614544E8</v>
      </c>
      <c r="E758" s="26" t="s">
        <v>857</v>
      </c>
      <c r="F758" s="9">
        <f t="shared" si="1"/>
        <v>2</v>
      </c>
      <c r="G758" s="26" t="s">
        <v>2903</v>
      </c>
      <c r="H758" s="11" t="str">
        <f>IFERROR(__xludf.DUMMYFUNCTION("REGEXREPLACE(G758, ""[^0-9a-zA-Z .'Ã]"","""")"),"Tom Welling")</f>
        <v>Tom Welling</v>
      </c>
      <c r="I758" s="28" t="s">
        <v>2904</v>
      </c>
      <c r="J758" s="26">
        <v>75152.0</v>
      </c>
      <c r="K758" s="26" t="s">
        <v>2905</v>
      </c>
      <c r="L758" s="26">
        <v>288.0</v>
      </c>
      <c r="M758" s="26" t="s">
        <v>24</v>
      </c>
      <c r="N758" s="26" t="s">
        <v>25</v>
      </c>
      <c r="O758" s="27">
        <v>4.0E7</v>
      </c>
      <c r="P758" s="10">
        <f t="shared" si="2"/>
        <v>98614544</v>
      </c>
      <c r="Q758" s="12">
        <f t="shared" si="3"/>
        <v>0</v>
      </c>
      <c r="R758" s="26">
        <v>2003.0</v>
      </c>
      <c r="S758" s="26">
        <v>5.8</v>
      </c>
    </row>
    <row r="759" ht="15.75" customHeight="1">
      <c r="A759" s="29" t="s">
        <v>236</v>
      </c>
      <c r="B759" s="8" t="str">
        <f>IFERROR(__xludf.DUMMYFUNCTION("REGEXREPLACE(A759, ""[^0-9a-zA-Z .'Ã]"","""")"),"James Ivory")</f>
        <v>James Ivory</v>
      </c>
      <c r="C759" s="30">
        <v>64.0</v>
      </c>
      <c r="D759" s="31">
        <v>1666262.0</v>
      </c>
      <c r="E759" s="30" t="s">
        <v>2906</v>
      </c>
      <c r="F759" s="9">
        <f t="shared" si="1"/>
        <v>4</v>
      </c>
      <c r="G759" s="30" t="s">
        <v>2907</v>
      </c>
      <c r="H759" s="11" t="str">
        <f>IFERROR(__xludf.DUMMYFUNCTION("REGEXREPLACE(G759, ""[^0-9a-zA-Z .'Ã]"","""")"),"Vanessa Redgrave")</f>
        <v>Vanessa Redgrave</v>
      </c>
      <c r="I759" s="32" t="s">
        <v>2908</v>
      </c>
      <c r="J759" s="30">
        <v>5321.0</v>
      </c>
      <c r="K759" s="30" t="s">
        <v>2909</v>
      </c>
      <c r="L759" s="30">
        <v>78.0</v>
      </c>
      <c r="M759" s="30" t="s">
        <v>24</v>
      </c>
      <c r="N759" s="30" t="s">
        <v>130</v>
      </c>
      <c r="O759" s="31">
        <v>1.6E7</v>
      </c>
      <c r="P759" s="10">
        <f t="shared" si="2"/>
        <v>0</v>
      </c>
      <c r="Q759" s="12">
        <f t="shared" si="3"/>
        <v>14333738</v>
      </c>
      <c r="R759" s="30">
        <v>2005.0</v>
      </c>
      <c r="S759" s="30">
        <v>6.7</v>
      </c>
    </row>
    <row r="760" ht="15.75" customHeight="1">
      <c r="A760" s="21" t="s">
        <v>2910</v>
      </c>
      <c r="B760" s="8" t="str">
        <f>IFERROR(__xludf.DUMMYFUNCTION("REGEXREPLACE(A760, ""[^0-9a-zA-Z .'Ã]"","""")"),"Alan Taylor")</f>
        <v>Alan Taylor</v>
      </c>
      <c r="C760" s="22">
        <v>474.0</v>
      </c>
      <c r="D760" s="23">
        <v>8.9732035E7</v>
      </c>
      <c r="E760" s="22" t="s">
        <v>185</v>
      </c>
      <c r="F760" s="9">
        <f t="shared" si="1"/>
        <v>3</v>
      </c>
      <c r="G760" s="22" t="s">
        <v>878</v>
      </c>
      <c r="H760" s="11" t="str">
        <f>IFERROR(__xludf.DUMMYFUNCTION("REGEXREPLACE(G760, ""[^0-9a-zA-Z .'Ã]"","""")"),"J.K. Simmons")</f>
        <v>J.K. Simmons</v>
      </c>
      <c r="I760" s="24" t="s">
        <v>2911</v>
      </c>
      <c r="J760" s="22">
        <v>188457.0</v>
      </c>
      <c r="K760" s="22" t="s">
        <v>2912</v>
      </c>
      <c r="L760" s="22">
        <v>867.0</v>
      </c>
      <c r="M760" s="22" t="s">
        <v>24</v>
      </c>
      <c r="N760" s="22" t="s">
        <v>25</v>
      </c>
      <c r="O760" s="23">
        <v>1.55E8</v>
      </c>
      <c r="P760" s="10">
        <f t="shared" si="2"/>
        <v>0</v>
      </c>
      <c r="Q760" s="12">
        <f t="shared" si="3"/>
        <v>65267965</v>
      </c>
      <c r="R760" s="22">
        <v>2015.0</v>
      </c>
      <c r="S760" s="22">
        <v>6.6</v>
      </c>
    </row>
    <row r="761" ht="15.75" customHeight="1">
      <c r="A761" s="7" t="s">
        <v>189</v>
      </c>
      <c r="B761" s="8" t="str">
        <f>IFERROR(__xludf.DUMMYFUNCTION("REGEXREPLACE(A761, ""[^0-9a-zA-Z .'Ã]"","""")"),"Robert Luketic")</f>
        <v>Robert Luketic</v>
      </c>
      <c r="C761" s="9">
        <v>84.0</v>
      </c>
      <c r="D761" s="10">
        <v>1.6964743E7</v>
      </c>
      <c r="E761" s="9" t="s">
        <v>89</v>
      </c>
      <c r="F761" s="9">
        <f t="shared" si="1"/>
        <v>2</v>
      </c>
      <c r="G761" s="9" t="s">
        <v>2542</v>
      </c>
      <c r="H761" s="11" t="str">
        <f>IFERROR(__xludf.DUMMYFUNCTION("REGEXREPLACE(G761, ""[^0-9a-zA-Z .'Ã]"","""")"),"Topher Grace")</f>
        <v>Topher Grace</v>
      </c>
      <c r="I761" s="11" t="s">
        <v>2913</v>
      </c>
      <c r="J761" s="9">
        <v>22844.0</v>
      </c>
      <c r="K761" s="9" t="s">
        <v>2914</v>
      </c>
      <c r="L761" s="9">
        <v>140.0</v>
      </c>
      <c r="M761" s="9" t="s">
        <v>24</v>
      </c>
      <c r="N761" s="9" t="s">
        <v>25</v>
      </c>
      <c r="O761" s="10">
        <v>2.4E7</v>
      </c>
      <c r="P761" s="10">
        <f t="shared" si="2"/>
        <v>0</v>
      </c>
      <c r="Q761" s="12">
        <f t="shared" si="3"/>
        <v>7035257</v>
      </c>
      <c r="R761" s="9">
        <v>2004.0</v>
      </c>
      <c r="S761" s="9">
        <v>5.6</v>
      </c>
    </row>
    <row r="762" ht="15.75" customHeight="1">
      <c r="A762" s="25" t="s">
        <v>179</v>
      </c>
      <c r="B762" s="8" t="str">
        <f>IFERROR(__xludf.DUMMYFUNCTION("REGEXREPLACE(A762, ""[^0-9a-zA-Z .'Ã]"","""")"),"Tim Burton")</f>
        <v>Tim Burton</v>
      </c>
      <c r="C762" s="26">
        <v>451.0</v>
      </c>
      <c r="D762" s="27">
        <v>3.34185206E8</v>
      </c>
      <c r="E762" s="26" t="s">
        <v>1252</v>
      </c>
      <c r="F762" s="9">
        <f t="shared" si="1"/>
        <v>3</v>
      </c>
      <c r="G762" s="26" t="s">
        <v>85</v>
      </c>
      <c r="H762" s="11" t="str">
        <f>IFERROR(__xludf.DUMMYFUNCTION("REGEXREPLACE(G762, ""[^0-9a-zA-Z .'Ã]"","""")"),"Johnny Depp")</f>
        <v>Johnny Depp</v>
      </c>
      <c r="I762" s="28" t="s">
        <v>2915</v>
      </c>
      <c r="J762" s="26">
        <v>306320.0</v>
      </c>
      <c r="K762" s="26" t="s">
        <v>2916</v>
      </c>
      <c r="L762" s="26">
        <v>736.0</v>
      </c>
      <c r="M762" s="26" t="s">
        <v>24</v>
      </c>
      <c r="N762" s="26" t="s">
        <v>25</v>
      </c>
      <c r="O762" s="27">
        <v>2.0E8</v>
      </c>
      <c r="P762" s="10">
        <f t="shared" si="2"/>
        <v>134185206</v>
      </c>
      <c r="Q762" s="12">
        <f t="shared" si="3"/>
        <v>0</v>
      </c>
      <c r="R762" s="26">
        <v>2010.0</v>
      </c>
      <c r="S762" s="26">
        <v>6.5</v>
      </c>
    </row>
    <row r="763" ht="15.75" customHeight="1">
      <c r="A763" s="21" t="s">
        <v>2917</v>
      </c>
      <c r="B763" s="8" t="str">
        <f>IFERROR(__xludf.DUMMYFUNCTION("REGEXREPLACE(A763, ""[^0-9a-zA-Z .'Ã]"","""")"),"Anna Muylaert")</f>
        <v>Anna Muylaert</v>
      </c>
      <c r="C763" s="22">
        <v>111.0</v>
      </c>
      <c r="D763" s="23">
        <v>375723.0</v>
      </c>
      <c r="E763" s="22" t="s">
        <v>454</v>
      </c>
      <c r="F763" s="9">
        <f t="shared" si="1"/>
        <v>2</v>
      </c>
      <c r="G763" s="22" t="s">
        <v>2918</v>
      </c>
      <c r="H763" s="11" t="str">
        <f>IFERROR(__xludf.DUMMYFUNCTION("REGEXREPLACE(G763, ""[^0-9a-zA-Z .'Ã]"","""")"),"Alex Huszar")</f>
        <v>Alex Huszar</v>
      </c>
      <c r="I763" s="24" t="s">
        <v>2919</v>
      </c>
      <c r="J763" s="22">
        <v>7025.0</v>
      </c>
      <c r="K763" s="22" t="s">
        <v>2920</v>
      </c>
      <c r="L763" s="22">
        <v>26.0</v>
      </c>
      <c r="M763" s="22" t="s">
        <v>2921</v>
      </c>
      <c r="N763" s="22" t="s">
        <v>2922</v>
      </c>
      <c r="O763" s="23">
        <v>4000000.0</v>
      </c>
      <c r="P763" s="10">
        <f t="shared" si="2"/>
        <v>0</v>
      </c>
      <c r="Q763" s="12">
        <f t="shared" si="3"/>
        <v>3624277</v>
      </c>
      <c r="R763" s="22">
        <v>2015.0</v>
      </c>
      <c r="S763" s="22">
        <v>7.9</v>
      </c>
    </row>
    <row r="764" ht="15.75" customHeight="1">
      <c r="A764" s="7" t="s">
        <v>189</v>
      </c>
      <c r="B764" s="8" t="str">
        <f>IFERROR(__xludf.DUMMYFUNCTION("REGEXREPLACE(A764, ""[^0-9a-zA-Z .'Ã]"","""")"),"Robert Luketic")</f>
        <v>Robert Luketic</v>
      </c>
      <c r="C764" s="9">
        <v>132.0</v>
      </c>
      <c r="D764" s="10">
        <v>8.2931301E7</v>
      </c>
      <c r="E764" s="9" t="s">
        <v>89</v>
      </c>
      <c r="F764" s="9">
        <f t="shared" si="1"/>
        <v>2</v>
      </c>
      <c r="G764" s="9" t="s">
        <v>2667</v>
      </c>
      <c r="H764" s="11" t="str">
        <f>IFERROR(__xludf.DUMMYFUNCTION("REGEXREPLACE(G764, ""[^0-9a-zA-Z .'Ã]"","""")"),"Adam Scott")</f>
        <v>Adam Scott</v>
      </c>
      <c r="I764" s="11" t="s">
        <v>2923</v>
      </c>
      <c r="J764" s="9">
        <v>43358.0</v>
      </c>
      <c r="K764" s="9" t="s">
        <v>2924</v>
      </c>
      <c r="L764" s="9">
        <v>228.0</v>
      </c>
      <c r="M764" s="9" t="s">
        <v>24</v>
      </c>
      <c r="N764" s="9" t="s">
        <v>173</v>
      </c>
      <c r="O764" s="10">
        <v>6.0E7</v>
      </c>
      <c r="P764" s="10">
        <f t="shared" si="2"/>
        <v>22931301</v>
      </c>
      <c r="Q764" s="12">
        <f t="shared" si="3"/>
        <v>0</v>
      </c>
      <c r="R764" s="9">
        <v>2005.0</v>
      </c>
      <c r="S764" s="9">
        <v>5.5</v>
      </c>
    </row>
    <row r="765" ht="15.75" customHeight="1">
      <c r="A765" s="13" t="s">
        <v>2925</v>
      </c>
      <c r="B765" s="8" t="str">
        <f>IFERROR(__xludf.DUMMYFUNCTION("REGEXREPLACE(A765, ""[^0-9a-zA-Z .'Ã]"","""")"),"Salim Akil")</f>
        <v>Salim Akil</v>
      </c>
      <c r="C765" s="14">
        <v>82.0</v>
      </c>
      <c r="D765" s="15">
        <v>2.4397469E7</v>
      </c>
      <c r="E765" s="14" t="s">
        <v>418</v>
      </c>
      <c r="F765" s="9">
        <f t="shared" si="1"/>
        <v>2</v>
      </c>
      <c r="G765" s="14" t="s">
        <v>2926</v>
      </c>
      <c r="H765" s="11" t="str">
        <f>IFERROR(__xludf.DUMMYFUNCTION("REGEXREPLACE(G765, ""[^0-9a-zA-Z .'Ã]"","""")"),"Omari Hardwick")</f>
        <v>Omari Hardwick</v>
      </c>
      <c r="I765" s="16" t="s">
        <v>2927</v>
      </c>
      <c r="J765" s="14">
        <v>5161.0</v>
      </c>
      <c r="K765" s="14" t="s">
        <v>2928</v>
      </c>
      <c r="L765" s="14">
        <v>48.0</v>
      </c>
      <c r="M765" s="14" t="s">
        <v>24</v>
      </c>
      <c r="N765" s="14" t="s">
        <v>25</v>
      </c>
      <c r="O765" s="15">
        <v>1.7E7</v>
      </c>
      <c r="P765" s="10">
        <f t="shared" si="2"/>
        <v>7397469</v>
      </c>
      <c r="Q765" s="12">
        <f t="shared" si="3"/>
        <v>0</v>
      </c>
      <c r="R765" s="14">
        <v>2012.0</v>
      </c>
      <c r="S765" s="14">
        <v>5.7</v>
      </c>
    </row>
    <row r="766" ht="15.75" customHeight="1">
      <c r="A766" s="17" t="s">
        <v>1652</v>
      </c>
      <c r="B766" s="8" t="str">
        <f>IFERROR(__xludf.DUMMYFUNCTION("REGEXREPLACE(A766, ""[^0-9a-zA-Z .'Ã]"","""")"),"John Carpenter")</f>
        <v>John Carpenter</v>
      </c>
      <c r="C766" s="18">
        <v>172.0</v>
      </c>
      <c r="D766" s="19">
        <v>1.3008928E7</v>
      </c>
      <c r="E766" s="18" t="s">
        <v>1017</v>
      </c>
      <c r="F766" s="9">
        <f t="shared" si="1"/>
        <v>3</v>
      </c>
      <c r="G766" s="18" t="s">
        <v>2929</v>
      </c>
      <c r="H766" s="11" t="str">
        <f>IFERROR(__xludf.DUMMYFUNCTION("REGEXREPLACE(G766, ""[^0-9a-zA-Z .'Ã]"","""")"),"Meg Foster")</f>
        <v>Meg Foster</v>
      </c>
      <c r="I766" s="20" t="s">
        <v>2930</v>
      </c>
      <c r="J766" s="18">
        <v>73501.0</v>
      </c>
      <c r="K766" s="18" t="s">
        <v>2931</v>
      </c>
      <c r="L766" s="18">
        <v>333.0</v>
      </c>
      <c r="M766" s="18" t="s">
        <v>24</v>
      </c>
      <c r="N766" s="18" t="s">
        <v>25</v>
      </c>
      <c r="O766" s="19">
        <v>4000000.0</v>
      </c>
      <c r="P766" s="10">
        <f t="shared" si="2"/>
        <v>9008928</v>
      </c>
      <c r="Q766" s="12">
        <f t="shared" si="3"/>
        <v>0</v>
      </c>
      <c r="R766" s="18">
        <v>1988.0</v>
      </c>
      <c r="S766" s="18">
        <v>7.3</v>
      </c>
    </row>
    <row r="767" ht="15.75" customHeight="1">
      <c r="A767" s="25" t="s">
        <v>2172</v>
      </c>
      <c r="B767" s="8" t="str">
        <f>IFERROR(__xludf.DUMMYFUNCTION("REGEXREPLACE(A767, ""[^0-9a-zA-Z .'Ã]"","""")"),"Richard Kelly")</f>
        <v>Richard Kelly</v>
      </c>
      <c r="C767" s="26">
        <v>173.0</v>
      </c>
      <c r="D767" s="27">
        <v>273420.0</v>
      </c>
      <c r="E767" s="26" t="s">
        <v>2932</v>
      </c>
      <c r="F767" s="9">
        <f t="shared" si="1"/>
        <v>4</v>
      </c>
      <c r="G767" s="26" t="s">
        <v>2572</v>
      </c>
      <c r="H767" s="11" t="str">
        <f>IFERROR(__xludf.DUMMYFUNCTION("REGEXREPLACE(G767, ""[^0-9a-zA-Z .'Ã]"","""")"),"Janeane Garofalo")</f>
        <v>Janeane Garofalo</v>
      </c>
      <c r="I767" s="28" t="s">
        <v>2933</v>
      </c>
      <c r="J767" s="26">
        <v>32671.0</v>
      </c>
      <c r="K767" s="26" t="s">
        <v>2934</v>
      </c>
      <c r="L767" s="26">
        <v>238.0</v>
      </c>
      <c r="M767" s="26" t="s">
        <v>24</v>
      </c>
      <c r="N767" s="26" t="s">
        <v>608</v>
      </c>
      <c r="O767" s="27">
        <v>1.7E7</v>
      </c>
      <c r="P767" s="10">
        <f t="shared" si="2"/>
        <v>0</v>
      </c>
      <c r="Q767" s="12">
        <f t="shared" si="3"/>
        <v>16726580</v>
      </c>
      <c r="R767" s="26">
        <v>2006.0</v>
      </c>
      <c r="S767" s="26">
        <v>5.5</v>
      </c>
    </row>
    <row r="768" ht="15.75" customHeight="1">
      <c r="A768" s="7" t="s">
        <v>2935</v>
      </c>
      <c r="B768" s="8" t="str">
        <f>IFERROR(__xludf.DUMMYFUNCTION("REGEXREPLACE(A768, ""[^0-9a-zA-Z .'Ã]"","""")"),"Billy Bob Thornton")</f>
        <v>Billy Bob Thornton</v>
      </c>
      <c r="C768" s="9">
        <v>104.0</v>
      </c>
      <c r="D768" s="10">
        <v>2.4475416E7</v>
      </c>
      <c r="E768" s="9" t="s">
        <v>103</v>
      </c>
      <c r="F768" s="9">
        <f t="shared" si="1"/>
        <v>1</v>
      </c>
      <c r="G768" s="9" t="s">
        <v>410</v>
      </c>
      <c r="H768" s="11" t="str">
        <f>IFERROR(__xludf.DUMMYFUNCTION("REGEXREPLACE(G768, ""[^0-9a-zA-Z .'Ã]"","""")"),"Robert Duvall")</f>
        <v>Robert Duvall</v>
      </c>
      <c r="I768" s="11" t="s">
        <v>2936</v>
      </c>
      <c r="J768" s="9">
        <v>72443.0</v>
      </c>
      <c r="K768" s="9" t="s">
        <v>2937</v>
      </c>
      <c r="L768" s="9">
        <v>309.0</v>
      </c>
      <c r="M768" s="9" t="s">
        <v>24</v>
      </c>
      <c r="N768" s="9" t="s">
        <v>25</v>
      </c>
      <c r="O768" s="10">
        <v>890000.0</v>
      </c>
      <c r="P768" s="10">
        <f t="shared" si="2"/>
        <v>23585416</v>
      </c>
      <c r="Q768" s="12">
        <f t="shared" si="3"/>
        <v>0</v>
      </c>
      <c r="R768" s="9">
        <v>1996.0</v>
      </c>
      <c r="S768" s="9">
        <v>8.0</v>
      </c>
    </row>
    <row r="769" ht="15.75" customHeight="1">
      <c r="A769" s="21" t="s">
        <v>83</v>
      </c>
      <c r="B769" s="8" t="str">
        <f>IFERROR(__xludf.DUMMYFUNCTION("REGEXREPLACE(A769, ""[^0-9a-zA-Z .'Ã]"","""")"),"Florian Henckel von Donnersmarck")</f>
        <v>Florian Henckel von Donnersmarck</v>
      </c>
      <c r="C769" s="22">
        <v>215.0</v>
      </c>
      <c r="D769" s="23">
        <v>1.1284657E7</v>
      </c>
      <c r="E769" s="22" t="s">
        <v>369</v>
      </c>
      <c r="F769" s="9">
        <f t="shared" si="1"/>
        <v>2</v>
      </c>
      <c r="G769" s="22" t="s">
        <v>740</v>
      </c>
      <c r="H769" s="11" t="str">
        <f>IFERROR(__xludf.DUMMYFUNCTION("REGEXREPLACE(G769, ""[^0-9a-zA-Z .'Ã]"","""")"),"Sebastian Koch")</f>
        <v>Sebastian Koch</v>
      </c>
      <c r="I769" s="24" t="s">
        <v>2938</v>
      </c>
      <c r="J769" s="22">
        <v>259379.0</v>
      </c>
      <c r="K769" s="22" t="s">
        <v>2939</v>
      </c>
      <c r="L769" s="22">
        <v>407.0</v>
      </c>
      <c r="M769" s="22" t="s">
        <v>1042</v>
      </c>
      <c r="N769" s="22" t="s">
        <v>173</v>
      </c>
      <c r="O769" s="23">
        <v>2000000.0</v>
      </c>
      <c r="P769" s="10">
        <f t="shared" si="2"/>
        <v>9284657</v>
      </c>
      <c r="Q769" s="12">
        <f t="shared" si="3"/>
        <v>0</v>
      </c>
      <c r="R769" s="22">
        <v>2006.0</v>
      </c>
      <c r="S769" s="22">
        <v>8.5</v>
      </c>
    </row>
    <row r="770" ht="15.75" customHeight="1">
      <c r="A770" s="7" t="s">
        <v>2940</v>
      </c>
      <c r="B770" s="8" t="str">
        <f>IFERROR(__xludf.DUMMYFUNCTION("REGEXREPLACE(A770, ""[^0-9a-zA-Z .'Ã]"","""")"),"Hunter Richards")</f>
        <v>Hunter Richards</v>
      </c>
      <c r="C770" s="9">
        <v>34.0</v>
      </c>
      <c r="D770" s="10">
        <v>12667.0</v>
      </c>
      <c r="E770" s="9" t="s">
        <v>232</v>
      </c>
      <c r="F770" s="9">
        <f t="shared" si="1"/>
        <v>2</v>
      </c>
      <c r="G770" s="9" t="s">
        <v>815</v>
      </c>
      <c r="H770" s="11" t="str">
        <f>IFERROR(__xludf.DUMMYFUNCTION("REGEXREPLACE(G770, ""[^0-9a-zA-Z .'Ã]"","""")"),"Jason Statham")</f>
        <v>Jason Statham</v>
      </c>
      <c r="I770" s="11" t="s">
        <v>2941</v>
      </c>
      <c r="J770" s="9">
        <v>19336.0</v>
      </c>
      <c r="K770" s="9" t="s">
        <v>2942</v>
      </c>
      <c r="L770" s="9">
        <v>90.0</v>
      </c>
      <c r="M770" s="9" t="s">
        <v>24</v>
      </c>
      <c r="N770" s="9" t="s">
        <v>130</v>
      </c>
      <c r="O770" s="10">
        <v>14000.0</v>
      </c>
      <c r="P770" s="10">
        <f t="shared" si="2"/>
        <v>0</v>
      </c>
      <c r="Q770" s="12">
        <f t="shared" si="3"/>
        <v>1333</v>
      </c>
      <c r="R770" s="9">
        <v>2005.0</v>
      </c>
      <c r="S770" s="9">
        <v>6.6</v>
      </c>
    </row>
    <row r="771" ht="15.75" customHeight="1">
      <c r="A771" s="13" t="s">
        <v>2943</v>
      </c>
      <c r="B771" s="8" t="str">
        <f>IFERROR(__xludf.DUMMYFUNCTION("REGEXREPLACE(A771, ""[^0-9a-zA-Z .'Ã]"","""")"),"Gary Ross")</f>
        <v>Gary Ross</v>
      </c>
      <c r="C771" s="14">
        <v>673.0</v>
      </c>
      <c r="D771" s="15">
        <v>4.07999255E8</v>
      </c>
      <c r="E771" s="14" t="s">
        <v>628</v>
      </c>
      <c r="F771" s="9">
        <f t="shared" si="1"/>
        <v>4</v>
      </c>
      <c r="G771" s="14" t="s">
        <v>1494</v>
      </c>
      <c r="H771" s="11" t="str">
        <f>IFERROR(__xludf.DUMMYFUNCTION("REGEXREPLACE(G771, ""[^0-9a-zA-Z .'Ã]"","""")"),"Jennifer Lawrence")</f>
        <v>Jennifer Lawrence</v>
      </c>
      <c r="I771" s="16" t="s">
        <v>2944</v>
      </c>
      <c r="J771" s="14">
        <v>701607.0</v>
      </c>
      <c r="K771" s="14" t="s">
        <v>2945</v>
      </c>
      <c r="L771" s="14">
        <v>1959.0</v>
      </c>
      <c r="M771" s="14" t="s">
        <v>24</v>
      </c>
      <c r="N771" s="14" t="s">
        <v>25</v>
      </c>
      <c r="O771" s="15">
        <v>7.8E7</v>
      </c>
      <c r="P771" s="10">
        <f t="shared" si="2"/>
        <v>329999255</v>
      </c>
      <c r="Q771" s="12">
        <f t="shared" si="3"/>
        <v>0</v>
      </c>
      <c r="R771" s="14">
        <v>2012.0</v>
      </c>
      <c r="S771" s="14">
        <v>7.3</v>
      </c>
    </row>
    <row r="772" ht="15.75" customHeight="1">
      <c r="A772" s="17" t="s">
        <v>2312</v>
      </c>
      <c r="B772" s="8" t="str">
        <f>IFERROR(__xludf.DUMMYFUNCTION("REGEXREPLACE(A772, ""[^0-9a-zA-Z .'Ã]"","""")"),"John Singleton")</f>
        <v>John Singleton</v>
      </c>
      <c r="C772" s="18">
        <v>12.0</v>
      </c>
      <c r="D772" s="19">
        <v>2.7515786E7</v>
      </c>
      <c r="E772" s="18" t="s">
        <v>232</v>
      </c>
      <c r="F772" s="9">
        <f t="shared" si="1"/>
        <v>2</v>
      </c>
      <c r="G772" s="18" t="s">
        <v>2946</v>
      </c>
      <c r="H772" s="11" t="str">
        <f>IFERROR(__xludf.DUMMYFUNCTION("REGEXREPLACE(G772, ""[^0-9a-zA-Z .'Ã]"","""")"),"Janet Jackson")</f>
        <v>Janet Jackson</v>
      </c>
      <c r="I772" s="20" t="s">
        <v>2947</v>
      </c>
      <c r="J772" s="18">
        <v>8904.0</v>
      </c>
      <c r="K772" s="18" t="s">
        <v>2948</v>
      </c>
      <c r="L772" s="18">
        <v>31.0</v>
      </c>
      <c r="M772" s="18" t="s">
        <v>24</v>
      </c>
      <c r="N772" s="18" t="s">
        <v>25</v>
      </c>
      <c r="O772" s="19">
        <v>1.4E7</v>
      </c>
      <c r="P772" s="10">
        <f t="shared" si="2"/>
        <v>13515786</v>
      </c>
      <c r="Q772" s="12">
        <f t="shared" si="3"/>
        <v>0</v>
      </c>
      <c r="R772" s="18">
        <v>1993.0</v>
      </c>
      <c r="S772" s="18">
        <v>5.9</v>
      </c>
    </row>
    <row r="773" ht="15.75" customHeight="1">
      <c r="A773" s="13" t="s">
        <v>2949</v>
      </c>
      <c r="B773" s="8" t="str">
        <f>IFERROR(__xludf.DUMMYFUNCTION("REGEXREPLACE(A773, ""[^0-9a-zA-Z .'Ã]"","""")"),"Judd Apatow")</f>
        <v>Judd Apatow</v>
      </c>
      <c r="C773" s="14">
        <v>230.0</v>
      </c>
      <c r="D773" s="15">
        <v>5.181419E7</v>
      </c>
      <c r="E773" s="14" t="s">
        <v>454</v>
      </c>
      <c r="F773" s="9">
        <f t="shared" si="1"/>
        <v>2</v>
      </c>
      <c r="G773" s="14" t="s">
        <v>616</v>
      </c>
      <c r="H773" s="11" t="str">
        <f>IFERROR(__xludf.DUMMYFUNCTION("REGEXREPLACE(G773, ""[^0-9a-zA-Z .'Ã]"","""")"),"Adam Sandler")</f>
        <v>Adam Sandler</v>
      </c>
      <c r="I773" s="16" t="s">
        <v>2950</v>
      </c>
      <c r="J773" s="14">
        <v>100837.0</v>
      </c>
      <c r="K773" s="14" t="s">
        <v>2951</v>
      </c>
      <c r="L773" s="14">
        <v>301.0</v>
      </c>
      <c r="M773" s="14" t="s">
        <v>24</v>
      </c>
      <c r="N773" s="14" t="s">
        <v>25</v>
      </c>
      <c r="O773" s="15">
        <v>7.5E7</v>
      </c>
      <c r="P773" s="10">
        <f t="shared" si="2"/>
        <v>0</v>
      </c>
      <c r="Q773" s="12">
        <f t="shared" si="3"/>
        <v>23185810</v>
      </c>
      <c r="R773" s="14">
        <v>2009.0</v>
      </c>
      <c r="S773" s="14">
        <v>6.4</v>
      </c>
    </row>
    <row r="774" ht="15.75" customHeight="1">
      <c r="A774" s="7" t="s">
        <v>2952</v>
      </c>
      <c r="B774" s="8" t="str">
        <f>IFERROR(__xludf.DUMMYFUNCTION("REGEXREPLACE(A774, ""[^0-9a-zA-Z .'Ã]"","""")"),"Rachel Talalay")</f>
        <v>Rachel Talalay</v>
      </c>
      <c r="C774" s="9">
        <v>60.0</v>
      </c>
      <c r="D774" s="10">
        <v>4064333.0</v>
      </c>
      <c r="E774" s="9" t="s">
        <v>1704</v>
      </c>
      <c r="F774" s="9">
        <f t="shared" si="1"/>
        <v>3</v>
      </c>
      <c r="G774" s="9" t="s">
        <v>874</v>
      </c>
      <c r="H774" s="11" t="str">
        <f>IFERROR(__xludf.DUMMYFUNCTION("REGEXREPLACE(G774, ""[^0-9a-zA-Z .'Ã]"","""")"),"Naomi Watts")</f>
        <v>Naomi Watts</v>
      </c>
      <c r="I774" s="11" t="s">
        <v>2953</v>
      </c>
      <c r="J774" s="9">
        <v>24790.0</v>
      </c>
      <c r="K774" s="9" t="s">
        <v>2954</v>
      </c>
      <c r="L774" s="9">
        <v>173.0</v>
      </c>
      <c r="M774" s="9" t="s">
        <v>24</v>
      </c>
      <c r="N774" s="9" t="s">
        <v>25</v>
      </c>
      <c r="O774" s="10">
        <v>2.5E7</v>
      </c>
      <c r="P774" s="10">
        <f t="shared" si="2"/>
        <v>0</v>
      </c>
      <c r="Q774" s="12">
        <f t="shared" si="3"/>
        <v>20935667</v>
      </c>
      <c r="R774" s="9">
        <v>1995.0</v>
      </c>
      <c r="S774" s="9">
        <v>5.2</v>
      </c>
    </row>
    <row r="775" ht="15.75" customHeight="1">
      <c r="A775" s="25" t="s">
        <v>2955</v>
      </c>
      <c r="B775" s="8" t="str">
        <f>IFERROR(__xludf.DUMMYFUNCTION("REGEXREPLACE(A775, ""[^0-9a-zA-Z .'Ã]"","""")"),"Bart Freundlich")</f>
        <v>Bart Freundlich</v>
      </c>
      <c r="C775" s="26">
        <v>54.0</v>
      </c>
      <c r="D775" s="27">
        <v>1.6702864E7</v>
      </c>
      <c r="E775" s="26" t="s">
        <v>440</v>
      </c>
      <c r="F775" s="9">
        <f t="shared" si="1"/>
        <v>2</v>
      </c>
      <c r="G775" s="26" t="s">
        <v>1969</v>
      </c>
      <c r="H775" s="11" t="str">
        <f>IFERROR(__xludf.DUMMYFUNCTION("REGEXREPLACE(G775, ""[^0-9a-zA-Z .'Ã]"","""")"),"Kristen Stewart")</f>
        <v>Kristen Stewart</v>
      </c>
      <c r="I775" s="28" t="s">
        <v>2956</v>
      </c>
      <c r="J775" s="26">
        <v>8023.0</v>
      </c>
      <c r="K775" s="26" t="s">
        <v>2957</v>
      </c>
      <c r="L775" s="26">
        <v>49.0</v>
      </c>
      <c r="M775" s="26" t="s">
        <v>24</v>
      </c>
      <c r="N775" s="26" t="s">
        <v>25</v>
      </c>
      <c r="O775" s="27">
        <v>1.8E7</v>
      </c>
      <c r="P775" s="10">
        <f t="shared" si="2"/>
        <v>0</v>
      </c>
      <c r="Q775" s="12">
        <f t="shared" si="3"/>
        <v>1297136</v>
      </c>
      <c r="R775" s="26">
        <v>2004.0</v>
      </c>
      <c r="S775" s="26">
        <v>5.2</v>
      </c>
    </row>
    <row r="776" ht="15.75" customHeight="1">
      <c r="A776" s="7" t="s">
        <v>2958</v>
      </c>
      <c r="B776" s="8" t="str">
        <f>IFERROR(__xludf.DUMMYFUNCTION("REGEXREPLACE(A776, ""[^0-9a-zA-Z .'Ã]"","""")"),"William Dear")</f>
        <v>William Dear</v>
      </c>
      <c r="C776" s="9">
        <v>41.0</v>
      </c>
      <c r="D776" s="10">
        <v>1089445.0</v>
      </c>
      <c r="E776" s="9" t="s">
        <v>2463</v>
      </c>
      <c r="F776" s="9">
        <f t="shared" si="1"/>
        <v>4</v>
      </c>
      <c r="G776" s="9" t="s">
        <v>806</v>
      </c>
      <c r="H776" s="11" t="str">
        <f>IFERROR(__xludf.DUMMYFUNCTION("REGEXREPLACE(G776, ""[^0-9a-zA-Z .'Ã]"","""")"),"Clifton Collins Jr.")</f>
        <v>Clifton Collins Jr.</v>
      </c>
      <c r="I776" s="11" t="s">
        <v>2959</v>
      </c>
      <c r="J776" s="9">
        <v>2676.0</v>
      </c>
      <c r="K776" s="9" t="s">
        <v>2960</v>
      </c>
      <c r="L776" s="9">
        <v>33.0</v>
      </c>
      <c r="M776" s="9" t="s">
        <v>24</v>
      </c>
      <c r="N776" s="9" t="s">
        <v>624</v>
      </c>
      <c r="O776" s="10">
        <v>1.25E7</v>
      </c>
      <c r="P776" s="10">
        <f t="shared" si="2"/>
        <v>0</v>
      </c>
      <c r="Q776" s="12">
        <f t="shared" si="3"/>
        <v>11410555</v>
      </c>
      <c r="R776" s="9">
        <v>2009.0</v>
      </c>
      <c r="S776" s="9">
        <v>7.0</v>
      </c>
    </row>
    <row r="777" ht="15.75" customHeight="1">
      <c r="A777" s="17" t="s">
        <v>2961</v>
      </c>
      <c r="B777" s="8" t="str">
        <f>IFERROR(__xludf.DUMMYFUNCTION("REGEXREPLACE(A777, ""[^0-9a-zA-Z .'Ã]"","""")"),"Joseph Kahn")</f>
        <v>Joseph Kahn</v>
      </c>
      <c r="C777" s="18">
        <v>86.0</v>
      </c>
      <c r="D777" s="19">
        <v>2.1176322E7</v>
      </c>
      <c r="E777" s="18" t="s">
        <v>265</v>
      </c>
      <c r="F777" s="9">
        <f t="shared" si="1"/>
        <v>3</v>
      </c>
      <c r="G777" s="18" t="s">
        <v>2962</v>
      </c>
      <c r="H777" s="11" t="str">
        <f>IFERROR(__xludf.DUMMYFUNCTION("REGEXREPLACE(G777, ""[^0-9a-zA-Z .'Ã]"","""")"),"Dane Cook")</f>
        <v>Dane Cook</v>
      </c>
      <c r="I777" s="20" t="s">
        <v>2963</v>
      </c>
      <c r="J777" s="18">
        <v>23747.0</v>
      </c>
      <c r="K777" s="18" t="s">
        <v>2964</v>
      </c>
      <c r="L777" s="18">
        <v>207.0</v>
      </c>
      <c r="M777" s="18" t="s">
        <v>24</v>
      </c>
      <c r="N777" s="18" t="s">
        <v>25</v>
      </c>
      <c r="O777" s="19">
        <v>4.0E7</v>
      </c>
      <c r="P777" s="10">
        <f t="shared" si="2"/>
        <v>0</v>
      </c>
      <c r="Q777" s="12">
        <f t="shared" si="3"/>
        <v>18823678</v>
      </c>
      <c r="R777" s="18">
        <v>2004.0</v>
      </c>
      <c r="S777" s="18">
        <v>4.0</v>
      </c>
    </row>
    <row r="778" ht="15.75" customHeight="1">
      <c r="A778" s="7" t="s">
        <v>1111</v>
      </c>
      <c r="B778" s="8" t="str">
        <f>IFERROR(__xludf.DUMMYFUNCTION("REGEXREPLACE(A778, ""[^0-9a-zA-Z .'Ã]"","""")"),"Jan de Bont")</f>
        <v>Jan de Bont</v>
      </c>
      <c r="C778" s="9">
        <v>114.0</v>
      </c>
      <c r="D778" s="10">
        <v>1.21248145E8</v>
      </c>
      <c r="E778" s="9" t="s">
        <v>711</v>
      </c>
      <c r="F778" s="9">
        <f t="shared" si="1"/>
        <v>4</v>
      </c>
      <c r="G778" s="9" t="s">
        <v>1170</v>
      </c>
      <c r="H778" s="11" t="str">
        <f>IFERROR(__xludf.DUMMYFUNCTION("REGEXREPLACE(G778, ""[^0-9a-zA-Z .'Ã]"","""")"),"Keanu Reeves")</f>
        <v>Keanu Reeves</v>
      </c>
      <c r="I778" s="11" t="s">
        <v>2965</v>
      </c>
      <c r="J778" s="9">
        <v>260981.0</v>
      </c>
      <c r="K778" s="9" t="s">
        <v>2966</v>
      </c>
      <c r="L778" s="9">
        <v>373.0</v>
      </c>
      <c r="M778" s="9" t="s">
        <v>24</v>
      </c>
      <c r="N778" s="9" t="s">
        <v>25</v>
      </c>
      <c r="O778" s="10">
        <v>2.5E7</v>
      </c>
      <c r="P778" s="10">
        <f t="shared" si="2"/>
        <v>96248145</v>
      </c>
      <c r="Q778" s="12">
        <f t="shared" si="3"/>
        <v>0</v>
      </c>
      <c r="R778" s="9">
        <v>1994.0</v>
      </c>
      <c r="S778" s="9">
        <v>7.2</v>
      </c>
    </row>
    <row r="779" ht="15.75" customHeight="1">
      <c r="A779" s="7" t="s">
        <v>2967</v>
      </c>
      <c r="B779" s="8" t="str">
        <f>IFERROR(__xludf.DUMMYFUNCTION("REGEXREPLACE(A779, ""[^0-9a-zA-Z .'Ã]"","""")"),"Nick Hurran")</f>
        <v>Nick Hurran</v>
      </c>
      <c r="C779" s="9">
        <v>73.0</v>
      </c>
      <c r="D779" s="10">
        <v>2.0422207E7</v>
      </c>
      <c r="E779" s="9" t="s">
        <v>159</v>
      </c>
      <c r="F779" s="9">
        <f t="shared" si="1"/>
        <v>3</v>
      </c>
      <c r="G779" s="9" t="s">
        <v>2968</v>
      </c>
      <c r="H779" s="11" t="str">
        <f>IFERROR(__xludf.DUMMYFUNCTION("REGEXREPLACE(G779, ""[^0-9a-zA-Z .'Ã]"","""")"),"Holly Hunter")</f>
        <v>Holly Hunter</v>
      </c>
      <c r="I779" s="11" t="s">
        <v>2969</v>
      </c>
      <c r="J779" s="9">
        <v>15052.0</v>
      </c>
      <c r="K779" s="9" t="s">
        <v>2970</v>
      </c>
      <c r="L779" s="9">
        <v>116.0</v>
      </c>
      <c r="M779" s="9" t="s">
        <v>24</v>
      </c>
      <c r="N779" s="9" t="s">
        <v>25</v>
      </c>
      <c r="O779" s="10">
        <v>3.5E7</v>
      </c>
      <c r="P779" s="10">
        <f t="shared" si="2"/>
        <v>0</v>
      </c>
      <c r="Q779" s="12">
        <f t="shared" si="3"/>
        <v>14577793</v>
      </c>
      <c r="R779" s="9">
        <v>2004.0</v>
      </c>
      <c r="S779" s="9">
        <v>5.2</v>
      </c>
    </row>
    <row r="780" ht="15.75" customHeight="1">
      <c r="A780" s="7" t="s">
        <v>2971</v>
      </c>
      <c r="B780" s="8" t="str">
        <f>IFERROR(__xludf.DUMMYFUNCTION("REGEXREPLACE(A780, ""[^0-9a-zA-Z .'Ã]"","""")"),"Benson Lee")</f>
        <v>Benson Lee</v>
      </c>
      <c r="C780" s="9">
        <v>65.0</v>
      </c>
      <c r="D780" s="10">
        <v>8888355.0</v>
      </c>
      <c r="E780" s="9" t="s">
        <v>418</v>
      </c>
      <c r="F780" s="9">
        <f t="shared" si="1"/>
        <v>2</v>
      </c>
      <c r="G780" s="9" t="s">
        <v>921</v>
      </c>
      <c r="H780" s="11" t="str">
        <f>IFERROR(__xludf.DUMMYFUNCTION("REGEXREPLACE(G780, ""[^0-9a-zA-Z .'Ã]"","""")"),"Chris Brown")</f>
        <v>Chris Brown</v>
      </c>
      <c r="I780" s="11" t="s">
        <v>2972</v>
      </c>
      <c r="J780" s="9">
        <v>7894.0</v>
      </c>
      <c r="K780" s="9" t="s">
        <v>2973</v>
      </c>
      <c r="L780" s="9">
        <v>25.0</v>
      </c>
      <c r="M780" s="9" t="s">
        <v>24</v>
      </c>
      <c r="N780" s="9" t="s">
        <v>25</v>
      </c>
      <c r="O780" s="10">
        <v>2.0E7</v>
      </c>
      <c r="P780" s="10">
        <f t="shared" si="2"/>
        <v>0</v>
      </c>
      <c r="Q780" s="12">
        <f t="shared" si="3"/>
        <v>11111645</v>
      </c>
      <c r="R780" s="9">
        <v>2013.0</v>
      </c>
      <c r="S780" s="9">
        <v>5.0</v>
      </c>
    </row>
    <row r="781" ht="15.75" customHeight="1">
      <c r="A781" s="21" t="s">
        <v>2974</v>
      </c>
      <c r="B781" s="8" t="str">
        <f>IFERROR(__xludf.DUMMYFUNCTION("REGEXREPLACE(A781, ""[^0-9a-zA-Z .'Ã]"","""")"),"Peter Landesman")</f>
        <v>Peter Landesman</v>
      </c>
      <c r="C781" s="22">
        <v>219.0</v>
      </c>
      <c r="D781" s="23">
        <v>3.4531832E7</v>
      </c>
      <c r="E781" s="22" t="s">
        <v>1124</v>
      </c>
      <c r="F781" s="9">
        <f t="shared" si="1"/>
        <v>3</v>
      </c>
      <c r="G781" s="22" t="s">
        <v>2717</v>
      </c>
      <c r="H781" s="11" t="str">
        <f>IFERROR(__xludf.DUMMYFUNCTION("REGEXREPLACE(G781, ""[^0-9a-zA-Z .'Ã]"","""")"),"Will Smith")</f>
        <v>Will Smith</v>
      </c>
      <c r="I781" s="24" t="s">
        <v>2975</v>
      </c>
      <c r="J781" s="22">
        <v>44788.0</v>
      </c>
      <c r="K781" s="22" t="s">
        <v>2976</v>
      </c>
      <c r="L781" s="22">
        <v>138.0</v>
      </c>
      <c r="M781" s="22" t="s">
        <v>24</v>
      </c>
      <c r="N781" s="22" t="s">
        <v>130</v>
      </c>
      <c r="O781" s="23">
        <v>3.5E7</v>
      </c>
      <c r="P781" s="10">
        <f t="shared" si="2"/>
        <v>0</v>
      </c>
      <c r="Q781" s="12">
        <f t="shared" si="3"/>
        <v>468168</v>
      </c>
      <c r="R781" s="22">
        <v>2015.0</v>
      </c>
      <c r="S781" s="22">
        <v>7.1</v>
      </c>
    </row>
    <row r="782" ht="15.75" customHeight="1">
      <c r="A782" s="7" t="s">
        <v>2977</v>
      </c>
      <c r="B782" s="8" t="str">
        <f>IFERROR(__xludf.DUMMYFUNCTION("REGEXREPLACE(A782, ""[^0-9a-zA-Z .'Ã]"","""")"),"Iain Softley")</f>
        <v>Iain Softley</v>
      </c>
      <c r="C782" s="9">
        <v>140.0</v>
      </c>
      <c r="D782" s="10">
        <v>5.017319E7</v>
      </c>
      <c r="E782" s="9" t="s">
        <v>2978</v>
      </c>
      <c r="F782" s="9">
        <f t="shared" si="1"/>
        <v>3</v>
      </c>
      <c r="G782" s="9" t="s">
        <v>483</v>
      </c>
      <c r="H782" s="11" t="str">
        <f>IFERROR(__xludf.DUMMYFUNCTION("REGEXREPLACE(G782, ""[^0-9a-zA-Z .'Ã]"","""")"),"Kevin Spacey")</f>
        <v>Kevin Spacey</v>
      </c>
      <c r="I782" s="11" t="s">
        <v>2979</v>
      </c>
      <c r="J782" s="9">
        <v>148490.0</v>
      </c>
      <c r="K782" s="9" t="s">
        <v>2980</v>
      </c>
      <c r="L782" s="9">
        <v>537.0</v>
      </c>
      <c r="M782" s="9" t="s">
        <v>24</v>
      </c>
      <c r="N782" s="9" t="s">
        <v>25</v>
      </c>
      <c r="O782" s="10">
        <v>4.8E7</v>
      </c>
      <c r="P782" s="10">
        <f t="shared" si="2"/>
        <v>2173190</v>
      </c>
      <c r="Q782" s="12">
        <f t="shared" si="3"/>
        <v>0</v>
      </c>
      <c r="R782" s="9">
        <v>2001.0</v>
      </c>
      <c r="S782" s="9">
        <v>7.4</v>
      </c>
    </row>
    <row r="783" ht="15.75" customHeight="1">
      <c r="A783" s="25" t="s">
        <v>2981</v>
      </c>
      <c r="B783" s="8" t="str">
        <f>IFERROR(__xludf.DUMMYFUNCTION("REGEXREPLACE(A783, ""[^0-9a-zA-Z .'Ã]"","""")"),"Bruce Hunt")</f>
        <v>Bruce Hunt</v>
      </c>
      <c r="C783" s="26">
        <v>140.0</v>
      </c>
      <c r="D783" s="27">
        <v>1.4888028E7</v>
      </c>
      <c r="E783" s="26" t="s">
        <v>2036</v>
      </c>
      <c r="F783" s="9">
        <f t="shared" si="1"/>
        <v>3</v>
      </c>
      <c r="G783" s="26" t="s">
        <v>122</v>
      </c>
      <c r="H783" s="11" t="str">
        <f>IFERROR(__xludf.DUMMYFUNCTION("REGEXREPLACE(G783, ""[^0-9a-zA-Z .'Ã]"","""")"),"Eddie Cibrian")</f>
        <v>Eddie Cibrian</v>
      </c>
      <c r="I783" s="28" t="s">
        <v>2982</v>
      </c>
      <c r="J783" s="26">
        <v>28606.0</v>
      </c>
      <c r="K783" s="26" t="s">
        <v>2983</v>
      </c>
      <c r="L783" s="26">
        <v>262.0</v>
      </c>
      <c r="M783" s="26" t="s">
        <v>24</v>
      </c>
      <c r="N783" s="26" t="s">
        <v>25</v>
      </c>
      <c r="O783" s="27">
        <v>3.0E7</v>
      </c>
      <c r="P783" s="10">
        <f t="shared" si="2"/>
        <v>0</v>
      </c>
      <c r="Q783" s="12">
        <f t="shared" si="3"/>
        <v>15111972</v>
      </c>
      <c r="R783" s="26">
        <v>2005.0</v>
      </c>
      <c r="S783" s="26">
        <v>5.1</v>
      </c>
    </row>
    <row r="784" ht="15.75" customHeight="1">
      <c r="A784" s="17" t="s">
        <v>2984</v>
      </c>
      <c r="B784" s="8" t="str">
        <f>IFERROR(__xludf.DUMMYFUNCTION("REGEXREPLACE(A784, ""[^0-9a-zA-Z .'Ã]"","""")"),"David Mamet")</f>
        <v>David Mamet</v>
      </c>
      <c r="C784" s="18">
        <v>158.0</v>
      </c>
      <c r="D784" s="19">
        <v>2344847.0</v>
      </c>
      <c r="E784" s="18" t="s">
        <v>132</v>
      </c>
      <c r="F784" s="9">
        <f t="shared" si="1"/>
        <v>2</v>
      </c>
      <c r="G784" s="18" t="s">
        <v>2985</v>
      </c>
      <c r="H784" s="11" t="str">
        <f>IFERROR(__xludf.DUMMYFUNCTION("REGEXREPLACE(G784, ""[^0-9a-zA-Z .'Ã]"","""")"),"Alice Braga")</f>
        <v>Alice Braga</v>
      </c>
      <c r="I784" s="20" t="s">
        <v>2986</v>
      </c>
      <c r="J784" s="18">
        <v>18561.0</v>
      </c>
      <c r="K784" s="18" t="s">
        <v>2987</v>
      </c>
      <c r="L784" s="18">
        <v>119.0</v>
      </c>
      <c r="M784" s="18" t="s">
        <v>24</v>
      </c>
      <c r="N784" s="18" t="s">
        <v>25</v>
      </c>
      <c r="O784" s="19">
        <v>7000000.0</v>
      </c>
      <c r="P784" s="10">
        <f t="shared" si="2"/>
        <v>0</v>
      </c>
      <c r="Q784" s="12">
        <f t="shared" si="3"/>
        <v>4655153</v>
      </c>
      <c r="R784" s="18">
        <v>2008.0</v>
      </c>
      <c r="S784" s="18">
        <v>6.8</v>
      </c>
    </row>
    <row r="785" ht="15.75" customHeight="1">
      <c r="A785" s="17" t="s">
        <v>959</v>
      </c>
      <c r="B785" s="8" t="str">
        <f>IFERROR(__xludf.DUMMYFUNCTION("REGEXREPLACE(A785, ""[^0-9a-zA-Z .'Ã]"","""")"),"Oliver Stone")</f>
        <v>Oliver Stone</v>
      </c>
      <c r="C785" s="18">
        <v>248.0</v>
      </c>
      <c r="D785" s="19">
        <v>3.4293771E7</v>
      </c>
      <c r="E785" s="18" t="s">
        <v>2988</v>
      </c>
      <c r="F785" s="9">
        <f t="shared" si="1"/>
        <v>7</v>
      </c>
      <c r="G785" s="18" t="s">
        <v>237</v>
      </c>
      <c r="H785" s="11" t="str">
        <f>IFERROR(__xludf.DUMMYFUNCTION("REGEXREPLACE(G785, ""[^0-9a-zA-Z .'Ã]"","""")"),"Anthony Hopkins")</f>
        <v>Anthony Hopkins</v>
      </c>
      <c r="I785" s="20" t="s">
        <v>2989</v>
      </c>
      <c r="J785" s="18">
        <v>138863.0</v>
      </c>
      <c r="K785" s="18" t="s">
        <v>2990</v>
      </c>
      <c r="L785" s="18">
        <v>1390.0</v>
      </c>
      <c r="M785" s="18" t="s">
        <v>24</v>
      </c>
      <c r="N785" s="18" t="s">
        <v>173</v>
      </c>
      <c r="O785" s="19">
        <v>1.55E8</v>
      </c>
      <c r="P785" s="10">
        <f t="shared" si="2"/>
        <v>0</v>
      </c>
      <c r="Q785" s="12">
        <f t="shared" si="3"/>
        <v>120706229</v>
      </c>
      <c r="R785" s="18">
        <v>2004.0</v>
      </c>
      <c r="S785" s="18">
        <v>5.5</v>
      </c>
    </row>
    <row r="786" ht="15.75" customHeight="1">
      <c r="A786" s="7" t="s">
        <v>1395</v>
      </c>
      <c r="B786" s="8" t="str">
        <f>IFERROR(__xludf.DUMMYFUNCTION("REGEXREPLACE(A786, ""[^0-9a-zA-Z .'Ã]"","""")"),"Trey Parker")</f>
        <v>Trey Parker</v>
      </c>
      <c r="C786" s="9">
        <v>233.0</v>
      </c>
      <c r="D786" s="10">
        <v>3.2774834E7</v>
      </c>
      <c r="E786" s="9" t="s">
        <v>968</v>
      </c>
      <c r="F786" s="9">
        <f t="shared" si="1"/>
        <v>2</v>
      </c>
      <c r="G786" s="9" t="s">
        <v>2991</v>
      </c>
      <c r="H786" s="11" t="str">
        <f>IFERROR(__xludf.DUMMYFUNCTION("REGEXREPLACE(G786, ""[^0-9a-zA-Z .'Ã]"","""")"),"Jeremy Shada")</f>
        <v>Jeremy Shada</v>
      </c>
      <c r="I786" s="11" t="s">
        <v>2992</v>
      </c>
      <c r="J786" s="9">
        <v>136048.0</v>
      </c>
      <c r="K786" s="9" t="s">
        <v>2993</v>
      </c>
      <c r="L786" s="9">
        <v>700.0</v>
      </c>
      <c r="M786" s="9" t="s">
        <v>24</v>
      </c>
      <c r="N786" s="9" t="s">
        <v>25</v>
      </c>
      <c r="O786" s="10">
        <v>3.0E7</v>
      </c>
      <c r="P786" s="10">
        <f t="shared" si="2"/>
        <v>2774834</v>
      </c>
      <c r="Q786" s="12">
        <f t="shared" si="3"/>
        <v>0</v>
      </c>
      <c r="R786" s="9">
        <v>2004.0</v>
      </c>
      <c r="S786" s="9">
        <v>7.2</v>
      </c>
    </row>
    <row r="787" ht="15.75" customHeight="1">
      <c r="A787" s="7" t="s">
        <v>2994</v>
      </c>
      <c r="B787" s="8" t="str">
        <f>IFERROR(__xludf.DUMMYFUNCTION("REGEXREPLACE(A787, ""[^0-9a-zA-Z .'Ã]"","""")"),"Kevin Rodney Sullivan")</f>
        <v>Kevin Rodney Sullivan</v>
      </c>
      <c r="C787" s="9">
        <v>104.0</v>
      </c>
      <c r="D787" s="10">
        <v>6.7962333E7</v>
      </c>
      <c r="E787" s="9" t="s">
        <v>89</v>
      </c>
      <c r="F787" s="9">
        <f t="shared" si="1"/>
        <v>2</v>
      </c>
      <c r="G787" s="9" t="s">
        <v>195</v>
      </c>
      <c r="H787" s="11" t="str">
        <f>IFERROR(__xludf.DUMMYFUNCTION("REGEXREPLACE(G787, ""[^0-9a-zA-Z .'Ã]"","""")"),"Bernie Mac")</f>
        <v>Bernie Mac</v>
      </c>
      <c r="I787" s="11" t="s">
        <v>2995</v>
      </c>
      <c r="J787" s="9">
        <v>33887.0</v>
      </c>
      <c r="K787" s="9" t="s">
        <v>2996</v>
      </c>
      <c r="L787" s="9">
        <v>160.0</v>
      </c>
      <c r="M787" s="9" t="s">
        <v>24</v>
      </c>
      <c r="N787" s="9" t="s">
        <v>25</v>
      </c>
      <c r="O787" s="10">
        <v>3.5E7</v>
      </c>
      <c r="P787" s="10">
        <f t="shared" si="2"/>
        <v>32962333</v>
      </c>
      <c r="Q787" s="12">
        <f t="shared" si="3"/>
        <v>0</v>
      </c>
      <c r="R787" s="9">
        <v>2005.0</v>
      </c>
      <c r="S787" s="9">
        <v>5.9</v>
      </c>
    </row>
    <row r="788" ht="15.75" customHeight="1">
      <c r="A788" s="21" t="s">
        <v>2997</v>
      </c>
      <c r="B788" s="8" t="str">
        <f>IFERROR(__xludf.DUMMYFUNCTION("REGEXREPLACE(A788, ""[^0-9a-zA-Z .'Ã]"","""")"),"Chris Columbus")</f>
        <v>Chris Columbus</v>
      </c>
      <c r="C788" s="22">
        <v>102.0</v>
      </c>
      <c r="D788" s="23">
        <v>2.85761243E8</v>
      </c>
      <c r="E788" s="22" t="s">
        <v>857</v>
      </c>
      <c r="F788" s="9">
        <f t="shared" si="1"/>
        <v>2</v>
      </c>
      <c r="G788" s="22" t="s">
        <v>2080</v>
      </c>
      <c r="H788" s="11" t="str">
        <f>IFERROR(__xludf.DUMMYFUNCTION("REGEXREPLACE(G788, ""[^0-9a-zA-Z .'Ã]"","""")"),"Macaulay Culkin")</f>
        <v>Macaulay Culkin</v>
      </c>
      <c r="I788" s="24" t="s">
        <v>2998</v>
      </c>
      <c r="J788" s="22">
        <v>311075.0</v>
      </c>
      <c r="K788" s="22" t="s">
        <v>2999</v>
      </c>
      <c r="L788" s="22">
        <v>305.0</v>
      </c>
      <c r="M788" s="22" t="s">
        <v>24</v>
      </c>
      <c r="N788" s="22" t="s">
        <v>25</v>
      </c>
      <c r="O788" s="23">
        <v>1.8E7</v>
      </c>
      <c r="P788" s="10">
        <f t="shared" si="2"/>
        <v>267761243</v>
      </c>
      <c r="Q788" s="12">
        <f t="shared" si="3"/>
        <v>0</v>
      </c>
      <c r="R788" s="22">
        <v>1990.0</v>
      </c>
      <c r="S788" s="22">
        <v>7.5</v>
      </c>
    </row>
    <row r="789" ht="15.75" customHeight="1">
      <c r="A789" s="7" t="s">
        <v>3000</v>
      </c>
      <c r="B789" s="8" t="str">
        <f>IFERROR(__xludf.DUMMYFUNCTION("REGEXREPLACE(A789, ""[^0-9a-zA-Z .'Ã]"","""")"),"Mary Lambert")</f>
        <v>Mary Lambert</v>
      </c>
      <c r="C789" s="9">
        <v>98.0</v>
      </c>
      <c r="D789" s="10">
        <v>5.7469179E7</v>
      </c>
      <c r="E789" s="9" t="s">
        <v>1235</v>
      </c>
      <c r="F789" s="9">
        <f t="shared" si="1"/>
        <v>2</v>
      </c>
      <c r="G789" s="9" t="s">
        <v>3001</v>
      </c>
      <c r="H789" s="11" t="str">
        <f>IFERROR(__xludf.DUMMYFUNCTION("REGEXREPLACE(G789, ""[^0-9a-zA-Z .'Ã]"","""")"),"Miko Hughes")</f>
        <v>Miko Hughes</v>
      </c>
      <c r="I789" s="11" t="s">
        <v>3002</v>
      </c>
      <c r="J789" s="9">
        <v>63855.0</v>
      </c>
      <c r="K789" s="9" t="s">
        <v>3003</v>
      </c>
      <c r="L789" s="9">
        <v>248.0</v>
      </c>
      <c r="M789" s="9" t="s">
        <v>24</v>
      </c>
      <c r="N789" s="9" t="s">
        <v>25</v>
      </c>
      <c r="O789" s="10">
        <v>1.15E7</v>
      </c>
      <c r="P789" s="10">
        <f t="shared" si="2"/>
        <v>45969179</v>
      </c>
      <c r="Q789" s="12">
        <f t="shared" si="3"/>
        <v>0</v>
      </c>
      <c r="R789" s="9">
        <v>1989.0</v>
      </c>
      <c r="S789" s="9">
        <v>6.6</v>
      </c>
    </row>
    <row r="790" ht="15.75" customHeight="1">
      <c r="A790" s="25" t="s">
        <v>473</v>
      </c>
      <c r="B790" s="8" t="str">
        <f>IFERROR(__xludf.DUMMYFUNCTION("REGEXREPLACE(A790, ""[^0-9a-zA-Z .'Ã]"","""")"),"John McTiernan")</f>
        <v>John McTiernan</v>
      </c>
      <c r="C790" s="26">
        <v>80.0</v>
      </c>
      <c r="D790" s="27">
        <v>5.0016394E7</v>
      </c>
      <c r="E790" s="26" t="s">
        <v>142</v>
      </c>
      <c r="F790" s="9">
        <f t="shared" si="1"/>
        <v>4</v>
      </c>
      <c r="G790" s="26" t="s">
        <v>1239</v>
      </c>
      <c r="H790" s="11" t="str">
        <f>IFERROR(__xludf.DUMMYFUNCTION("REGEXREPLACE(G790, ""[^0-9a-zA-Z .'Ã]"","""")"),"F. Murray Abraham")</f>
        <v>F. Murray Abraham</v>
      </c>
      <c r="I790" s="28" t="s">
        <v>3004</v>
      </c>
      <c r="J790" s="26">
        <v>106528.0</v>
      </c>
      <c r="K790" s="26" t="s">
        <v>3005</v>
      </c>
      <c r="L790" s="26">
        <v>257.0</v>
      </c>
      <c r="M790" s="26" t="s">
        <v>24</v>
      </c>
      <c r="N790" s="26" t="s">
        <v>25</v>
      </c>
      <c r="O790" s="27">
        <v>7.0E7</v>
      </c>
      <c r="P790" s="10">
        <f t="shared" si="2"/>
        <v>0</v>
      </c>
      <c r="Q790" s="12">
        <f t="shared" si="3"/>
        <v>19983606</v>
      </c>
      <c r="R790" s="26">
        <v>1993.0</v>
      </c>
      <c r="S790" s="26">
        <v>6.2</v>
      </c>
    </row>
    <row r="791" ht="15.75" customHeight="1">
      <c r="A791" s="7" t="s">
        <v>3006</v>
      </c>
      <c r="B791" s="8" t="str">
        <f>IFERROR(__xludf.DUMMYFUNCTION("REGEXREPLACE(A791, ""[^0-9a-zA-Z .'Ã]"","""")"),"John Eng")</f>
        <v>John Eng</v>
      </c>
      <c r="C791" s="9">
        <v>45.0</v>
      </c>
      <c r="D791" s="10">
        <v>3.939975E7</v>
      </c>
      <c r="E791" s="9" t="s">
        <v>3007</v>
      </c>
      <c r="F791" s="9">
        <f t="shared" si="1"/>
        <v>6</v>
      </c>
      <c r="G791" s="9" t="s">
        <v>3008</v>
      </c>
      <c r="H791" s="11" t="str">
        <f>IFERROR(__xludf.DUMMYFUNCTION("REGEXREPLACE(G791, ""[^0-9a-zA-Z .'Ã]"","""")"),"Elizabeth Daily")</f>
        <v>Elizabeth Daily</v>
      </c>
      <c r="I791" s="11" t="s">
        <v>3009</v>
      </c>
      <c r="J791" s="9">
        <v>5674.0</v>
      </c>
      <c r="K791" s="9" t="s">
        <v>3010</v>
      </c>
      <c r="L791" s="9">
        <v>35.0</v>
      </c>
      <c r="M791" s="9" t="s">
        <v>24</v>
      </c>
      <c r="N791" s="9" t="s">
        <v>25</v>
      </c>
      <c r="O791" s="10">
        <v>2.5E7</v>
      </c>
      <c r="P791" s="10">
        <f t="shared" si="2"/>
        <v>14399750</v>
      </c>
      <c r="Q791" s="12">
        <f t="shared" si="3"/>
        <v>0</v>
      </c>
      <c r="R791" s="9">
        <v>2003.0</v>
      </c>
      <c r="S791" s="9">
        <v>5.6</v>
      </c>
    </row>
    <row r="792" ht="15.75" customHeight="1">
      <c r="A792" s="21" t="s">
        <v>1346</v>
      </c>
      <c r="B792" s="8" t="str">
        <f>IFERROR(__xludf.DUMMYFUNCTION("REGEXREPLACE(A792, ""[^0-9a-zA-Z .'Ã]"","""")"),"Sam Raimi")</f>
        <v>Sam Raimi</v>
      </c>
      <c r="C792" s="22">
        <v>252.0</v>
      </c>
      <c r="D792" s="23">
        <v>5923044.0</v>
      </c>
      <c r="E792" s="22" t="s">
        <v>2328</v>
      </c>
      <c r="F792" s="9">
        <f t="shared" si="1"/>
        <v>4</v>
      </c>
      <c r="G792" s="22" t="s">
        <v>1520</v>
      </c>
      <c r="H792" s="11" t="str">
        <f>IFERROR(__xludf.DUMMYFUNCTION("REGEXREPLACE(G792, ""[^0-9a-zA-Z .'Ã]"","""")"),"Ted Raimi")</f>
        <v>Ted Raimi</v>
      </c>
      <c r="I792" s="24" t="s">
        <v>3011</v>
      </c>
      <c r="J792" s="22">
        <v>113451.0</v>
      </c>
      <c r="K792" s="22" t="s">
        <v>3012</v>
      </c>
      <c r="L792" s="22">
        <v>537.0</v>
      </c>
      <c r="M792" s="22" t="s">
        <v>24</v>
      </c>
      <c r="N792" s="22" t="s">
        <v>25</v>
      </c>
      <c r="O792" s="23">
        <v>3600000.0</v>
      </c>
      <c r="P792" s="10">
        <f t="shared" si="2"/>
        <v>2323044</v>
      </c>
      <c r="Q792" s="12">
        <f t="shared" si="3"/>
        <v>0</v>
      </c>
      <c r="R792" s="22">
        <v>1987.0</v>
      </c>
      <c r="S792" s="22">
        <v>7.8</v>
      </c>
    </row>
    <row r="793" ht="15.75" customHeight="1">
      <c r="A793" s="21" t="s">
        <v>3013</v>
      </c>
      <c r="B793" s="8" t="str">
        <f>IFERROR(__xludf.DUMMYFUNCTION("REGEXREPLACE(A793, ""[^0-9a-zA-Z -.'Ã]"","""")"),"Jean-Marc VallÃe")</f>
        <v>Jean-Marc VallÃe</v>
      </c>
      <c r="C793" s="22">
        <v>471.0</v>
      </c>
      <c r="D793" s="23">
        <v>2.7296514E7</v>
      </c>
      <c r="E793" s="22" t="s">
        <v>359</v>
      </c>
      <c r="F793" s="9">
        <f t="shared" si="1"/>
        <v>2</v>
      </c>
      <c r="G793" s="22" t="s">
        <v>80</v>
      </c>
      <c r="H793" s="11" t="str">
        <f>IFERROR(__xludf.DUMMYFUNCTION("REGEXREPLACE(G793, ""[^0-9a-zA-Z .'Ã]"","""")"),"Matthew McConaughey")</f>
        <v>Matthew McConaughey</v>
      </c>
      <c r="I793" s="24" t="s">
        <v>3014</v>
      </c>
      <c r="J793" s="22">
        <v>326494.0</v>
      </c>
      <c r="K793" s="22" t="s">
        <v>3015</v>
      </c>
      <c r="L793" s="22">
        <v>340.0</v>
      </c>
      <c r="M793" s="22" t="s">
        <v>24</v>
      </c>
      <c r="N793" s="22" t="s">
        <v>25</v>
      </c>
      <c r="O793" s="23">
        <v>5000000.0</v>
      </c>
      <c r="P793" s="10">
        <f t="shared" si="2"/>
        <v>22296514</v>
      </c>
      <c r="Q793" s="12">
        <f t="shared" si="3"/>
        <v>0</v>
      </c>
      <c r="R793" s="22">
        <v>2013.0</v>
      </c>
      <c r="S793" s="22">
        <v>8.0</v>
      </c>
    </row>
    <row r="794" ht="15.75" customHeight="1">
      <c r="A794" s="13" t="s">
        <v>3016</v>
      </c>
      <c r="B794" s="8" t="str">
        <f>IFERROR(__xludf.DUMMYFUNCTION("REGEXREPLACE(A794, ""[^0-9a-zA-Z .'Ã]"","""")"),"Dean DeBlois")</f>
        <v>Dean DeBlois</v>
      </c>
      <c r="C794" s="14">
        <v>180.0</v>
      </c>
      <c r="D794" s="15">
        <v>1.45771527E8</v>
      </c>
      <c r="E794" s="14" t="s">
        <v>3017</v>
      </c>
      <c r="F794" s="9">
        <f t="shared" si="1"/>
        <v>7</v>
      </c>
      <c r="G794" s="14" t="s">
        <v>3018</v>
      </c>
      <c r="H794" s="11" t="str">
        <f>IFERROR(__xludf.DUMMYFUNCTION("REGEXREPLACE(G794, ""[^0-9a-zA-Z .'Ã]"","""")"),"Tia Carrere")</f>
        <v>Tia Carrere</v>
      </c>
      <c r="I794" s="16" t="s">
        <v>3019</v>
      </c>
      <c r="J794" s="14">
        <v>117212.0</v>
      </c>
      <c r="K794" s="14" t="s">
        <v>3020</v>
      </c>
      <c r="L794" s="14">
        <v>367.0</v>
      </c>
      <c r="M794" s="14" t="s">
        <v>24</v>
      </c>
      <c r="N794" s="14" t="s">
        <v>25</v>
      </c>
      <c r="O794" s="15">
        <v>8.0E7</v>
      </c>
      <c r="P794" s="10">
        <f t="shared" si="2"/>
        <v>65771527</v>
      </c>
      <c r="Q794" s="12">
        <f t="shared" si="3"/>
        <v>0</v>
      </c>
      <c r="R794" s="14">
        <v>2002.0</v>
      </c>
      <c r="S794" s="14">
        <v>7.2</v>
      </c>
    </row>
    <row r="795" ht="15.75" customHeight="1">
      <c r="A795" s="13" t="s">
        <v>872</v>
      </c>
      <c r="B795" s="8" t="str">
        <f>IFERROR(__xludf.DUMMYFUNCTION("REGEXREPLACE(A795, ""[^0-9a-zA-Z .'Ã]"","""")"),"Michael Haneke")</f>
        <v>Michael Haneke</v>
      </c>
      <c r="C795" s="14">
        <v>447.0</v>
      </c>
      <c r="D795" s="15">
        <v>225377.0</v>
      </c>
      <c r="E795" s="14" t="s">
        <v>232</v>
      </c>
      <c r="F795" s="9">
        <f t="shared" si="1"/>
        <v>2</v>
      </c>
      <c r="G795" s="14" t="s">
        <v>3021</v>
      </c>
      <c r="H795" s="11" t="str">
        <f>IFERROR(__xludf.DUMMYFUNCTION("REGEXREPLACE(G795, ""[^0-9a-zA-Z .'Ã]"","""")"),"Isabelle Huppert")</f>
        <v>Isabelle Huppert</v>
      </c>
      <c r="I795" s="16" t="s">
        <v>3022</v>
      </c>
      <c r="J795" s="14">
        <v>70382.0</v>
      </c>
      <c r="K795" s="14" t="s">
        <v>3023</v>
      </c>
      <c r="L795" s="14">
        <v>190.0</v>
      </c>
      <c r="M795" s="14" t="s">
        <v>658</v>
      </c>
      <c r="N795" s="14" t="s">
        <v>608</v>
      </c>
      <c r="O795" s="15">
        <v>8900000.0</v>
      </c>
      <c r="P795" s="10">
        <f t="shared" si="2"/>
        <v>0</v>
      </c>
      <c r="Q795" s="12">
        <f t="shared" si="3"/>
        <v>8674623</v>
      </c>
      <c r="R795" s="14">
        <v>2012.0</v>
      </c>
      <c r="S795" s="14">
        <v>7.9</v>
      </c>
    </row>
    <row r="796" ht="15.75" customHeight="1">
      <c r="A796" s="25" t="s">
        <v>3024</v>
      </c>
      <c r="B796" s="8" t="str">
        <f>IFERROR(__xludf.DUMMYFUNCTION("REGEXREPLACE(A796, ""[^0-9a-zA-Z .'Ã]"","""")"),"Luis Valdez")</f>
        <v>Luis Valdez</v>
      </c>
      <c r="C796" s="26">
        <v>18.0</v>
      </c>
      <c r="D796" s="27">
        <v>5.4215416E7</v>
      </c>
      <c r="E796" s="26" t="s">
        <v>2225</v>
      </c>
      <c r="F796" s="9">
        <f t="shared" si="1"/>
        <v>3</v>
      </c>
      <c r="G796" s="26" t="s">
        <v>3025</v>
      </c>
      <c r="H796" s="11" t="str">
        <f>IFERROR(__xludf.DUMMYFUNCTION("REGEXREPLACE(G796, ""[^0-9a-zA-Z .'Ã]"","""")"),"Esai Morales")</f>
        <v>Esai Morales</v>
      </c>
      <c r="I796" s="28" t="s">
        <v>3026</v>
      </c>
      <c r="J796" s="26">
        <v>21409.0</v>
      </c>
      <c r="K796" s="26" t="s">
        <v>3027</v>
      </c>
      <c r="L796" s="26">
        <v>63.0</v>
      </c>
      <c r="M796" s="26" t="s">
        <v>24</v>
      </c>
      <c r="N796" s="26" t="s">
        <v>25</v>
      </c>
      <c r="O796" s="27">
        <v>6500000.0</v>
      </c>
      <c r="P796" s="10">
        <f t="shared" si="2"/>
        <v>47715416</v>
      </c>
      <c r="Q796" s="12">
        <f t="shared" si="3"/>
        <v>0</v>
      </c>
      <c r="R796" s="26">
        <v>1987.0</v>
      </c>
      <c r="S796" s="26">
        <v>6.8</v>
      </c>
    </row>
    <row r="797" ht="15.75" customHeight="1">
      <c r="A797" s="13" t="s">
        <v>1767</v>
      </c>
      <c r="B797" s="8" t="str">
        <f>IFERROR(__xludf.DUMMYFUNCTION("REGEXREPLACE(A797, ""[^0-9a-zA-Z .'Ã]"","""")"),"Barry Levinson")</f>
        <v>Barry Levinson</v>
      </c>
      <c r="C797" s="14">
        <v>34.0</v>
      </c>
      <c r="D797" s="15">
        <v>75078.0</v>
      </c>
      <c r="E797" s="14" t="s">
        <v>137</v>
      </c>
      <c r="F797" s="9">
        <f t="shared" si="1"/>
        <v>1</v>
      </c>
      <c r="G797" s="14" t="s">
        <v>3028</v>
      </c>
      <c r="H797" s="11" t="str">
        <f>IFERROR(__xludf.DUMMYFUNCTION("REGEXREPLACE(G797, ""[^0-9a-zA-Z .'Ã]"","""")"),"Anna Friel")</f>
        <v>Anna Friel</v>
      </c>
      <c r="I797" s="16" t="s">
        <v>3029</v>
      </c>
      <c r="J797" s="14">
        <v>1398.0</v>
      </c>
      <c r="K797" s="14" t="s">
        <v>3030</v>
      </c>
      <c r="L797" s="14">
        <v>26.0</v>
      </c>
      <c r="M797" s="14" t="s">
        <v>24</v>
      </c>
      <c r="N797" s="14" t="s">
        <v>25</v>
      </c>
      <c r="O797" s="15">
        <v>1.4E7</v>
      </c>
      <c r="P797" s="10">
        <f t="shared" si="2"/>
        <v>0</v>
      </c>
      <c r="Q797" s="12">
        <f t="shared" si="3"/>
        <v>13924922</v>
      </c>
      <c r="R797" s="14">
        <v>2000.0</v>
      </c>
      <c r="S797" s="14">
        <v>6.3</v>
      </c>
    </row>
    <row r="798" ht="15.75" customHeight="1">
      <c r="A798" s="21" t="s">
        <v>2935</v>
      </c>
      <c r="B798" s="8" t="str">
        <f>IFERROR(__xludf.DUMMYFUNCTION("REGEXREPLACE(A798, ""[^0-9a-zA-Z .'Ã]"","""")"),"Billy Bob Thornton")</f>
        <v>Billy Bob Thornton</v>
      </c>
      <c r="C798" s="22">
        <v>85.0</v>
      </c>
      <c r="D798" s="23">
        <v>1.5527125E7</v>
      </c>
      <c r="E798" s="22" t="s">
        <v>445</v>
      </c>
      <c r="F798" s="9">
        <f t="shared" si="1"/>
        <v>3</v>
      </c>
      <c r="G798" s="22" t="s">
        <v>585</v>
      </c>
      <c r="H798" s="11" t="str">
        <f>IFERROR(__xludf.DUMMYFUNCTION("REGEXREPLACE(G798, ""[^0-9a-zA-Z .'Ã]"","""")"),"Matt Damon")</f>
        <v>Matt Damon</v>
      </c>
      <c r="I798" s="24" t="s">
        <v>3031</v>
      </c>
      <c r="J798" s="22">
        <v>11388.0</v>
      </c>
      <c r="K798" s="22" t="s">
        <v>3032</v>
      </c>
      <c r="L798" s="22">
        <v>183.0</v>
      </c>
      <c r="M798" s="22" t="s">
        <v>24</v>
      </c>
      <c r="N798" s="22" t="s">
        <v>25</v>
      </c>
      <c r="O798" s="23">
        <v>5.7E7</v>
      </c>
      <c r="P798" s="10">
        <f t="shared" si="2"/>
        <v>0</v>
      </c>
      <c r="Q798" s="12">
        <f t="shared" si="3"/>
        <v>41472875</v>
      </c>
      <c r="R798" s="22">
        <v>2000.0</v>
      </c>
      <c r="S798" s="22">
        <v>5.8</v>
      </c>
    </row>
    <row r="799" ht="15.75" customHeight="1">
      <c r="A799" s="13" t="s">
        <v>2715</v>
      </c>
      <c r="B799" s="8" t="str">
        <f>IFERROR(__xludf.DUMMYFUNCTION("REGEXREPLACE(A799, ""[^0-9a-zA-Z .'Ã]"","""")"),"Barry Sonnenfeld")</f>
        <v>Barry Sonnenfeld</v>
      </c>
      <c r="C799" s="14">
        <v>87.0</v>
      </c>
      <c r="D799" s="15">
        <v>7262288.0</v>
      </c>
      <c r="E799" s="14" t="s">
        <v>589</v>
      </c>
      <c r="F799" s="9">
        <f t="shared" si="1"/>
        <v>3</v>
      </c>
      <c r="G799" s="14" t="s">
        <v>3033</v>
      </c>
      <c r="H799" s="11" t="str">
        <f>IFERROR(__xludf.DUMMYFUNCTION("REGEXREPLACE(G799, ""[^0-9a-zA-Z .'Ã]"","""")"),"Zooey Deschanel")</f>
        <v>Zooey Deschanel</v>
      </c>
      <c r="I799" s="16" t="s">
        <v>3034</v>
      </c>
      <c r="J799" s="14">
        <v>17307.0</v>
      </c>
      <c r="K799" s="14" t="s">
        <v>3035</v>
      </c>
      <c r="L799" s="14">
        <v>186.0</v>
      </c>
      <c r="M799" s="14" t="s">
        <v>24</v>
      </c>
      <c r="N799" s="14" t="s">
        <v>25</v>
      </c>
      <c r="O799" s="15">
        <v>4.0E7</v>
      </c>
      <c r="P799" s="10">
        <f t="shared" si="2"/>
        <v>0</v>
      </c>
      <c r="Q799" s="12">
        <f t="shared" si="3"/>
        <v>32737712</v>
      </c>
      <c r="R799" s="14">
        <v>2002.0</v>
      </c>
      <c r="S799" s="14">
        <v>6.5</v>
      </c>
    </row>
    <row r="800" ht="15.75" customHeight="1">
      <c r="A800" s="29" t="s">
        <v>3036</v>
      </c>
      <c r="B800" s="8" t="str">
        <f>IFERROR(__xludf.DUMMYFUNCTION("REGEXREPLACE(A800, ""[^0-9a-zA-Z .'Ã]"","""")"),"John Schultz")</f>
        <v>John Schultz</v>
      </c>
      <c r="C800" s="30">
        <v>59.0</v>
      </c>
      <c r="D800" s="31">
        <v>1.7843379E7</v>
      </c>
      <c r="E800" s="30" t="s">
        <v>159</v>
      </c>
      <c r="F800" s="9">
        <f t="shared" si="1"/>
        <v>3</v>
      </c>
      <c r="G800" s="30" t="s">
        <v>3037</v>
      </c>
      <c r="H800" s="11" t="str">
        <f>IFERROR(__xludf.DUMMYFUNCTION("REGEXREPLACE(G800, ""[^0-9a-zA-Z .'Ã]"","""")"),"Stephen Collins")</f>
        <v>Stephen Collins</v>
      </c>
      <c r="I800" s="32" t="s">
        <v>3038</v>
      </c>
      <c r="J800" s="30">
        <v>14904.0</v>
      </c>
      <c r="K800" s="30" t="s">
        <v>3039</v>
      </c>
      <c r="L800" s="30">
        <v>147.0</v>
      </c>
      <c r="M800" s="30" t="s">
        <v>24</v>
      </c>
      <c r="N800" s="30" t="s">
        <v>25</v>
      </c>
      <c r="O800" s="31">
        <v>8000000.0</v>
      </c>
      <c r="P800" s="10">
        <f t="shared" si="2"/>
        <v>9843379</v>
      </c>
      <c r="Q800" s="12">
        <f t="shared" si="3"/>
        <v>0</v>
      </c>
      <c r="R800" s="30">
        <v>1999.0</v>
      </c>
      <c r="S800" s="30">
        <v>5.7</v>
      </c>
    </row>
    <row r="801" ht="15.75" customHeight="1">
      <c r="A801" s="25" t="s">
        <v>469</v>
      </c>
      <c r="B801" s="8" t="str">
        <f>IFERROR(__xludf.DUMMYFUNCTION("REGEXREPLACE(A801, ""[^0-9a-zA-Z .'Ã]"","""")"),"Wes Anderson")</f>
        <v>Wes Anderson</v>
      </c>
      <c r="C801" s="26">
        <v>83.0</v>
      </c>
      <c r="D801" s="27">
        <v>1040879.0</v>
      </c>
      <c r="E801" s="26" t="s">
        <v>169</v>
      </c>
      <c r="F801" s="9">
        <f t="shared" si="1"/>
        <v>3</v>
      </c>
      <c r="G801" s="26" t="s">
        <v>2040</v>
      </c>
      <c r="H801" s="11" t="str">
        <f>IFERROR(__xludf.DUMMYFUNCTION("REGEXREPLACE(G801, ""[^0-9a-zA-Z .'Ã]"","""")"),"Andrew Wilson")</f>
        <v>Andrew Wilson</v>
      </c>
      <c r="I801" s="28" t="s">
        <v>3040</v>
      </c>
      <c r="J801" s="26">
        <v>54478.0</v>
      </c>
      <c r="K801" s="26" t="s">
        <v>3041</v>
      </c>
      <c r="L801" s="26">
        <v>184.0</v>
      </c>
      <c r="M801" s="26" t="s">
        <v>24</v>
      </c>
      <c r="N801" s="26" t="s">
        <v>25</v>
      </c>
      <c r="O801" s="27">
        <v>7000000.0</v>
      </c>
      <c r="P801" s="10">
        <f t="shared" si="2"/>
        <v>0</v>
      </c>
      <c r="Q801" s="12">
        <f t="shared" si="3"/>
        <v>5959121</v>
      </c>
      <c r="R801" s="26">
        <v>1996.0</v>
      </c>
      <c r="S801" s="26">
        <v>7.1</v>
      </c>
    </row>
    <row r="802" ht="15.75" customHeight="1">
      <c r="A802" s="7" t="s">
        <v>3042</v>
      </c>
      <c r="B802" s="8" t="str">
        <f>IFERROR(__xludf.DUMMYFUNCTION("REGEXREPLACE(A802, ""[^0-9a-zA-Z .'Ã]"","""")"),"Patrick Stettner")</f>
        <v>Patrick Stettner</v>
      </c>
      <c r="C802" s="9">
        <v>125.0</v>
      </c>
      <c r="D802" s="10">
        <v>7825820.0</v>
      </c>
      <c r="E802" s="9" t="s">
        <v>575</v>
      </c>
      <c r="F802" s="9">
        <f t="shared" si="1"/>
        <v>3</v>
      </c>
      <c r="G802" s="9" t="s">
        <v>673</v>
      </c>
      <c r="H802" s="11" t="str">
        <f>IFERROR(__xludf.DUMMYFUNCTION("REGEXREPLACE(G802, ""[^0-9a-zA-Z .'Ã]"","""")"),"Robin Williams")</f>
        <v>Robin Williams</v>
      </c>
      <c r="I802" s="11" t="s">
        <v>3043</v>
      </c>
      <c r="J802" s="9">
        <v>13086.0</v>
      </c>
      <c r="K802" s="9" t="s">
        <v>3044</v>
      </c>
      <c r="L802" s="9">
        <v>156.0</v>
      </c>
      <c r="M802" s="9" t="s">
        <v>24</v>
      </c>
      <c r="N802" s="9" t="s">
        <v>25</v>
      </c>
      <c r="O802" s="10">
        <v>4000000.0</v>
      </c>
      <c r="P802" s="10">
        <f t="shared" si="2"/>
        <v>3825820</v>
      </c>
      <c r="Q802" s="12">
        <f t="shared" si="3"/>
        <v>0</v>
      </c>
      <c r="R802" s="9">
        <v>2006.0</v>
      </c>
      <c r="S802" s="9">
        <v>5.9</v>
      </c>
    </row>
    <row r="803" ht="15.75" customHeight="1">
      <c r="A803" s="7" t="s">
        <v>3045</v>
      </c>
      <c r="B803" s="8" t="str">
        <f>IFERROR(__xludf.DUMMYFUNCTION("REGEXREPLACE(A803, ""[^0-9a-zA-Z .'Ã]"","""")"),"Byron Howard")</f>
        <v>Byron Howard</v>
      </c>
      <c r="C803" s="9">
        <v>225.0</v>
      </c>
      <c r="D803" s="10">
        <v>1.14053579E8</v>
      </c>
      <c r="E803" s="9" t="s">
        <v>3046</v>
      </c>
      <c r="F803" s="9">
        <f t="shared" si="1"/>
        <v>5</v>
      </c>
      <c r="G803" s="9" t="s">
        <v>2259</v>
      </c>
      <c r="H803" s="11" t="str">
        <f>IFERROR(__xludf.DUMMYFUNCTION("REGEXREPLACE(G803, ""[^0-9a-zA-Z .'Ã]"","""")"),"ChloÃ Grace Moretz")</f>
        <v>ChloÃ Grace Moretz</v>
      </c>
      <c r="I803" s="11" t="s">
        <v>3047</v>
      </c>
      <c r="J803" s="9">
        <v>146766.0</v>
      </c>
      <c r="K803" s="9" t="s">
        <v>3048</v>
      </c>
      <c r="L803" s="9">
        <v>178.0</v>
      </c>
      <c r="M803" s="9" t="s">
        <v>24</v>
      </c>
      <c r="N803" s="9" t="s">
        <v>25</v>
      </c>
      <c r="O803" s="10">
        <v>1.5E8</v>
      </c>
      <c r="P803" s="10">
        <f t="shared" si="2"/>
        <v>0</v>
      </c>
      <c r="Q803" s="12">
        <f t="shared" si="3"/>
        <v>35946421</v>
      </c>
      <c r="R803" s="9">
        <v>2008.0</v>
      </c>
      <c r="S803" s="9">
        <v>6.9</v>
      </c>
    </row>
    <row r="804" ht="15.75" customHeight="1">
      <c r="A804" s="17" t="s">
        <v>3049</v>
      </c>
      <c r="B804" s="8" t="str">
        <f>IFERROR(__xludf.DUMMYFUNCTION("REGEXREPLACE(A804, ""[^0-9a-zA-Z .'Ã]"","""")"),"Randall Miller")</f>
        <v>Randall Miller</v>
      </c>
      <c r="C804" s="18">
        <v>109.0</v>
      </c>
      <c r="D804" s="19">
        <v>4040588.0</v>
      </c>
      <c r="E804" s="18" t="s">
        <v>454</v>
      </c>
      <c r="F804" s="9">
        <f t="shared" si="1"/>
        <v>2</v>
      </c>
      <c r="G804" s="18" t="s">
        <v>647</v>
      </c>
      <c r="H804" s="11" t="str">
        <f>IFERROR(__xludf.DUMMYFUNCTION("REGEXREPLACE(G804, ""[^0-9a-zA-Z .'Ã]"","""")"),"Alan Rickman")</f>
        <v>Alan Rickman</v>
      </c>
      <c r="I804" s="20" t="s">
        <v>3050</v>
      </c>
      <c r="J804" s="18">
        <v>12233.0</v>
      </c>
      <c r="K804" s="18" t="s">
        <v>3051</v>
      </c>
      <c r="L804" s="18">
        <v>89.0</v>
      </c>
      <c r="M804" s="18" t="s">
        <v>24</v>
      </c>
      <c r="N804" s="18" t="s">
        <v>25</v>
      </c>
      <c r="O804" s="19">
        <v>5000000.0</v>
      </c>
      <c r="P804" s="10">
        <f t="shared" si="2"/>
        <v>0</v>
      </c>
      <c r="Q804" s="12">
        <f t="shared" si="3"/>
        <v>959412</v>
      </c>
      <c r="R804" s="18">
        <v>2008.0</v>
      </c>
      <c r="S804" s="18">
        <v>6.8</v>
      </c>
    </row>
    <row r="805" ht="15.75" customHeight="1">
      <c r="A805" s="21" t="s">
        <v>513</v>
      </c>
      <c r="B805" s="8" t="str">
        <f>IFERROR(__xludf.DUMMYFUNCTION("REGEXREPLACE(A805, ""[^0-9a-zA-Z .'Ã]"","""")"),"Mark Waters")</f>
        <v>Mark Waters</v>
      </c>
      <c r="C805" s="22">
        <v>61.0</v>
      </c>
      <c r="D805" s="23">
        <v>1.0397365E7</v>
      </c>
      <c r="E805" s="22" t="s">
        <v>3052</v>
      </c>
      <c r="F805" s="9">
        <f t="shared" si="1"/>
        <v>3</v>
      </c>
      <c r="G805" s="22" t="s">
        <v>3053</v>
      </c>
      <c r="H805" s="11" t="str">
        <f>IFERROR(__xludf.DUMMYFUNCTION("REGEXREPLACE(G805, ""[^0-9a-zA-Z .'Ã]"","""")"),"Monica Potter")</f>
        <v>Monica Potter</v>
      </c>
      <c r="I805" s="24" t="s">
        <v>3054</v>
      </c>
      <c r="J805" s="22">
        <v>11693.0</v>
      </c>
      <c r="K805" s="22" t="s">
        <v>3055</v>
      </c>
      <c r="L805" s="22">
        <v>104.0</v>
      </c>
      <c r="M805" s="22" t="s">
        <v>24</v>
      </c>
      <c r="N805" s="22" t="s">
        <v>25</v>
      </c>
      <c r="O805" s="23">
        <v>1.4E7</v>
      </c>
      <c r="P805" s="10">
        <f t="shared" si="2"/>
        <v>0</v>
      </c>
      <c r="Q805" s="12">
        <f t="shared" si="3"/>
        <v>3602635</v>
      </c>
      <c r="R805" s="22">
        <v>2001.0</v>
      </c>
      <c r="S805" s="22">
        <v>5.4</v>
      </c>
    </row>
    <row r="806" ht="15.75" customHeight="1">
      <c r="A806" s="17" t="s">
        <v>1095</v>
      </c>
      <c r="B806" s="8" t="str">
        <f>IFERROR(__xludf.DUMMYFUNCTION("REGEXREPLACE(A806, ""[^0-9a-zA-Z .'Ã]"","""")"),"Renny Harlin")</f>
        <v>Renny Harlin</v>
      </c>
      <c r="C806" s="18">
        <v>120.0</v>
      </c>
      <c r="D806" s="19">
        <v>2.3292105E7</v>
      </c>
      <c r="E806" s="18" t="s">
        <v>1033</v>
      </c>
      <c r="F806" s="9">
        <f t="shared" si="1"/>
        <v>4</v>
      </c>
      <c r="G806" s="18" t="s">
        <v>252</v>
      </c>
      <c r="H806" s="11" t="str">
        <f>IFERROR(__xludf.DUMMYFUNCTION("REGEXREPLACE(G806, ""[^0-9a-zA-Z .'Ã]"","""")"),"Laura Ramsey")</f>
        <v>Laura Ramsey</v>
      </c>
      <c r="I806" s="20" t="s">
        <v>3056</v>
      </c>
      <c r="J806" s="18">
        <v>39541.0</v>
      </c>
      <c r="K806" s="18" t="s">
        <v>3057</v>
      </c>
      <c r="L806" s="18">
        <v>334.0</v>
      </c>
      <c r="M806" s="18" t="s">
        <v>24</v>
      </c>
      <c r="N806" s="18" t="s">
        <v>25</v>
      </c>
      <c r="O806" s="19">
        <v>2.0E7</v>
      </c>
      <c r="P806" s="10">
        <f t="shared" si="2"/>
        <v>3292105</v>
      </c>
      <c r="Q806" s="12">
        <f t="shared" si="3"/>
        <v>0</v>
      </c>
      <c r="R806" s="18">
        <v>2006.0</v>
      </c>
      <c r="S806" s="18">
        <v>5.3</v>
      </c>
    </row>
    <row r="807" ht="15.75" customHeight="1">
      <c r="A807" s="13" t="s">
        <v>2599</v>
      </c>
      <c r="B807" s="8" t="str">
        <f>IFERROR(__xludf.DUMMYFUNCTION("REGEXREPLACE(A807, ""[^0-9a-zA-Z .'Ã]"","""")"),"Richard Linklater")</f>
        <v>Richard Linklater</v>
      </c>
      <c r="C807" s="14">
        <v>211.0</v>
      </c>
      <c r="D807" s="15">
        <v>5792822.0</v>
      </c>
      <c r="E807" s="14" t="s">
        <v>232</v>
      </c>
      <c r="F807" s="9">
        <f t="shared" si="1"/>
        <v>2</v>
      </c>
      <c r="G807" s="14" t="s">
        <v>3058</v>
      </c>
      <c r="H807" s="11" t="str">
        <f>IFERROR(__xludf.DUMMYFUNCTION("REGEXREPLACE(G807, ""[^0-9a-zA-Z .'Ã]"","""")"),"Vernon Dobtcheff")</f>
        <v>Vernon Dobtcheff</v>
      </c>
      <c r="I807" s="16" t="s">
        <v>3059</v>
      </c>
      <c r="J807" s="14">
        <v>168398.0</v>
      </c>
      <c r="K807" s="14" t="s">
        <v>3060</v>
      </c>
      <c r="L807" s="14">
        <v>492.0</v>
      </c>
      <c r="M807" s="14" t="s">
        <v>24</v>
      </c>
      <c r="N807" s="14" t="s">
        <v>25</v>
      </c>
      <c r="O807" s="15">
        <v>2700000.0</v>
      </c>
      <c r="P807" s="10">
        <f t="shared" si="2"/>
        <v>3092822</v>
      </c>
      <c r="Q807" s="12">
        <f t="shared" si="3"/>
        <v>0</v>
      </c>
      <c r="R807" s="14">
        <v>2004.0</v>
      </c>
      <c r="S807" s="14">
        <v>8.0</v>
      </c>
    </row>
    <row r="808" ht="15.75" customHeight="1">
      <c r="A808" s="7" t="s">
        <v>1248</v>
      </c>
      <c r="B808" s="8" t="str">
        <f>IFERROR(__xludf.DUMMYFUNCTION("REGEXREPLACE(A808, ""[^0-9a-zA-Z .'Ã]"","""")"),"Paul Weitz")</f>
        <v>Paul Weitz</v>
      </c>
      <c r="C808" s="9">
        <v>180.0</v>
      </c>
      <c r="D808" s="10">
        <v>1.4838378E8</v>
      </c>
      <c r="E808" s="9" t="s">
        <v>89</v>
      </c>
      <c r="F808" s="9">
        <f t="shared" si="1"/>
        <v>2</v>
      </c>
      <c r="G808" s="9" t="s">
        <v>883</v>
      </c>
      <c r="H808" s="11" t="str">
        <f>IFERROR(__xludf.DUMMYFUNCTION("REGEXREPLACE(G808, ""[^0-9a-zA-Z .'Ã]"","""")"),"Robert De Niro")</f>
        <v>Robert De Niro</v>
      </c>
      <c r="I808" s="11" t="s">
        <v>3061</v>
      </c>
      <c r="J808" s="9">
        <v>85531.0</v>
      </c>
      <c r="K808" s="9" t="s">
        <v>3062</v>
      </c>
      <c r="L808" s="9">
        <v>152.0</v>
      </c>
      <c r="M808" s="9" t="s">
        <v>24</v>
      </c>
      <c r="N808" s="9" t="s">
        <v>25</v>
      </c>
      <c r="O808" s="10">
        <v>1.0E8</v>
      </c>
      <c r="P808" s="10">
        <f t="shared" si="2"/>
        <v>48383780</v>
      </c>
      <c r="Q808" s="12">
        <f t="shared" si="3"/>
        <v>0</v>
      </c>
      <c r="R808" s="9">
        <v>2010.0</v>
      </c>
      <c r="S808" s="9">
        <v>5.5</v>
      </c>
    </row>
    <row r="809" ht="15.75" customHeight="1">
      <c r="A809" s="25" t="s">
        <v>3063</v>
      </c>
      <c r="B809" s="8" t="str">
        <f>IFERROR(__xludf.DUMMYFUNCTION("REGEXREPLACE(A809, ""[^0-9a-zA-Z .'Ã]"","""")"),"Mickey Liddell")</f>
        <v>Mickey Liddell</v>
      </c>
      <c r="C809" s="26">
        <v>74.0</v>
      </c>
      <c r="D809" s="27">
        <v>1.3350177E7</v>
      </c>
      <c r="E809" s="26" t="s">
        <v>1840</v>
      </c>
      <c r="F809" s="9">
        <f t="shared" si="1"/>
        <v>3</v>
      </c>
      <c r="G809" s="26" t="s">
        <v>3064</v>
      </c>
      <c r="H809" s="11" t="str">
        <f>IFERROR(__xludf.DUMMYFUNCTION("REGEXREPLACE(G809, ""[^0-9a-zA-Z .'Ã]"","""")"),"Jessica Lowndes")</f>
        <v>Jessica Lowndes</v>
      </c>
      <c r="I809" s="28" t="s">
        <v>3065</v>
      </c>
      <c r="J809" s="26">
        <v>7904.0</v>
      </c>
      <c r="K809" s="26" t="s">
        <v>3066</v>
      </c>
      <c r="L809" s="26">
        <v>113.0</v>
      </c>
      <c r="M809" s="26" t="s">
        <v>24</v>
      </c>
      <c r="N809" s="26" t="s">
        <v>25</v>
      </c>
      <c r="O809" s="27">
        <v>5000000.0</v>
      </c>
      <c r="P809" s="10">
        <f t="shared" si="2"/>
        <v>8350177</v>
      </c>
      <c r="Q809" s="12">
        <f t="shared" si="3"/>
        <v>0</v>
      </c>
      <c r="R809" s="26">
        <v>2008.0</v>
      </c>
      <c r="S809" s="26">
        <v>3.8</v>
      </c>
    </row>
    <row r="810" ht="15.75" customHeight="1">
      <c r="A810" s="7" t="s">
        <v>3067</v>
      </c>
      <c r="B810" s="8" t="str">
        <f>IFERROR(__xludf.DUMMYFUNCTION("REGEXREPLACE(A810, ""[^0-9a-zA-Z .'Ã]"","""")"),"Todd Phillips")</f>
        <v>Todd Phillips</v>
      </c>
      <c r="C810" s="9">
        <v>110.0</v>
      </c>
      <c r="D810" s="10">
        <v>1.7803796E7</v>
      </c>
      <c r="E810" s="9" t="s">
        <v>137</v>
      </c>
      <c r="F810" s="9">
        <f t="shared" si="1"/>
        <v>1</v>
      </c>
      <c r="G810" s="9" t="s">
        <v>3068</v>
      </c>
      <c r="H810" s="11" t="str">
        <f>IFERROR(__xludf.DUMMYFUNCTION("REGEXREPLACE(G810, ""[^0-9a-zA-Z .'Ã]"","""")"),"Jon Heder")</f>
        <v>Jon Heder</v>
      </c>
      <c r="I810" s="11" t="s">
        <v>3069</v>
      </c>
      <c r="J810" s="9">
        <v>26100.0</v>
      </c>
      <c r="K810" s="9" t="s">
        <v>3070</v>
      </c>
      <c r="L810" s="9">
        <v>97.0</v>
      </c>
      <c r="M810" s="9" t="s">
        <v>24</v>
      </c>
      <c r="N810" s="9" t="s">
        <v>25</v>
      </c>
      <c r="O810" s="10">
        <v>2.0E7</v>
      </c>
      <c r="P810" s="10">
        <f t="shared" si="2"/>
        <v>0</v>
      </c>
      <c r="Q810" s="12">
        <f t="shared" si="3"/>
        <v>2196204</v>
      </c>
      <c r="R810" s="9">
        <v>2006.0</v>
      </c>
      <c r="S810" s="9">
        <v>5.9</v>
      </c>
    </row>
    <row r="811" ht="15.75" customHeight="1">
      <c r="A811" s="21" t="s">
        <v>3071</v>
      </c>
      <c r="B811" s="8" t="str">
        <f>IFERROR(__xludf.DUMMYFUNCTION("REGEXREPLACE(A811, ""[^0-9a-zA-Z .'Ã]"","""")"),"Pat O'Connor")</f>
        <v>Pat O'Connor</v>
      </c>
      <c r="C811" s="22">
        <v>94.0</v>
      </c>
      <c r="D811" s="23">
        <v>2.5178165E7</v>
      </c>
      <c r="E811" s="22" t="s">
        <v>232</v>
      </c>
      <c r="F811" s="9">
        <f t="shared" si="1"/>
        <v>2</v>
      </c>
      <c r="G811" s="22" t="s">
        <v>1170</v>
      </c>
      <c r="H811" s="11" t="str">
        <f>IFERROR(__xludf.DUMMYFUNCTION("REGEXREPLACE(G811, ""[^0-9a-zA-Z .'Ã]"","""")"),"Keanu Reeves")</f>
        <v>Keanu Reeves</v>
      </c>
      <c r="I811" s="24" t="s">
        <v>3072</v>
      </c>
      <c r="J811" s="22">
        <v>70292.0</v>
      </c>
      <c r="K811" s="22" t="s">
        <v>3073</v>
      </c>
      <c r="L811" s="22">
        <v>274.0</v>
      </c>
      <c r="M811" s="22" t="s">
        <v>24</v>
      </c>
      <c r="N811" s="22" t="s">
        <v>25</v>
      </c>
      <c r="O811" s="23">
        <v>4.0E7</v>
      </c>
      <c r="P811" s="10">
        <f t="shared" si="2"/>
        <v>0</v>
      </c>
      <c r="Q811" s="12">
        <f t="shared" si="3"/>
        <v>14821835</v>
      </c>
      <c r="R811" s="22">
        <v>2001.0</v>
      </c>
      <c r="S811" s="22">
        <v>6.7</v>
      </c>
    </row>
    <row r="812" ht="15.75" customHeight="1">
      <c r="A812" s="7" t="s">
        <v>68</v>
      </c>
      <c r="B812" s="8" t="str">
        <f>IFERROR(__xludf.DUMMYFUNCTION("REGEXREPLACE(A812, ""[^0-9a-zA-Z .'Ã]"","""")"),"Spike Lee")</f>
        <v>Spike Lee</v>
      </c>
      <c r="C812" s="9">
        <v>28.0</v>
      </c>
      <c r="D812" s="10">
        <v>5731103.0</v>
      </c>
      <c r="E812" s="9" t="s">
        <v>213</v>
      </c>
      <c r="F812" s="9">
        <f t="shared" si="1"/>
        <v>2</v>
      </c>
      <c r="G812" s="9" t="s">
        <v>195</v>
      </c>
      <c r="H812" s="11" t="str">
        <f>IFERROR(__xludf.DUMMYFUNCTION("REGEXREPLACE(G812, ""[^0-9a-zA-Z .'Ã]"","""")"),"Bernie Mac")</f>
        <v>Bernie Mac</v>
      </c>
      <c r="I812" s="11" t="s">
        <v>3074</v>
      </c>
      <c r="J812" s="9">
        <v>4100.0</v>
      </c>
      <c r="K812" s="9" t="s">
        <v>3075</v>
      </c>
      <c r="L812" s="9">
        <v>35.0</v>
      </c>
      <c r="M812" s="9" t="s">
        <v>24</v>
      </c>
      <c r="N812" s="9" t="s">
        <v>25</v>
      </c>
      <c r="O812" s="10">
        <v>2400000.0</v>
      </c>
      <c r="P812" s="10">
        <f t="shared" si="2"/>
        <v>3331103</v>
      </c>
      <c r="Q812" s="12">
        <f t="shared" si="3"/>
        <v>0</v>
      </c>
      <c r="R812" s="9">
        <v>1996.0</v>
      </c>
      <c r="S812" s="9">
        <v>6.8</v>
      </c>
    </row>
    <row r="813" ht="15.75" customHeight="1">
      <c r="A813" s="25" t="s">
        <v>3076</v>
      </c>
      <c r="B813" s="8" t="str">
        <f>IFERROR(__xludf.DUMMYFUNCTION("REGEXREPLACE(A813, ""[^0-9a-zA-Z .'Ã]"","""")"),"Kirk De Micco")</f>
        <v>Kirk De Micco</v>
      </c>
      <c r="C813" s="26">
        <v>257.0</v>
      </c>
      <c r="D813" s="27">
        <v>1.87165546E8</v>
      </c>
      <c r="E813" s="26" t="s">
        <v>301</v>
      </c>
      <c r="F813" s="9">
        <f t="shared" si="1"/>
        <v>5</v>
      </c>
      <c r="G813" s="26" t="s">
        <v>2451</v>
      </c>
      <c r="H813" s="11" t="str">
        <f>IFERROR(__xludf.DUMMYFUNCTION("REGEXREPLACE(G813, ""[^0-9a-zA-Z .'Ã]"","""")"),"Ryan Reynolds")</f>
        <v>Ryan Reynolds</v>
      </c>
      <c r="I813" s="28" t="s">
        <v>3077</v>
      </c>
      <c r="J813" s="26">
        <v>150618.0</v>
      </c>
      <c r="K813" s="26" t="s">
        <v>3078</v>
      </c>
      <c r="L813" s="26">
        <v>195.0</v>
      </c>
      <c r="M813" s="26" t="s">
        <v>24</v>
      </c>
      <c r="N813" s="26" t="s">
        <v>25</v>
      </c>
      <c r="O813" s="27">
        <v>1.35E8</v>
      </c>
      <c r="P813" s="10">
        <f t="shared" si="2"/>
        <v>52165546</v>
      </c>
      <c r="Q813" s="12">
        <f t="shared" si="3"/>
        <v>0</v>
      </c>
      <c r="R813" s="26">
        <v>2013.0</v>
      </c>
      <c r="S813" s="26">
        <v>7.3</v>
      </c>
    </row>
    <row r="814" ht="15.75" customHeight="1">
      <c r="A814" s="7" t="s">
        <v>2172</v>
      </c>
      <c r="B814" s="8" t="str">
        <f>IFERROR(__xludf.DUMMYFUNCTION("REGEXREPLACE(A814, ""[^0-9a-zA-Z .'Ã]"","""")"),"Richard Kelly")</f>
        <v>Richard Kelly</v>
      </c>
      <c r="C814" s="9">
        <v>283.0</v>
      </c>
      <c r="D814" s="10">
        <v>727883.0</v>
      </c>
      <c r="E814" s="9" t="s">
        <v>1231</v>
      </c>
      <c r="F814" s="9">
        <f t="shared" si="1"/>
        <v>3</v>
      </c>
      <c r="G814" s="9" t="s">
        <v>2509</v>
      </c>
      <c r="H814" s="11" t="str">
        <f>IFERROR(__xludf.DUMMYFUNCTION("REGEXREPLACE(G814, ""[^0-9a-zA-Z .'Ã]"","""")"),"Jake Gyllenhaal")</f>
        <v>Jake Gyllenhaal</v>
      </c>
      <c r="I814" s="11" t="s">
        <v>3079</v>
      </c>
      <c r="J814" s="9">
        <v>580999.0</v>
      </c>
      <c r="K814" s="9" t="s">
        <v>3080</v>
      </c>
      <c r="L814" s="9">
        <v>2110.0</v>
      </c>
      <c r="M814" s="9" t="s">
        <v>24</v>
      </c>
      <c r="N814" s="9" t="s">
        <v>25</v>
      </c>
      <c r="O814" s="10">
        <v>4500000.0</v>
      </c>
      <c r="P814" s="10">
        <f t="shared" si="2"/>
        <v>0</v>
      </c>
      <c r="Q814" s="12">
        <f t="shared" si="3"/>
        <v>3772117</v>
      </c>
      <c r="R814" s="9">
        <v>2001.0</v>
      </c>
      <c r="S814" s="9">
        <v>8.1</v>
      </c>
    </row>
    <row r="815" ht="15.75" customHeight="1">
      <c r="A815" s="7" t="s">
        <v>625</v>
      </c>
      <c r="B815" s="8" t="str">
        <f>IFERROR(__xludf.DUMMYFUNCTION("REGEXREPLACE(A815, ""[^0-9a-zA-Z .'Ã]"","""")"),"Edward Zwick")</f>
        <v>Edward Zwick</v>
      </c>
      <c r="C815" s="9">
        <v>166.0</v>
      </c>
      <c r="D815" s="10">
        <v>5.7366262E7</v>
      </c>
      <c r="E815" s="9" t="s">
        <v>3081</v>
      </c>
      <c r="F815" s="9">
        <f t="shared" si="1"/>
        <v>3</v>
      </c>
      <c r="G815" s="9" t="s">
        <v>1351</v>
      </c>
      <c r="H815" s="11" t="str">
        <f>IFERROR(__xludf.DUMMYFUNCTION("REGEXREPLACE(G815, ""[^0-9a-zA-Z .'Ã]"","""")"),"Leonardo DiCaprio")</f>
        <v>Leonardo DiCaprio</v>
      </c>
      <c r="I815" s="11" t="s">
        <v>3082</v>
      </c>
      <c r="J815" s="9">
        <v>400292.0</v>
      </c>
      <c r="K815" s="9" t="s">
        <v>3083</v>
      </c>
      <c r="L815" s="9">
        <v>657.0</v>
      </c>
      <c r="M815" s="9" t="s">
        <v>24</v>
      </c>
      <c r="N815" s="9" t="s">
        <v>173</v>
      </c>
      <c r="O815" s="10">
        <v>1.0E8</v>
      </c>
      <c r="P815" s="10">
        <f t="shared" si="2"/>
        <v>0</v>
      </c>
      <c r="Q815" s="12">
        <f t="shared" si="3"/>
        <v>42633738</v>
      </c>
      <c r="R815" s="9">
        <v>2006.0</v>
      </c>
      <c r="S815" s="9">
        <v>8.0</v>
      </c>
    </row>
    <row r="816" ht="15.75" customHeight="1">
      <c r="A816" s="21" t="s">
        <v>2356</v>
      </c>
      <c r="B816" s="8" t="str">
        <f>IFERROR(__xludf.DUMMYFUNCTION("REGEXREPLACE(A816, ""[^0-9a-zA-Z .'Ã]"","""")"),"Robert Schwentke")</f>
        <v>Robert Schwentke</v>
      </c>
      <c r="C816" s="22">
        <v>231.0</v>
      </c>
      <c r="D816" s="23">
        <v>8.9706988E7</v>
      </c>
      <c r="E816" s="22" t="s">
        <v>311</v>
      </c>
      <c r="F816" s="9">
        <f t="shared" si="1"/>
        <v>3</v>
      </c>
      <c r="G816" s="22" t="s">
        <v>3084</v>
      </c>
      <c r="H816" s="11" t="str">
        <f>IFERROR(__xludf.DUMMYFUNCTION("REGEXREPLACE(G816, ""[^0-9a-zA-Z .'Ã]"","""")"),"Erika Christensen")</f>
        <v>Erika Christensen</v>
      </c>
      <c r="I816" s="24" t="s">
        <v>3085</v>
      </c>
      <c r="J816" s="22">
        <v>126746.0</v>
      </c>
      <c r="K816" s="22" t="s">
        <v>3086</v>
      </c>
      <c r="L816" s="22">
        <v>600.0</v>
      </c>
      <c r="M816" s="22" t="s">
        <v>24</v>
      </c>
      <c r="N816" s="22" t="s">
        <v>25</v>
      </c>
      <c r="O816" s="23">
        <v>5.5E7</v>
      </c>
      <c r="P816" s="10">
        <f t="shared" si="2"/>
        <v>34706988</v>
      </c>
      <c r="Q816" s="12">
        <f t="shared" si="3"/>
        <v>0</v>
      </c>
      <c r="R816" s="22">
        <v>2005.0</v>
      </c>
      <c r="S816" s="22">
        <v>6.2</v>
      </c>
    </row>
    <row r="817" ht="15.75" customHeight="1">
      <c r="A817" s="21" t="s">
        <v>3067</v>
      </c>
      <c r="B817" s="8" t="str">
        <f>IFERROR(__xludf.DUMMYFUNCTION("REGEXREPLACE(A817, ""[^0-9a-zA-Z .'Ã]"","""")"),"Todd Phillips")</f>
        <v>Todd Phillips</v>
      </c>
      <c r="C817" s="22">
        <v>123.0</v>
      </c>
      <c r="D817" s="23">
        <v>7.4608545E7</v>
      </c>
      <c r="E817" s="22" t="s">
        <v>137</v>
      </c>
      <c r="F817" s="9">
        <f t="shared" si="1"/>
        <v>1</v>
      </c>
      <c r="G817" s="22" t="s">
        <v>441</v>
      </c>
      <c r="H817" s="11" t="str">
        <f>IFERROR(__xludf.DUMMYFUNCTION("REGEXREPLACE(G817, ""[^0-9a-zA-Z .'Ã]"","""")"),"Will Ferrell")</f>
        <v>Will Ferrell</v>
      </c>
      <c r="I817" s="24" t="s">
        <v>3087</v>
      </c>
      <c r="J817" s="22">
        <v>185258.0</v>
      </c>
      <c r="K817" s="22" t="s">
        <v>3088</v>
      </c>
      <c r="L817" s="22">
        <v>404.0</v>
      </c>
      <c r="M817" s="22" t="s">
        <v>24</v>
      </c>
      <c r="N817" s="22" t="s">
        <v>25</v>
      </c>
      <c r="O817" s="23">
        <v>2.4E7</v>
      </c>
      <c r="P817" s="10">
        <f t="shared" si="2"/>
        <v>50608545</v>
      </c>
      <c r="Q817" s="12">
        <f t="shared" si="3"/>
        <v>0</v>
      </c>
      <c r="R817" s="22">
        <v>2003.0</v>
      </c>
      <c r="S817" s="22">
        <v>7.2</v>
      </c>
    </row>
    <row r="818" ht="15.75" customHeight="1">
      <c r="A818" s="25" t="s">
        <v>3089</v>
      </c>
      <c r="B818" s="8" t="str">
        <f>IFERROR(__xludf.DUMMYFUNCTION("REGEXREPLACE(A818, ""[^0-9a-zA-Z .'Ã]"","""")"),"John R. Leonetti")</f>
        <v>John R. Leonetti</v>
      </c>
      <c r="C818" s="26">
        <v>59.0</v>
      </c>
      <c r="D818" s="27">
        <v>3.5927406E7</v>
      </c>
      <c r="E818" s="26" t="s">
        <v>449</v>
      </c>
      <c r="F818" s="9">
        <f t="shared" si="1"/>
        <v>5</v>
      </c>
      <c r="G818" s="26" t="s">
        <v>3090</v>
      </c>
      <c r="H818" s="11" t="str">
        <f>IFERROR(__xludf.DUMMYFUNCTION("REGEXREPLACE(G818, ""[^0-9a-zA-Z .'Ã]"","""")"),"Brian Thompson")</f>
        <v>Brian Thompson</v>
      </c>
      <c r="I818" s="28" t="s">
        <v>3091</v>
      </c>
      <c r="J818" s="26">
        <v>36363.0</v>
      </c>
      <c r="K818" s="26" t="s">
        <v>3092</v>
      </c>
      <c r="L818" s="26">
        <v>256.0</v>
      </c>
      <c r="M818" s="26" t="s">
        <v>24</v>
      </c>
      <c r="N818" s="26" t="s">
        <v>25</v>
      </c>
      <c r="O818" s="27">
        <v>3.0E7</v>
      </c>
      <c r="P818" s="10">
        <f t="shared" si="2"/>
        <v>5927406</v>
      </c>
      <c r="Q818" s="12">
        <f t="shared" si="3"/>
        <v>0</v>
      </c>
      <c r="R818" s="26">
        <v>1997.0</v>
      </c>
      <c r="S818" s="26">
        <v>3.7</v>
      </c>
    </row>
    <row r="819" ht="15.75" customHeight="1">
      <c r="A819" s="25" t="s">
        <v>3093</v>
      </c>
      <c r="B819" s="8" t="str">
        <f>IFERROR(__xludf.DUMMYFUNCTION("REGEXREPLACE(A819, ""[^0-9a-zA-Z .'Ã]"","""")"),"Steve Trenbirth")</f>
        <v>Steve Trenbirth</v>
      </c>
      <c r="C819" s="26">
        <v>85.0</v>
      </c>
      <c r="D819" s="27">
        <v>4.7887943E7</v>
      </c>
      <c r="E819" s="26" t="s">
        <v>3094</v>
      </c>
      <c r="F819" s="9">
        <f t="shared" si="1"/>
        <v>4</v>
      </c>
      <c r="G819" s="26" t="s">
        <v>1225</v>
      </c>
      <c r="H819" s="11" t="str">
        <f>IFERROR(__xludf.DUMMYFUNCTION("REGEXREPLACE(G819, ""[^0-9a-zA-Z .'Ã]"","""")"),"Haley Joel Osment")</f>
        <v>Haley Joel Osment</v>
      </c>
      <c r="I819" s="28" t="s">
        <v>3095</v>
      </c>
      <c r="J819" s="26">
        <v>11634.0</v>
      </c>
      <c r="K819" s="26" t="s">
        <v>3096</v>
      </c>
      <c r="L819" s="26">
        <v>58.0</v>
      </c>
      <c r="M819" s="26" t="s">
        <v>24</v>
      </c>
      <c r="N819" s="26" t="s">
        <v>25</v>
      </c>
      <c r="O819" s="27">
        <v>2.0E7</v>
      </c>
      <c r="P819" s="10">
        <f t="shared" si="2"/>
        <v>27887943</v>
      </c>
      <c r="Q819" s="12">
        <f t="shared" si="3"/>
        <v>0</v>
      </c>
      <c r="R819" s="26">
        <v>2003.0</v>
      </c>
      <c r="S819" s="26">
        <v>5.4</v>
      </c>
    </row>
    <row r="820" ht="15.75" customHeight="1">
      <c r="A820" s="7" t="s">
        <v>635</v>
      </c>
      <c r="B820" s="8" t="str">
        <f>IFERROR(__xludf.DUMMYFUNCTION("REGEXREPLACE(A820, ""[^0-9a-zA-Z .'Ã]"","""")"),"Steven Spielberg")</f>
        <v>Steven Spielberg</v>
      </c>
      <c r="C820" s="9">
        <v>385.0</v>
      </c>
      <c r="D820" s="10">
        <v>2.6E8</v>
      </c>
      <c r="E820" s="9" t="s">
        <v>3081</v>
      </c>
      <c r="F820" s="9">
        <f t="shared" si="1"/>
        <v>3</v>
      </c>
      <c r="G820" s="9" t="s">
        <v>3097</v>
      </c>
      <c r="H820" s="11" t="str">
        <f>IFERROR(__xludf.DUMMYFUNCTION("REGEXREPLACE(G820, ""[^0-9a-zA-Z .'Ã]"","""")"),"Roy Scheider")</f>
        <v>Roy Scheider</v>
      </c>
      <c r="I820" s="11" t="s">
        <v>3098</v>
      </c>
      <c r="J820" s="9">
        <v>412454.0</v>
      </c>
      <c r="K820" s="9" t="s">
        <v>3099</v>
      </c>
      <c r="L820" s="9">
        <v>962.0</v>
      </c>
      <c r="M820" s="9" t="s">
        <v>24</v>
      </c>
      <c r="N820" s="9" t="s">
        <v>25</v>
      </c>
      <c r="O820" s="10">
        <v>8000000.0</v>
      </c>
      <c r="P820" s="10">
        <f t="shared" si="2"/>
        <v>252000000</v>
      </c>
      <c r="Q820" s="12">
        <f t="shared" si="3"/>
        <v>0</v>
      </c>
      <c r="R820" s="9">
        <v>1975.0</v>
      </c>
      <c r="S820" s="9">
        <v>8.0</v>
      </c>
    </row>
    <row r="821" ht="15.75" customHeight="1">
      <c r="A821" s="17" t="s">
        <v>3100</v>
      </c>
      <c r="B821" s="8" t="str">
        <f>IFERROR(__xludf.DUMMYFUNCTION("REGEXREPLACE(A821, ""[^0-9a-zA-Z .'Ã]"","""")"),"John Milius")</f>
        <v>John Milius</v>
      </c>
      <c r="C821" s="18">
        <v>166.0</v>
      </c>
      <c r="D821" s="19">
        <v>3.756744E7</v>
      </c>
      <c r="E821" s="18" t="s">
        <v>3101</v>
      </c>
      <c r="F821" s="9">
        <f t="shared" si="1"/>
        <v>2</v>
      </c>
      <c r="G821" s="18" t="s">
        <v>3102</v>
      </c>
      <c r="H821" s="11" t="str">
        <f>IFERROR(__xludf.DUMMYFUNCTION("REGEXREPLACE(G821, ""[^0-9a-zA-Z .'Ã]"","""")"),"William Smith")</f>
        <v>William Smith</v>
      </c>
      <c r="I821" s="20" t="s">
        <v>3103</v>
      </c>
      <c r="J821" s="18">
        <v>113068.0</v>
      </c>
      <c r="K821" s="18" t="s">
        <v>3104</v>
      </c>
      <c r="L821" s="18">
        <v>337.0</v>
      </c>
      <c r="M821" s="18" t="s">
        <v>24</v>
      </c>
      <c r="N821" s="18" t="s">
        <v>25</v>
      </c>
      <c r="O821" s="19">
        <v>2.0E7</v>
      </c>
      <c r="P821" s="10">
        <f t="shared" si="2"/>
        <v>17567440</v>
      </c>
      <c r="Q821" s="12">
        <f t="shared" si="3"/>
        <v>0</v>
      </c>
      <c r="R821" s="18">
        <v>1982.0</v>
      </c>
      <c r="S821" s="18">
        <v>6.9</v>
      </c>
    </row>
    <row r="822" ht="15.75" customHeight="1">
      <c r="A822" s="17" t="s">
        <v>932</v>
      </c>
      <c r="B822" s="8" t="str">
        <f>IFERROR(__xludf.DUMMYFUNCTION("REGEXREPLACE(A822, ""[^0-9a-zA-Z .'Ã]"","""")"),"Sofia Coppola")</f>
        <v>Sofia Coppola</v>
      </c>
      <c r="C822" s="18">
        <v>152.0</v>
      </c>
      <c r="D822" s="19">
        <v>4859475.0</v>
      </c>
      <c r="E822" s="18" t="s">
        <v>232</v>
      </c>
      <c r="F822" s="9">
        <f t="shared" si="1"/>
        <v>2</v>
      </c>
      <c r="G822" s="18" t="s">
        <v>951</v>
      </c>
      <c r="H822" s="11" t="str">
        <f>IFERROR(__xludf.DUMMYFUNCTION("REGEXREPLACE(G822, ""[^0-9a-zA-Z .'Ã]"","""")"),"Kirsten Dunst")</f>
        <v>Kirsten Dunst</v>
      </c>
      <c r="I822" s="20" t="s">
        <v>3105</v>
      </c>
      <c r="J822" s="18">
        <v>116910.0</v>
      </c>
      <c r="K822" s="18" t="s">
        <v>3106</v>
      </c>
      <c r="L822" s="18">
        <v>520.0</v>
      </c>
      <c r="M822" s="18" t="s">
        <v>24</v>
      </c>
      <c r="N822" s="18" t="s">
        <v>25</v>
      </c>
      <c r="O822" s="19">
        <v>6000000.0</v>
      </c>
      <c r="P822" s="10">
        <f t="shared" si="2"/>
        <v>0</v>
      </c>
      <c r="Q822" s="12">
        <f t="shared" si="3"/>
        <v>1140525</v>
      </c>
      <c r="R822" s="18">
        <v>1999.0</v>
      </c>
      <c r="S822" s="18">
        <v>7.2</v>
      </c>
    </row>
    <row r="823" ht="15.75" customHeight="1">
      <c r="A823" s="17" t="s">
        <v>896</v>
      </c>
      <c r="B823" s="8" t="str">
        <f>IFERROR(__xludf.DUMMYFUNCTION("REGEXREPLACE(A823, ""[^0-9a-zA-Z .'Ã]"","""")"),"Kevin Smith")</f>
        <v>Kevin Smith</v>
      </c>
      <c r="C823" s="18">
        <v>206.0</v>
      </c>
      <c r="D823" s="19">
        <v>3.0651422E7</v>
      </c>
      <c r="E823" s="18" t="s">
        <v>3107</v>
      </c>
      <c r="F823" s="9">
        <f t="shared" si="1"/>
        <v>4</v>
      </c>
      <c r="G823" s="18" t="s">
        <v>585</v>
      </c>
      <c r="H823" s="11" t="str">
        <f>IFERROR(__xludf.DUMMYFUNCTION("REGEXREPLACE(G823, ""[^0-9a-zA-Z .'Ã]"","""")"),"Matt Damon")</f>
        <v>Matt Damon</v>
      </c>
      <c r="I823" s="20" t="s">
        <v>3108</v>
      </c>
      <c r="J823" s="18">
        <v>181737.0</v>
      </c>
      <c r="K823" s="18" t="s">
        <v>3109</v>
      </c>
      <c r="L823" s="18">
        <v>1015.0</v>
      </c>
      <c r="M823" s="18" t="s">
        <v>24</v>
      </c>
      <c r="N823" s="18" t="s">
        <v>25</v>
      </c>
      <c r="O823" s="19">
        <v>1.0E7</v>
      </c>
      <c r="P823" s="10">
        <f t="shared" si="2"/>
        <v>20651422</v>
      </c>
      <c r="Q823" s="12">
        <f t="shared" si="3"/>
        <v>0</v>
      </c>
      <c r="R823" s="18">
        <v>1999.0</v>
      </c>
      <c r="S823" s="18">
        <v>7.4</v>
      </c>
    </row>
    <row r="824" ht="15.75" customHeight="1">
      <c r="A824" s="7" t="s">
        <v>3110</v>
      </c>
      <c r="B824" s="8" t="str">
        <f>IFERROR(__xludf.DUMMYFUNCTION("REGEXREPLACE(A824, ""[^0-9a-zA-Z .'Ã]"","""")"),"Victor Salva")</f>
        <v>Victor Salva</v>
      </c>
      <c r="C824" s="9">
        <v>167.0</v>
      </c>
      <c r="D824" s="10">
        <v>3.5143332E7</v>
      </c>
      <c r="E824" s="9" t="s">
        <v>148</v>
      </c>
      <c r="F824" s="9">
        <f t="shared" si="1"/>
        <v>1</v>
      </c>
      <c r="G824" s="9" t="s">
        <v>3111</v>
      </c>
      <c r="H824" s="11" t="str">
        <f>IFERROR(__xludf.DUMMYFUNCTION("REGEXREPLACE(G824, ""[^0-9a-zA-Z .'Ã]"","""")"),"Nicki Aycox")</f>
        <v>Nicki Aycox</v>
      </c>
      <c r="I824" s="11" t="s">
        <v>3112</v>
      </c>
      <c r="J824" s="9">
        <v>45102.0</v>
      </c>
      <c r="K824" s="9" t="s">
        <v>3113</v>
      </c>
      <c r="L824" s="9">
        <v>316.0</v>
      </c>
      <c r="M824" s="9" t="s">
        <v>24</v>
      </c>
      <c r="N824" s="9" t="s">
        <v>25</v>
      </c>
      <c r="O824" s="10">
        <v>1.7E7</v>
      </c>
      <c r="P824" s="10">
        <f t="shared" si="2"/>
        <v>18143332</v>
      </c>
      <c r="Q824" s="12">
        <f t="shared" si="3"/>
        <v>0</v>
      </c>
      <c r="R824" s="9">
        <v>2003.0</v>
      </c>
      <c r="S824" s="9">
        <v>5.6</v>
      </c>
    </row>
    <row r="825" ht="15.75" customHeight="1">
      <c r="A825" s="7" t="s">
        <v>3114</v>
      </c>
      <c r="B825" s="8" t="str">
        <f>IFERROR(__xludf.DUMMYFUNCTION("REGEXREPLACE(A825, ""[^0-9a-zA-Z .'Ã]"","""")"),"Andrew Dominik")</f>
        <v>Andrew Dominik</v>
      </c>
      <c r="C825" s="9">
        <v>414.0</v>
      </c>
      <c r="D825" s="10">
        <v>1.493857E7</v>
      </c>
      <c r="E825" s="9" t="s">
        <v>316</v>
      </c>
      <c r="F825" s="9">
        <f t="shared" si="1"/>
        <v>2</v>
      </c>
      <c r="G825" s="9" t="s">
        <v>1426</v>
      </c>
      <c r="H825" s="11" t="str">
        <f>IFERROR(__xludf.DUMMYFUNCTION("REGEXREPLACE(G825, ""[^0-9a-zA-Z .'Ã]"","""")"),"Brad Pitt")</f>
        <v>Brad Pitt</v>
      </c>
      <c r="I825" s="11" t="s">
        <v>3115</v>
      </c>
      <c r="J825" s="9">
        <v>111625.0</v>
      </c>
      <c r="K825" s="9" t="s">
        <v>3116</v>
      </c>
      <c r="L825" s="9">
        <v>369.0</v>
      </c>
      <c r="M825" s="9" t="s">
        <v>24</v>
      </c>
      <c r="N825" s="9" t="s">
        <v>25</v>
      </c>
      <c r="O825" s="10">
        <v>1.5E7</v>
      </c>
      <c r="P825" s="10">
        <f t="shared" si="2"/>
        <v>0</v>
      </c>
      <c r="Q825" s="12">
        <f t="shared" si="3"/>
        <v>61430</v>
      </c>
      <c r="R825" s="9">
        <v>2012.0</v>
      </c>
      <c r="S825" s="9">
        <v>6.2</v>
      </c>
    </row>
    <row r="826" ht="15.75" customHeight="1">
      <c r="A826" s="21" t="s">
        <v>2009</v>
      </c>
      <c r="B826" s="8" t="str">
        <f>IFERROR(__xludf.DUMMYFUNCTION("REGEXREPLACE(A826, ""[^0-9a-zA-Z .'Ã]"","""")"),"Anne Fletcher")</f>
        <v>Anne Fletcher</v>
      </c>
      <c r="C826" s="22">
        <v>175.0</v>
      </c>
      <c r="D826" s="23">
        <v>7.6806312E7</v>
      </c>
      <c r="E826" s="22" t="s">
        <v>89</v>
      </c>
      <c r="F826" s="9">
        <f t="shared" si="1"/>
        <v>2</v>
      </c>
      <c r="G826" s="22" t="s">
        <v>642</v>
      </c>
      <c r="H826" s="11" t="str">
        <f>IFERROR(__xludf.DUMMYFUNCTION("REGEXREPLACE(G826, ""[^0-9a-zA-Z .'Ã]"","""")"),"Judy Greer")</f>
        <v>Judy Greer</v>
      </c>
      <c r="I826" s="24" t="s">
        <v>3117</v>
      </c>
      <c r="J826" s="22">
        <v>124501.0</v>
      </c>
      <c r="K826" s="22" t="s">
        <v>3118</v>
      </c>
      <c r="L826" s="22">
        <v>154.0</v>
      </c>
      <c r="M826" s="22" t="s">
        <v>24</v>
      </c>
      <c r="N826" s="22" t="s">
        <v>25</v>
      </c>
      <c r="O826" s="23">
        <v>3.0E7</v>
      </c>
      <c r="P826" s="10">
        <f t="shared" si="2"/>
        <v>46806312</v>
      </c>
      <c r="Q826" s="12">
        <f t="shared" si="3"/>
        <v>0</v>
      </c>
      <c r="R826" s="22">
        <v>2008.0</v>
      </c>
      <c r="S826" s="22">
        <v>6.1</v>
      </c>
    </row>
    <row r="827" ht="15.75" customHeight="1">
      <c r="A827" s="7" t="s">
        <v>3119</v>
      </c>
      <c r="B827" s="8" t="str">
        <f>IFERROR(__xludf.DUMMYFUNCTION("REGEXREPLACE(A827, ""[^0-9a-zA-Z -.'Ã]"","""")"),"Jean-Marie PoirÃ")</f>
        <v>Jean-Marie PoirÃ</v>
      </c>
      <c r="C827" s="9">
        <v>16.0</v>
      </c>
      <c r="D827" s="10">
        <v>700000.0</v>
      </c>
      <c r="E827" s="9" t="s">
        <v>3120</v>
      </c>
      <c r="F827" s="9">
        <f t="shared" si="1"/>
        <v>3</v>
      </c>
      <c r="G827" s="9" t="s">
        <v>3121</v>
      </c>
      <c r="H827" s="11" t="str">
        <f>IFERROR(__xludf.DUMMYFUNCTION("REGEXREPLACE(G827, ""[^0-9a-zA-Z .'Ã]"","""")"),"Christian Clavier")</f>
        <v>Christian Clavier</v>
      </c>
      <c r="I827" s="11" t="s">
        <v>3122</v>
      </c>
      <c r="J827" s="9">
        <v>24438.0</v>
      </c>
      <c r="K827" s="9" t="s">
        <v>3123</v>
      </c>
      <c r="L827" s="9">
        <v>78.0</v>
      </c>
      <c r="M827" s="9" t="s">
        <v>658</v>
      </c>
      <c r="N827" s="9" t="s">
        <v>608</v>
      </c>
      <c r="O827" s="10">
        <v>5.0E7</v>
      </c>
      <c r="P827" s="10">
        <f t="shared" si="2"/>
        <v>0</v>
      </c>
      <c r="Q827" s="12">
        <f t="shared" si="3"/>
        <v>49300000</v>
      </c>
      <c r="R827" s="9">
        <v>1993.0</v>
      </c>
      <c r="S827" s="9">
        <v>7.0</v>
      </c>
    </row>
    <row r="828" ht="15.75" customHeight="1">
      <c r="A828" s="25" t="s">
        <v>752</v>
      </c>
      <c r="B828" s="8" t="str">
        <f>IFERROR(__xludf.DUMMYFUNCTION("REGEXREPLACE(A828, ""[^0-9a-zA-Z .'Ã]"","""")"),"Mike Nichols")</f>
        <v>Mike Nichols</v>
      </c>
      <c r="C828" s="26">
        <v>269.0</v>
      </c>
      <c r="D828" s="27">
        <v>6.6636385E7</v>
      </c>
      <c r="E828" s="26" t="s">
        <v>3124</v>
      </c>
      <c r="F828" s="9">
        <f t="shared" si="1"/>
        <v>4</v>
      </c>
      <c r="G828" s="26" t="s">
        <v>1340</v>
      </c>
      <c r="H828" s="11" t="str">
        <f>IFERROR(__xludf.DUMMYFUNCTION("REGEXREPLACE(G828, ""[^0-9a-zA-Z .'Ã]"","""")"),"Philip Seymour Hoffman")</f>
        <v>Philip Seymour Hoffman</v>
      </c>
      <c r="I828" s="28" t="s">
        <v>3125</v>
      </c>
      <c r="J828" s="26">
        <v>88451.0</v>
      </c>
      <c r="K828" s="26" t="s">
        <v>3126</v>
      </c>
      <c r="L828" s="26">
        <v>289.0</v>
      </c>
      <c r="M828" s="26" t="s">
        <v>24</v>
      </c>
      <c r="N828" s="26" t="s">
        <v>25</v>
      </c>
      <c r="O828" s="27">
        <v>7.5E7</v>
      </c>
      <c r="P828" s="10">
        <f t="shared" si="2"/>
        <v>0</v>
      </c>
      <c r="Q828" s="12">
        <f t="shared" si="3"/>
        <v>8363615</v>
      </c>
      <c r="R828" s="26">
        <v>2007.0</v>
      </c>
      <c r="S828" s="26">
        <v>7.1</v>
      </c>
    </row>
    <row r="829" ht="15.75" customHeight="1">
      <c r="A829" s="7" t="s">
        <v>2009</v>
      </c>
      <c r="B829" s="8" t="str">
        <f>IFERROR(__xludf.DUMMYFUNCTION("REGEXREPLACE(A829, ""[^0-9a-zA-Z .'Ã]"","""")"),"Anne Fletcher")</f>
        <v>Anne Fletcher</v>
      </c>
      <c r="C829" s="9">
        <v>224.0</v>
      </c>
      <c r="D829" s="10">
        <v>1.63947053E8</v>
      </c>
      <c r="E829" s="9" t="s">
        <v>159</v>
      </c>
      <c r="F829" s="9">
        <f t="shared" si="1"/>
        <v>3</v>
      </c>
      <c r="G829" s="9" t="s">
        <v>2451</v>
      </c>
      <c r="H829" s="11" t="str">
        <f>IFERROR(__xludf.DUMMYFUNCTION("REGEXREPLACE(G829, ""[^0-9a-zA-Z .'Ã]"","""")"),"Ryan Reynolds")</f>
        <v>Ryan Reynolds</v>
      </c>
      <c r="I829" s="11" t="s">
        <v>3127</v>
      </c>
      <c r="J829" s="9">
        <v>227824.0</v>
      </c>
      <c r="K829" s="9" t="s">
        <v>3128</v>
      </c>
      <c r="L829" s="9">
        <v>273.0</v>
      </c>
      <c r="M829" s="9" t="s">
        <v>24</v>
      </c>
      <c r="N829" s="9" t="s">
        <v>25</v>
      </c>
      <c r="O829" s="10">
        <v>4.0E7</v>
      </c>
      <c r="P829" s="10">
        <f t="shared" si="2"/>
        <v>123947053</v>
      </c>
      <c r="Q829" s="12">
        <f t="shared" si="3"/>
        <v>0</v>
      </c>
      <c r="R829" s="9">
        <v>2009.0</v>
      </c>
      <c r="S829" s="9">
        <v>6.7</v>
      </c>
    </row>
    <row r="830" ht="15.75" customHeight="1">
      <c r="A830" s="21" t="s">
        <v>158</v>
      </c>
      <c r="B830" s="8" t="str">
        <f>IFERROR(__xludf.DUMMYFUNCTION("REGEXREPLACE(A830, ""[^0-9a-zA-Z .'Ã]"","""")"),"James L. Brooks")</f>
        <v>James L. Brooks</v>
      </c>
      <c r="C830" s="22">
        <v>156.0</v>
      </c>
      <c r="D830" s="23">
        <v>1.47637474E8</v>
      </c>
      <c r="E830" s="22" t="s">
        <v>159</v>
      </c>
      <c r="F830" s="9">
        <f t="shared" si="1"/>
        <v>3</v>
      </c>
      <c r="G830" s="22" t="s">
        <v>3129</v>
      </c>
      <c r="H830" s="11" t="str">
        <f>IFERROR(__xludf.DUMMYFUNCTION("REGEXREPLACE(G830, ""[^0-9a-zA-Z .'Ã]"","""")"),"Lupe Ontiveros")</f>
        <v>Lupe Ontiveros</v>
      </c>
      <c r="I830" s="24" t="s">
        <v>3130</v>
      </c>
      <c r="J830" s="22">
        <v>224671.0</v>
      </c>
      <c r="K830" s="22" t="s">
        <v>3131</v>
      </c>
      <c r="L830" s="22">
        <v>470.0</v>
      </c>
      <c r="M830" s="22" t="s">
        <v>24</v>
      </c>
      <c r="N830" s="22" t="s">
        <v>25</v>
      </c>
      <c r="O830" s="23">
        <v>5.0E7</v>
      </c>
      <c r="P830" s="10">
        <f t="shared" si="2"/>
        <v>97637474</v>
      </c>
      <c r="Q830" s="12">
        <f t="shared" si="3"/>
        <v>0</v>
      </c>
      <c r="R830" s="22">
        <v>1997.0</v>
      </c>
      <c r="S830" s="22">
        <v>7.7</v>
      </c>
    </row>
    <row r="831" ht="15.75" customHeight="1">
      <c r="A831" s="7" t="s">
        <v>3132</v>
      </c>
      <c r="B831" s="8" t="str">
        <f>IFERROR(__xludf.DUMMYFUNCTION("REGEXREPLACE(A831, ""[^0-9a-zA-Z .'Ã]"","""")"),"Rob Zombie")</f>
        <v>Rob Zombie</v>
      </c>
      <c r="C831" s="9">
        <v>261.0</v>
      </c>
      <c r="D831" s="10">
        <v>1.6901126E7</v>
      </c>
      <c r="E831" s="9" t="s">
        <v>3133</v>
      </c>
      <c r="F831" s="9">
        <f t="shared" si="1"/>
        <v>2</v>
      </c>
      <c r="G831" s="9" t="s">
        <v>3134</v>
      </c>
      <c r="H831" s="11" t="str">
        <f>IFERROR(__xludf.DUMMYFUNCTION("REGEXREPLACE(G831, ""[^0-9a-zA-Z .'Ã]"","""")"),"Sid Haig")</f>
        <v>Sid Haig</v>
      </c>
      <c r="I831" s="11" t="s">
        <v>3135</v>
      </c>
      <c r="J831" s="9">
        <v>76267.0</v>
      </c>
      <c r="K831" s="9" t="s">
        <v>3136</v>
      </c>
      <c r="L831" s="9">
        <v>687.0</v>
      </c>
      <c r="M831" s="9" t="s">
        <v>24</v>
      </c>
      <c r="N831" s="9" t="s">
        <v>25</v>
      </c>
      <c r="O831" s="10">
        <v>7000000.0</v>
      </c>
      <c r="P831" s="10">
        <f t="shared" si="2"/>
        <v>9901126</v>
      </c>
      <c r="Q831" s="12">
        <f t="shared" si="3"/>
        <v>0</v>
      </c>
      <c r="R831" s="9">
        <v>2005.0</v>
      </c>
      <c r="S831" s="9">
        <v>6.9</v>
      </c>
    </row>
    <row r="832" ht="15.75" customHeight="1">
      <c r="A832" s="29" t="s">
        <v>2704</v>
      </c>
      <c r="B832" s="8" t="str">
        <f>IFERROR(__xludf.DUMMYFUNCTION("REGEXREPLACE(A832, ""[^0-9a-zA-Z .'Ã]"","""")"),"Bennett Miller")</f>
        <v>Bennett Miller</v>
      </c>
      <c r="C832" s="30">
        <v>271.0</v>
      </c>
      <c r="D832" s="31">
        <v>2.874757E7</v>
      </c>
      <c r="E832" s="30" t="s">
        <v>1774</v>
      </c>
      <c r="F832" s="9">
        <f t="shared" si="1"/>
        <v>3</v>
      </c>
      <c r="G832" s="30" t="s">
        <v>1340</v>
      </c>
      <c r="H832" s="11" t="str">
        <f>IFERROR(__xludf.DUMMYFUNCTION("REGEXREPLACE(G832, ""[^0-9a-zA-Z .'Ã]"","""")"),"Philip Seymour Hoffman")</f>
        <v>Philip Seymour Hoffman</v>
      </c>
      <c r="I832" s="32" t="s">
        <v>3137</v>
      </c>
      <c r="J832" s="30">
        <v>100571.0</v>
      </c>
      <c r="K832" s="30" t="s">
        <v>3138</v>
      </c>
      <c r="L832" s="30">
        <v>416.0</v>
      </c>
      <c r="M832" s="30" t="s">
        <v>24</v>
      </c>
      <c r="N832" s="30" t="s">
        <v>624</v>
      </c>
      <c r="O832" s="31">
        <v>7000000.0</v>
      </c>
      <c r="P832" s="10">
        <f t="shared" si="2"/>
        <v>21747570</v>
      </c>
      <c r="Q832" s="12">
        <f t="shared" si="3"/>
        <v>0</v>
      </c>
      <c r="R832" s="30">
        <v>2005.0</v>
      </c>
      <c r="S832" s="30">
        <v>7.4</v>
      </c>
    </row>
    <row r="833" ht="15.75" customHeight="1">
      <c r="A833" s="21" t="s">
        <v>963</v>
      </c>
      <c r="B833" s="8" t="str">
        <f>IFERROR(__xludf.DUMMYFUNCTION("REGEXREPLACE(A833, ""[^0-9a-zA-Z .'Ã]"","""")"),"Glenn Ficarra")</f>
        <v>Glenn Ficarra</v>
      </c>
      <c r="C833" s="22">
        <v>242.0</v>
      </c>
      <c r="D833" s="23">
        <v>2035566.0</v>
      </c>
      <c r="E833" s="22" t="s">
        <v>3139</v>
      </c>
      <c r="F833" s="9">
        <f t="shared" si="1"/>
        <v>5</v>
      </c>
      <c r="G833" s="22" t="s">
        <v>3140</v>
      </c>
      <c r="H833" s="11" t="str">
        <f>IFERROR(__xludf.DUMMYFUNCTION("REGEXREPLACE(G833, ""[^0-9a-zA-Z .'Ã]"","""")"),"Dameon Clarke")</f>
        <v>Dameon Clarke</v>
      </c>
      <c r="I833" s="24" t="s">
        <v>3141</v>
      </c>
      <c r="J833" s="22">
        <v>77305.0</v>
      </c>
      <c r="K833" s="22" t="s">
        <v>3142</v>
      </c>
      <c r="L833" s="22">
        <v>162.0</v>
      </c>
      <c r="M833" s="22" t="s">
        <v>24</v>
      </c>
      <c r="N833" s="22" t="s">
        <v>608</v>
      </c>
      <c r="O833" s="23">
        <v>1.3E7</v>
      </c>
      <c r="P833" s="10">
        <f t="shared" si="2"/>
        <v>0</v>
      </c>
      <c r="Q833" s="12">
        <f t="shared" si="3"/>
        <v>10964434</v>
      </c>
      <c r="R833" s="22">
        <v>2009.0</v>
      </c>
      <c r="S833" s="22">
        <v>6.6</v>
      </c>
    </row>
    <row r="834" ht="15.75" customHeight="1">
      <c r="A834" s="21" t="s">
        <v>3143</v>
      </c>
      <c r="B834" s="8" t="str">
        <f>IFERROR(__xludf.DUMMYFUNCTION("REGEXREPLACE(A834, ""[^0-9a-zA-Z .'Ã]"","""")"),"Michael Cimino")</f>
        <v>Michael Cimino</v>
      </c>
      <c r="C834" s="22">
        <v>102.0</v>
      </c>
      <c r="D834" s="23">
        <v>1500000.0</v>
      </c>
      <c r="E834" s="22" t="s">
        <v>2055</v>
      </c>
      <c r="F834" s="9">
        <f t="shared" si="1"/>
        <v>3</v>
      </c>
      <c r="G834" s="22" t="s">
        <v>1400</v>
      </c>
      <c r="H834" s="11" t="str">
        <f>IFERROR(__xludf.DUMMYFUNCTION("REGEXREPLACE(G834, ""[^0-9a-zA-Z .'Ã]"","""")"),"Jeff Bridges")</f>
        <v>Jeff Bridges</v>
      </c>
      <c r="I834" s="24" t="s">
        <v>3144</v>
      </c>
      <c r="J834" s="22">
        <v>9830.0</v>
      </c>
      <c r="K834" s="22" t="s">
        <v>3145</v>
      </c>
      <c r="L834" s="22">
        <v>189.0</v>
      </c>
      <c r="M834" s="22" t="s">
        <v>24</v>
      </c>
      <c r="N834" s="22" t="s">
        <v>25</v>
      </c>
      <c r="O834" s="23">
        <v>4.4E7</v>
      </c>
      <c r="P834" s="10">
        <f t="shared" si="2"/>
        <v>0</v>
      </c>
      <c r="Q834" s="12">
        <f t="shared" si="3"/>
        <v>42500000</v>
      </c>
      <c r="R834" s="22">
        <v>1980.0</v>
      </c>
      <c r="S834" s="22">
        <v>6.8</v>
      </c>
    </row>
    <row r="835" ht="15.75" customHeight="1">
      <c r="A835" s="13" t="s">
        <v>990</v>
      </c>
      <c r="B835" s="8" t="str">
        <f>IFERROR(__xludf.DUMMYFUNCTION("REGEXREPLACE(A835, ""[^0-9a-zA-Z .'Ã]"","""")"),"Malcolm D. Lee")</f>
        <v>Malcolm D. Lee</v>
      </c>
      <c r="C835" s="14">
        <v>76.0</v>
      </c>
      <c r="D835" s="15">
        <v>4.2168445E7</v>
      </c>
      <c r="E835" s="14" t="s">
        <v>159</v>
      </c>
      <c r="F835" s="9">
        <f t="shared" si="1"/>
        <v>3</v>
      </c>
      <c r="G835" s="14" t="s">
        <v>2279</v>
      </c>
      <c r="H835" s="11" t="str">
        <f>IFERROR(__xludf.DUMMYFUNCTION("REGEXREPLACE(G835, ""[^0-9a-zA-Z .'Ã]"","""")"),"Mo'Nique")</f>
        <v>Mo'Nique</v>
      </c>
      <c r="I835" s="16" t="s">
        <v>3146</v>
      </c>
      <c r="J835" s="14">
        <v>10791.0</v>
      </c>
      <c r="K835" s="14" t="s">
        <v>3147</v>
      </c>
      <c r="L835" s="14">
        <v>39.0</v>
      </c>
      <c r="M835" s="14" t="s">
        <v>24</v>
      </c>
      <c r="N835" s="14" t="s">
        <v>25</v>
      </c>
      <c r="O835" s="15">
        <v>3.5E7</v>
      </c>
      <c r="P835" s="10">
        <f t="shared" si="2"/>
        <v>7168445</v>
      </c>
      <c r="Q835" s="12">
        <f t="shared" si="3"/>
        <v>0</v>
      </c>
      <c r="R835" s="14">
        <v>2008.0</v>
      </c>
      <c r="S835" s="14">
        <v>5.3</v>
      </c>
    </row>
    <row r="836" ht="15.75" customHeight="1">
      <c r="A836" s="13" t="s">
        <v>3148</v>
      </c>
      <c r="B836" s="8" t="str">
        <f>IFERROR(__xludf.DUMMYFUNCTION("REGEXREPLACE(A836, ""[^0-9a-zA-Z .'Ã]"","""")"),"Roger Kumble")</f>
        <v>Roger Kumble</v>
      </c>
      <c r="C836" s="14">
        <v>99.0</v>
      </c>
      <c r="D836" s="15">
        <v>2.4430272E7</v>
      </c>
      <c r="E836" s="14" t="s">
        <v>89</v>
      </c>
      <c r="F836" s="9">
        <f t="shared" si="1"/>
        <v>2</v>
      </c>
      <c r="G836" s="14" t="s">
        <v>3149</v>
      </c>
      <c r="H836" s="11" t="str">
        <f>IFERROR(__xludf.DUMMYFUNCTION("REGEXREPLACE(G836, ""[^0-9a-zA-Z .'Ã]"","""")"),"Judith Chapman")</f>
        <v>Judith Chapman</v>
      </c>
      <c r="I836" s="16" t="s">
        <v>3150</v>
      </c>
      <c r="J836" s="14">
        <v>46158.0</v>
      </c>
      <c r="K836" s="14" t="s">
        <v>3151</v>
      </c>
      <c r="L836" s="14">
        <v>403.0</v>
      </c>
      <c r="M836" s="14" t="s">
        <v>24</v>
      </c>
      <c r="N836" s="14" t="s">
        <v>25</v>
      </c>
      <c r="O836" s="15">
        <v>4.3E7</v>
      </c>
      <c r="P836" s="10">
        <f t="shared" si="2"/>
        <v>0</v>
      </c>
      <c r="Q836" s="12">
        <f t="shared" si="3"/>
        <v>18569728</v>
      </c>
      <c r="R836" s="14">
        <v>2002.0</v>
      </c>
      <c r="S836" s="14">
        <v>5.1</v>
      </c>
    </row>
    <row r="837" ht="15.75" customHeight="1">
      <c r="A837" s="29" t="s">
        <v>381</v>
      </c>
      <c r="B837" s="8" t="str">
        <f>IFERROR(__xludf.DUMMYFUNCTION("REGEXREPLACE(A837, ""[^0-9a-zA-Z .'Ã]"","""")"),"Brian De Palma")</f>
        <v>Brian De Palma</v>
      </c>
      <c r="C837" s="30">
        <v>181.0</v>
      </c>
      <c r="D837" s="31">
        <v>6.0874615E7</v>
      </c>
      <c r="E837" s="30" t="s">
        <v>1317</v>
      </c>
      <c r="F837" s="9">
        <f t="shared" si="1"/>
        <v>3</v>
      </c>
      <c r="G837" s="30" t="s">
        <v>590</v>
      </c>
      <c r="H837" s="11" t="str">
        <f>IFERROR(__xludf.DUMMYFUNCTION("REGEXREPLACE(G837, ""[^0-9a-zA-Z .'Ã]"","""")"),"Don Cheadle")</f>
        <v>Don Cheadle</v>
      </c>
      <c r="I837" s="32" t="s">
        <v>3152</v>
      </c>
      <c r="J837" s="30">
        <v>60467.0</v>
      </c>
      <c r="K837" s="30" t="s">
        <v>3153</v>
      </c>
      <c r="L837" s="30">
        <v>949.0</v>
      </c>
      <c r="M837" s="30" t="s">
        <v>24</v>
      </c>
      <c r="N837" s="30" t="s">
        <v>25</v>
      </c>
      <c r="O837" s="31">
        <v>9.0E7</v>
      </c>
      <c r="P837" s="10">
        <f t="shared" si="2"/>
        <v>0</v>
      </c>
      <c r="Q837" s="12">
        <f t="shared" si="3"/>
        <v>29125385</v>
      </c>
      <c r="R837" s="30">
        <v>2000.0</v>
      </c>
      <c r="S837" s="30">
        <v>5.6</v>
      </c>
    </row>
    <row r="838" ht="15.75" customHeight="1">
      <c r="A838" s="13" t="s">
        <v>3154</v>
      </c>
      <c r="B838" s="8" t="str">
        <f>IFERROR(__xludf.DUMMYFUNCTION("REGEXREPLACE(A838, ""[^0-9a-zA-Z .'Ã]"","""")"),"Steve Carr")</f>
        <v>Steve Carr</v>
      </c>
      <c r="C838" s="14">
        <v>55.0</v>
      </c>
      <c r="D838" s="15">
        <v>5.7176582E7</v>
      </c>
      <c r="E838" s="14" t="s">
        <v>137</v>
      </c>
      <c r="F838" s="9">
        <f t="shared" si="1"/>
        <v>1</v>
      </c>
      <c r="G838" s="14" t="s">
        <v>3155</v>
      </c>
      <c r="H838" s="11" t="str">
        <f>IFERROR(__xludf.DUMMYFUNCTION("REGEXREPLACE(G838, ""[^0-9a-zA-Z .'Ã]"","""")"),"John Witherspoon")</f>
        <v>John Witherspoon</v>
      </c>
      <c r="I838" s="16" t="s">
        <v>3156</v>
      </c>
      <c r="J838" s="14">
        <v>27492.0</v>
      </c>
      <c r="K838" s="14" t="s">
        <v>3157</v>
      </c>
      <c r="L838" s="14">
        <v>84.0</v>
      </c>
      <c r="M838" s="14" t="s">
        <v>24</v>
      </c>
      <c r="N838" s="14" t="s">
        <v>25</v>
      </c>
      <c r="O838" s="15">
        <v>9500000.0</v>
      </c>
      <c r="P838" s="10">
        <f t="shared" si="2"/>
        <v>47676582</v>
      </c>
      <c r="Q838" s="12">
        <f t="shared" si="3"/>
        <v>0</v>
      </c>
      <c r="R838" s="14">
        <v>2000.0</v>
      </c>
      <c r="S838" s="14">
        <v>6.1</v>
      </c>
    </row>
    <row r="839" ht="15.75" customHeight="1">
      <c r="A839" s="17" t="s">
        <v>3158</v>
      </c>
      <c r="B839" s="8" t="str">
        <f>IFERROR(__xludf.DUMMYFUNCTION("REGEXREPLACE(A839, ""[^0-9a-zA-Z .'Ã]"","""")"),"Francis Lawrence")</f>
        <v>Francis Lawrence</v>
      </c>
      <c r="C839" s="18">
        <v>279.0</v>
      </c>
      <c r="D839" s="19">
        <v>5.8700247E7</v>
      </c>
      <c r="E839" s="18" t="s">
        <v>232</v>
      </c>
      <c r="F839" s="9">
        <f t="shared" si="1"/>
        <v>2</v>
      </c>
      <c r="G839" s="18" t="s">
        <v>261</v>
      </c>
      <c r="H839" s="11" t="str">
        <f>IFERROR(__xludf.DUMMYFUNCTION("REGEXREPLACE(G839, ""[^0-9a-zA-Z .'Ã]"","""")"),"Robert Pattinson")</f>
        <v>Robert Pattinson</v>
      </c>
      <c r="I839" s="20" t="s">
        <v>3159</v>
      </c>
      <c r="J839" s="18">
        <v>95367.0</v>
      </c>
      <c r="K839" s="18" t="s">
        <v>3160</v>
      </c>
      <c r="L839" s="18">
        <v>260.0</v>
      </c>
      <c r="M839" s="18" t="s">
        <v>24</v>
      </c>
      <c r="N839" s="18" t="s">
        <v>25</v>
      </c>
      <c r="O839" s="19">
        <v>3.8E7</v>
      </c>
      <c r="P839" s="10">
        <f t="shared" si="2"/>
        <v>20700247</v>
      </c>
      <c r="Q839" s="12">
        <f t="shared" si="3"/>
        <v>0</v>
      </c>
      <c r="R839" s="18">
        <v>2011.0</v>
      </c>
      <c r="S839" s="18">
        <v>6.9</v>
      </c>
    </row>
    <row r="840" ht="15.75" customHeight="1">
      <c r="A840" s="25" t="s">
        <v>2649</v>
      </c>
      <c r="B840" s="8" t="str">
        <f>IFERROR(__xludf.DUMMYFUNCTION("REGEXREPLACE(A840, ""[^0-9a-zA-Z .'Ã]"","""")"),"Les Mayfield")</f>
        <v>Les Mayfield</v>
      </c>
      <c r="C840" s="26">
        <v>72.0</v>
      </c>
      <c r="D840" s="27">
        <v>8326035.0</v>
      </c>
      <c r="E840" s="26" t="s">
        <v>265</v>
      </c>
      <c r="F840" s="9">
        <f t="shared" si="1"/>
        <v>3</v>
      </c>
      <c r="G840" s="26" t="s">
        <v>3161</v>
      </c>
      <c r="H840" s="11" t="str">
        <f>IFERROR(__xludf.DUMMYFUNCTION("REGEXREPLACE(G840, ""[^0-9a-zA-Z .'Ã]"","""")"),"Miguel Ferrer")</f>
        <v>Miguel Ferrer</v>
      </c>
      <c r="I840" s="28" t="s">
        <v>3162</v>
      </c>
      <c r="J840" s="26">
        <v>21933.0</v>
      </c>
      <c r="K840" s="26" t="s">
        <v>3163</v>
      </c>
      <c r="L840" s="26">
        <v>76.0</v>
      </c>
      <c r="M840" s="26" t="s">
        <v>24</v>
      </c>
      <c r="N840" s="26" t="s">
        <v>173</v>
      </c>
      <c r="O840" s="27">
        <v>3.3E7</v>
      </c>
      <c r="P840" s="10">
        <f t="shared" si="2"/>
        <v>0</v>
      </c>
      <c r="Q840" s="12">
        <f t="shared" si="3"/>
        <v>24673965</v>
      </c>
      <c r="R840" s="26">
        <v>2005.0</v>
      </c>
      <c r="S840" s="26">
        <v>5.5</v>
      </c>
    </row>
    <row r="841" ht="15.75" customHeight="1">
      <c r="A841" s="7" t="s">
        <v>614</v>
      </c>
      <c r="B841" s="8" t="str">
        <f>IFERROR(__xludf.DUMMYFUNCTION("REGEXREPLACE(A841, ""[^0-9a-zA-Z .'Ã]"","""")"),"Steven Brill")</f>
        <v>Steven Brill</v>
      </c>
      <c r="C841" s="9">
        <v>117.0</v>
      </c>
      <c r="D841" s="10">
        <v>1.2620332E8</v>
      </c>
      <c r="E841" s="9" t="s">
        <v>89</v>
      </c>
      <c r="F841" s="9">
        <f t="shared" si="1"/>
        <v>2</v>
      </c>
      <c r="G841" s="9" t="s">
        <v>453</v>
      </c>
      <c r="H841" s="11" t="str">
        <f>IFERROR(__xludf.DUMMYFUNCTION("REGEXREPLACE(G841, ""[^0-9a-zA-Z .'Ã]"","""")"),"Steve Buscemi")</f>
        <v>Steve Buscemi</v>
      </c>
      <c r="I841" s="11" t="s">
        <v>3164</v>
      </c>
      <c r="J841" s="9">
        <v>110432.0</v>
      </c>
      <c r="K841" s="9" t="s">
        <v>3165</v>
      </c>
      <c r="L841" s="9">
        <v>309.0</v>
      </c>
      <c r="M841" s="9" t="s">
        <v>24</v>
      </c>
      <c r="N841" s="9" t="s">
        <v>25</v>
      </c>
      <c r="O841" s="10">
        <v>5.0E7</v>
      </c>
      <c r="P841" s="10">
        <f t="shared" si="2"/>
        <v>76203320</v>
      </c>
      <c r="Q841" s="12">
        <f t="shared" si="3"/>
        <v>0</v>
      </c>
      <c r="R841" s="9">
        <v>2002.0</v>
      </c>
      <c r="S841" s="9">
        <v>5.8</v>
      </c>
    </row>
    <row r="842" ht="15.75" customHeight="1">
      <c r="A842" s="21" t="s">
        <v>3166</v>
      </c>
      <c r="B842" s="8" t="str">
        <f>IFERROR(__xludf.DUMMYFUNCTION("REGEXREPLACE(A842, ""[^0-9a-zA-Z .'Ã]"","""")"),"Jerome Robbins")</f>
        <v>Jerome Robbins</v>
      </c>
      <c r="C842" s="22">
        <v>120.0</v>
      </c>
      <c r="D842" s="23">
        <v>4.365E7</v>
      </c>
      <c r="E842" s="22" t="s">
        <v>3167</v>
      </c>
      <c r="F842" s="9">
        <f t="shared" si="1"/>
        <v>5</v>
      </c>
      <c r="G842" s="22" t="s">
        <v>3168</v>
      </c>
      <c r="H842" s="11" t="str">
        <f>IFERROR(__xludf.DUMMYFUNCTION("REGEXREPLACE(G842, ""[^0-9a-zA-Z .'Ã]"","""")"),"Rita Moreno")</f>
        <v>Rita Moreno</v>
      </c>
      <c r="I842" s="24" t="s">
        <v>3169</v>
      </c>
      <c r="J842" s="22">
        <v>71919.0</v>
      </c>
      <c r="K842" s="22" t="s">
        <v>3170</v>
      </c>
      <c r="L842" s="22">
        <v>316.0</v>
      </c>
      <c r="M842" s="22" t="s">
        <v>24</v>
      </c>
      <c r="N842" s="22" t="s">
        <v>25</v>
      </c>
      <c r="O842" s="23">
        <v>6000000.0</v>
      </c>
      <c r="P842" s="10">
        <f t="shared" si="2"/>
        <v>37650000</v>
      </c>
      <c r="Q842" s="12">
        <f t="shared" si="3"/>
        <v>0</v>
      </c>
      <c r="R842" s="22">
        <v>1961.0</v>
      </c>
      <c r="S842" s="22">
        <v>7.6</v>
      </c>
    </row>
    <row r="843" ht="15.75" customHeight="1">
      <c r="A843" s="17" t="s">
        <v>3171</v>
      </c>
      <c r="B843" s="8" t="str">
        <f>IFERROR(__xludf.DUMMYFUNCTION("REGEXREPLACE(A843, ""[^0-9a-zA-Z .'Ã]"","""")"),"Steven Quale")</f>
        <v>Steven Quale</v>
      </c>
      <c r="C843" s="18">
        <v>228.0</v>
      </c>
      <c r="D843" s="19">
        <v>4.7553512E7</v>
      </c>
      <c r="E843" s="18" t="s">
        <v>1096</v>
      </c>
      <c r="F843" s="9">
        <f t="shared" si="1"/>
        <v>2</v>
      </c>
      <c r="G843" s="18" t="s">
        <v>3172</v>
      </c>
      <c r="H843" s="11" t="str">
        <f>IFERROR(__xludf.DUMMYFUNCTION("REGEXREPLACE(G843, ""[^0-9a-zA-Z .'Ã]"","""")"),"Matt Walsh")</f>
        <v>Matt Walsh</v>
      </c>
      <c r="I843" s="20" t="s">
        <v>3173</v>
      </c>
      <c r="J843" s="18">
        <v>54101.0</v>
      </c>
      <c r="K843" s="18" t="s">
        <v>3174</v>
      </c>
      <c r="L843" s="18">
        <v>210.0</v>
      </c>
      <c r="M843" s="18" t="s">
        <v>24</v>
      </c>
      <c r="N843" s="18" t="s">
        <v>25</v>
      </c>
      <c r="O843" s="19">
        <v>5.0E7</v>
      </c>
      <c r="P843" s="10">
        <f t="shared" si="2"/>
        <v>0</v>
      </c>
      <c r="Q843" s="12">
        <f t="shared" si="3"/>
        <v>2446488</v>
      </c>
      <c r="R843" s="18">
        <v>2014.0</v>
      </c>
      <c r="S843" s="18">
        <v>5.8</v>
      </c>
    </row>
    <row r="844" ht="15.75" customHeight="1">
      <c r="A844" s="13" t="s">
        <v>3175</v>
      </c>
      <c r="B844" s="8" t="str">
        <f>IFERROR(__xludf.DUMMYFUNCTION("REGEXREPLACE(A844, ""[^0-9a-zA-Z .'Ã]"","""")"),"Curtis Hanson")</f>
        <v>Curtis Hanson</v>
      </c>
      <c r="C844" s="14">
        <v>119.0</v>
      </c>
      <c r="D844" s="15">
        <v>1.16724075E8</v>
      </c>
      <c r="E844" s="14" t="s">
        <v>418</v>
      </c>
      <c r="F844" s="9">
        <f t="shared" si="1"/>
        <v>2</v>
      </c>
      <c r="G844" s="14" t="s">
        <v>3176</v>
      </c>
      <c r="H844" s="11" t="str">
        <f>IFERROR(__xludf.DUMMYFUNCTION("REGEXREPLACE(G844, ""[^0-9a-zA-Z .'Ã]"","""")"),"Mekhi Phifer")</f>
        <v>Mekhi Phifer</v>
      </c>
      <c r="I844" s="16" t="s">
        <v>3177</v>
      </c>
      <c r="J844" s="14">
        <v>187181.0</v>
      </c>
      <c r="K844" s="14" t="s">
        <v>3178</v>
      </c>
      <c r="L844" s="14">
        <v>564.0</v>
      </c>
      <c r="M844" s="14" t="s">
        <v>24</v>
      </c>
      <c r="N844" s="14" t="s">
        <v>25</v>
      </c>
      <c r="O844" s="15">
        <v>4.1E7</v>
      </c>
      <c r="P844" s="10">
        <f t="shared" si="2"/>
        <v>75724075</v>
      </c>
      <c r="Q844" s="12">
        <f t="shared" si="3"/>
        <v>0</v>
      </c>
      <c r="R844" s="14">
        <v>2002.0</v>
      </c>
      <c r="S844" s="14">
        <v>7.0</v>
      </c>
    </row>
    <row r="845" ht="15.75" customHeight="1">
      <c r="A845" s="21" t="s">
        <v>1425</v>
      </c>
      <c r="B845" s="8" t="str">
        <f>IFERROR(__xludf.DUMMYFUNCTION("REGEXREPLACE(A845, ""[^0-9a-zA-Z .'Ã]"","""")"),"David Fincher")</f>
        <v>David Fincher</v>
      </c>
      <c r="C845" s="22">
        <v>517.0</v>
      </c>
      <c r="D845" s="23">
        <v>1.02515793E8</v>
      </c>
      <c r="E845" s="22" t="s">
        <v>435</v>
      </c>
      <c r="F845" s="9">
        <f t="shared" si="1"/>
        <v>4</v>
      </c>
      <c r="G845" s="22" t="s">
        <v>233</v>
      </c>
      <c r="H845" s="11" t="str">
        <f>IFERROR(__xludf.DUMMYFUNCTION("REGEXREPLACE(G845, ""[^0-9a-zA-Z .'Ã]"","""")"),"Robin Wright")</f>
        <v>Robin Wright</v>
      </c>
      <c r="I845" s="24" t="s">
        <v>3179</v>
      </c>
      <c r="J845" s="22">
        <v>330152.0</v>
      </c>
      <c r="K845" s="22" t="s">
        <v>3180</v>
      </c>
      <c r="L845" s="22">
        <v>632.0</v>
      </c>
      <c r="M845" s="22" t="s">
        <v>24</v>
      </c>
      <c r="N845" s="22" t="s">
        <v>25</v>
      </c>
      <c r="O845" s="23">
        <v>9.0E7</v>
      </c>
      <c r="P845" s="10">
        <f t="shared" si="2"/>
        <v>12515793</v>
      </c>
      <c r="Q845" s="12">
        <f t="shared" si="3"/>
        <v>0</v>
      </c>
      <c r="R845" s="22">
        <v>2011.0</v>
      </c>
      <c r="S845" s="22">
        <v>7.8</v>
      </c>
    </row>
    <row r="846" ht="15.75" customHeight="1">
      <c r="A846" s="25" t="s">
        <v>3181</v>
      </c>
      <c r="B846" s="8" t="str">
        <f>IFERROR(__xludf.DUMMYFUNCTION("REGEXREPLACE(A846, ""[^0-9a-zA-Z .'Ã]"","""")"),"Guy Ritchie")</f>
        <v>Guy Ritchie</v>
      </c>
      <c r="C846" s="26">
        <v>415.0</v>
      </c>
      <c r="D846" s="27">
        <v>2.09019489E8</v>
      </c>
      <c r="E846" s="26" t="s">
        <v>3182</v>
      </c>
      <c r="F846" s="9">
        <f t="shared" si="1"/>
        <v>5</v>
      </c>
      <c r="G846" s="26" t="s">
        <v>327</v>
      </c>
      <c r="H846" s="11" t="str">
        <f>IFERROR(__xludf.DUMMYFUNCTION("REGEXREPLACE(G846, ""[^0-9a-zA-Z .'Ã]"","""")"),"Robert Downey Jr.")</f>
        <v>Robert Downey Jr.</v>
      </c>
      <c r="I846" s="28" t="s">
        <v>3183</v>
      </c>
      <c r="J846" s="26">
        <v>477300.0</v>
      </c>
      <c r="K846" s="26" t="s">
        <v>3184</v>
      </c>
      <c r="L846" s="26">
        <v>621.0</v>
      </c>
      <c r="M846" s="26" t="s">
        <v>24</v>
      </c>
      <c r="N846" s="26" t="s">
        <v>25</v>
      </c>
      <c r="O846" s="27">
        <v>9.0E7</v>
      </c>
      <c r="P846" s="10">
        <f t="shared" si="2"/>
        <v>119019489</v>
      </c>
      <c r="Q846" s="12">
        <f t="shared" si="3"/>
        <v>0</v>
      </c>
      <c r="R846" s="26">
        <v>2009.0</v>
      </c>
      <c r="S846" s="26">
        <v>7.6</v>
      </c>
    </row>
    <row r="847" ht="15.75" customHeight="1">
      <c r="A847" s="13" t="s">
        <v>3185</v>
      </c>
      <c r="B847" s="8" t="str">
        <f>IFERROR(__xludf.DUMMYFUNCTION("REGEXREPLACE(A847, ""[^0-9a-zA-Z .'Ã]"","""")"),"Jason Reitman")</f>
        <v>Jason Reitman</v>
      </c>
      <c r="C847" s="14">
        <v>325.0</v>
      </c>
      <c r="D847" s="15">
        <v>1.6300302E7</v>
      </c>
      <c r="E847" s="14" t="s">
        <v>454</v>
      </c>
      <c r="F847" s="9">
        <f t="shared" si="1"/>
        <v>2</v>
      </c>
      <c r="G847" s="14" t="s">
        <v>3186</v>
      </c>
      <c r="H847" s="11" t="str">
        <f>IFERROR(__xludf.DUMMYFUNCTION("REGEXREPLACE(G847, ""[^0-9a-zA-Z .'Ã]"","""")"),"Charlize Theron")</f>
        <v>Charlize Theron</v>
      </c>
      <c r="I847" s="16" t="s">
        <v>3187</v>
      </c>
      <c r="J847" s="14">
        <v>64682.0</v>
      </c>
      <c r="K847" s="14" t="s">
        <v>3188</v>
      </c>
      <c r="L847" s="14">
        <v>203.0</v>
      </c>
      <c r="M847" s="14" t="s">
        <v>24</v>
      </c>
      <c r="N847" s="14" t="s">
        <v>25</v>
      </c>
      <c r="O847" s="15">
        <v>1.2E7</v>
      </c>
      <c r="P847" s="10">
        <f t="shared" si="2"/>
        <v>4300302</v>
      </c>
      <c r="Q847" s="12">
        <f t="shared" si="3"/>
        <v>0</v>
      </c>
      <c r="R847" s="14">
        <v>2011.0</v>
      </c>
      <c r="S847" s="14">
        <v>6.3</v>
      </c>
    </row>
    <row r="848" ht="15.75" customHeight="1">
      <c r="A848" s="21" t="s">
        <v>68</v>
      </c>
      <c r="B848" s="8" t="str">
        <f>IFERROR(__xludf.DUMMYFUNCTION("REGEXREPLACE(A848, ""[^0-9a-zA-Z .'Ã]"","""")"),"Spike Lee")</f>
        <v>Spike Lee</v>
      </c>
      <c r="C848" s="22">
        <v>23.0</v>
      </c>
      <c r="D848" s="23">
        <v>1.61536E7</v>
      </c>
      <c r="E848" s="22" t="s">
        <v>734</v>
      </c>
      <c r="F848" s="9">
        <f t="shared" si="1"/>
        <v>3</v>
      </c>
      <c r="G848" s="22" t="s">
        <v>70</v>
      </c>
      <c r="H848" s="11" t="str">
        <f>IFERROR(__xludf.DUMMYFUNCTION("REGEXREPLACE(G848, ""[^0-9a-zA-Z .'Ã]"","""")"),"Denzel Washington")</f>
        <v>Denzel Washington</v>
      </c>
      <c r="I848" s="24" t="s">
        <v>3189</v>
      </c>
      <c r="J848" s="22">
        <v>8295.0</v>
      </c>
      <c r="K848" s="22" t="s">
        <v>3190</v>
      </c>
      <c r="L848" s="22">
        <v>30.0</v>
      </c>
      <c r="M848" s="22" t="s">
        <v>24</v>
      </c>
      <c r="N848" s="22" t="s">
        <v>25</v>
      </c>
      <c r="O848" s="23">
        <v>1.0E7</v>
      </c>
      <c r="P848" s="10">
        <f t="shared" si="2"/>
        <v>6153600</v>
      </c>
      <c r="Q848" s="12">
        <f t="shared" si="3"/>
        <v>0</v>
      </c>
      <c r="R848" s="22">
        <v>1990.0</v>
      </c>
      <c r="S848" s="22">
        <v>6.5</v>
      </c>
    </row>
    <row r="849" ht="15.75" customHeight="1">
      <c r="A849" s="29" t="s">
        <v>972</v>
      </c>
      <c r="B849" s="8" t="str">
        <f>IFERROR(__xludf.DUMMYFUNCTION("REGEXREPLACE(A849, ""[^0-9a-zA-Z .'Ã]"","""")"),"Shawn Levy")</f>
        <v>Shawn Levy</v>
      </c>
      <c r="C849" s="30">
        <v>147.0</v>
      </c>
      <c r="D849" s="31">
        <v>8.2226474E7</v>
      </c>
      <c r="E849" s="30" t="s">
        <v>3191</v>
      </c>
      <c r="F849" s="9">
        <f t="shared" si="1"/>
        <v>5</v>
      </c>
      <c r="G849" s="30" t="s">
        <v>3192</v>
      </c>
      <c r="H849" s="11" t="str">
        <f>IFERROR(__xludf.DUMMYFUNCTION("REGEXREPLACE(G849, ""[^0-9a-zA-Z .'Ã]"","""")"),"Roger Rees")</f>
        <v>Roger Rees</v>
      </c>
      <c r="I849" s="32" t="s">
        <v>3193</v>
      </c>
      <c r="J849" s="30">
        <v>65499.0</v>
      </c>
      <c r="K849" s="30" t="s">
        <v>3194</v>
      </c>
      <c r="L849" s="30">
        <v>424.0</v>
      </c>
      <c r="M849" s="30" t="s">
        <v>24</v>
      </c>
      <c r="N849" s="30" t="s">
        <v>25</v>
      </c>
      <c r="O849" s="31">
        <v>6.5E7</v>
      </c>
      <c r="P849" s="10">
        <f t="shared" si="2"/>
        <v>17226474</v>
      </c>
      <c r="Q849" s="12">
        <f t="shared" si="3"/>
        <v>0</v>
      </c>
      <c r="R849" s="30">
        <v>2006.0</v>
      </c>
      <c r="S849" s="30">
        <v>5.6</v>
      </c>
    </row>
    <row r="850" ht="15.75" customHeight="1">
      <c r="A850" s="13" t="s">
        <v>3195</v>
      </c>
      <c r="B850" s="8" t="str">
        <f>IFERROR(__xludf.DUMMYFUNCTION("REGEXREPLACE(A850, ""[^0-9a-zA-Z .'Ã]"","""")"),"James DeMonaco")</f>
        <v>James DeMonaco</v>
      </c>
      <c r="C850" s="14">
        <v>361.0</v>
      </c>
      <c r="D850" s="15">
        <v>6.442365E7</v>
      </c>
      <c r="E850" s="14" t="s">
        <v>1017</v>
      </c>
      <c r="F850" s="9">
        <f t="shared" si="1"/>
        <v>3</v>
      </c>
      <c r="G850" s="14" t="s">
        <v>3196</v>
      </c>
      <c r="H850" s="11" t="str">
        <f>IFERROR(__xludf.DUMMYFUNCTION("REGEXREPLACE(G850, ""[^0-9a-zA-Z .'Ã]"","""")"),"Rhys Wakefield")</f>
        <v>Rhys Wakefield</v>
      </c>
      <c r="I850" s="16" t="s">
        <v>3197</v>
      </c>
      <c r="J850" s="14">
        <v>139329.0</v>
      </c>
      <c r="K850" s="14" t="s">
        <v>3198</v>
      </c>
      <c r="L850" s="14">
        <v>578.0</v>
      </c>
      <c r="M850" s="14" t="s">
        <v>24</v>
      </c>
      <c r="N850" s="14" t="s">
        <v>25</v>
      </c>
      <c r="O850" s="15">
        <v>3000000.0</v>
      </c>
      <c r="P850" s="10">
        <f t="shared" si="2"/>
        <v>61423650</v>
      </c>
      <c r="Q850" s="12">
        <f t="shared" si="3"/>
        <v>0</v>
      </c>
      <c r="R850" s="14">
        <v>2013.0</v>
      </c>
      <c r="S850" s="14">
        <v>5.7</v>
      </c>
    </row>
    <row r="851" ht="15.75" customHeight="1">
      <c r="A851" s="17" t="s">
        <v>3199</v>
      </c>
      <c r="B851" s="8" t="str">
        <f>IFERROR(__xludf.DUMMYFUNCTION("REGEXREPLACE(A851, ""[^0-9a-zA-Z .'Ã]"","""")"),"Kenneth Branagh")</f>
        <v>Kenneth Branagh</v>
      </c>
      <c r="C851" s="18">
        <v>41.0</v>
      </c>
      <c r="D851" s="19">
        <v>2.2551E7</v>
      </c>
      <c r="E851" s="18" t="s">
        <v>159</v>
      </c>
      <c r="F851" s="9">
        <f t="shared" si="1"/>
        <v>3</v>
      </c>
      <c r="G851" s="18" t="s">
        <v>1170</v>
      </c>
      <c r="H851" s="11" t="str">
        <f>IFERROR(__xludf.DUMMYFUNCTION("REGEXREPLACE(G851, ""[^0-9a-zA-Z .'Ã]"","""")"),"Keanu Reeves")</f>
        <v>Keanu Reeves</v>
      </c>
      <c r="I851" s="20" t="s">
        <v>3200</v>
      </c>
      <c r="J851" s="18">
        <v>37269.0</v>
      </c>
      <c r="K851" s="18" t="s">
        <v>3201</v>
      </c>
      <c r="L851" s="18">
        <v>165.0</v>
      </c>
      <c r="M851" s="18" t="s">
        <v>24</v>
      </c>
      <c r="N851" s="18" t="s">
        <v>130</v>
      </c>
      <c r="O851" s="19">
        <v>8000000.0</v>
      </c>
      <c r="P851" s="10">
        <f t="shared" si="2"/>
        <v>14551000</v>
      </c>
      <c r="Q851" s="12">
        <f t="shared" si="3"/>
        <v>0</v>
      </c>
      <c r="R851" s="18">
        <v>1993.0</v>
      </c>
      <c r="S851" s="18">
        <v>7.4</v>
      </c>
    </row>
    <row r="852" ht="15.75" customHeight="1">
      <c r="A852" s="25" t="s">
        <v>3202</v>
      </c>
      <c r="B852" s="8" t="str">
        <f>IFERROR(__xludf.DUMMYFUNCTION("REGEXREPLACE(A852, ""[^0-9a-zA-Z .'Ã]"","""")"),"Gary Sherman")</f>
        <v>Gary Sherman</v>
      </c>
      <c r="C852" s="26">
        <v>66.0</v>
      </c>
      <c r="D852" s="27">
        <v>1.4114488E7</v>
      </c>
      <c r="E852" s="26" t="s">
        <v>306</v>
      </c>
      <c r="F852" s="9">
        <f t="shared" si="1"/>
        <v>2</v>
      </c>
      <c r="G852" s="26" t="s">
        <v>3203</v>
      </c>
      <c r="H852" s="11" t="str">
        <f>IFERROR(__xludf.DUMMYFUNCTION("REGEXREPLACE(G852, ""[^0-9a-zA-Z .'Ã]"","""")"),"Tom Skerritt")</f>
        <v>Tom Skerritt</v>
      </c>
      <c r="I852" s="28" t="s">
        <v>3204</v>
      </c>
      <c r="J852" s="26">
        <v>13190.0</v>
      </c>
      <c r="K852" s="26" t="s">
        <v>3205</v>
      </c>
      <c r="L852" s="26">
        <v>114.0</v>
      </c>
      <c r="M852" s="26" t="s">
        <v>24</v>
      </c>
      <c r="N852" s="26" t="s">
        <v>25</v>
      </c>
      <c r="O852" s="27">
        <v>1.05E7</v>
      </c>
      <c r="P852" s="10">
        <f t="shared" si="2"/>
        <v>3614488</v>
      </c>
      <c r="Q852" s="12">
        <f t="shared" si="3"/>
        <v>0</v>
      </c>
      <c r="R852" s="26">
        <v>1988.0</v>
      </c>
      <c r="S852" s="26">
        <v>4.5</v>
      </c>
    </row>
    <row r="853" ht="15.75" customHeight="1">
      <c r="A853" s="21" t="s">
        <v>3206</v>
      </c>
      <c r="B853" s="8" t="str">
        <f>IFERROR(__xludf.DUMMYFUNCTION("REGEXREPLACE(A853, ""[^0-9a-zA-Z .'Ã]"","""")"),"Michael Landon Jr.")</f>
        <v>Michael Landon Jr.</v>
      </c>
      <c r="C853" s="22">
        <v>18.0</v>
      </c>
      <c r="D853" s="23">
        <v>379643.0</v>
      </c>
      <c r="E853" s="22" t="s">
        <v>103</v>
      </c>
      <c r="F853" s="9">
        <f t="shared" si="1"/>
        <v>1</v>
      </c>
      <c r="G853" s="22" t="s">
        <v>3207</v>
      </c>
      <c r="H853" s="11" t="str">
        <f>IFERROR(__xludf.DUMMYFUNCTION("REGEXREPLACE(G853, ""[^0-9a-zA-Z .'Ã]"","""")"),"Henry Thomas")</f>
        <v>Henry Thomas</v>
      </c>
      <c r="I853" s="24" t="s">
        <v>3208</v>
      </c>
      <c r="J853" s="22">
        <v>1573.0</v>
      </c>
      <c r="K853" s="22" t="s">
        <v>3209</v>
      </c>
      <c r="L853" s="22">
        <v>29.0</v>
      </c>
      <c r="M853" s="22" t="s">
        <v>24</v>
      </c>
      <c r="N853" s="22" t="s">
        <v>25</v>
      </c>
      <c r="O853" s="23">
        <v>2200000.0</v>
      </c>
      <c r="P853" s="10">
        <f t="shared" si="2"/>
        <v>0</v>
      </c>
      <c r="Q853" s="12">
        <f t="shared" si="3"/>
        <v>1820357</v>
      </c>
      <c r="R853" s="22">
        <v>2007.0</v>
      </c>
      <c r="S853" s="22">
        <v>5.9</v>
      </c>
    </row>
    <row r="854" ht="15.75" customHeight="1">
      <c r="A854" s="21" t="s">
        <v>3210</v>
      </c>
      <c r="B854" s="8" t="str">
        <f>IFERROR(__xludf.DUMMYFUNCTION("REGEXREPLACE(A854, ""[^0-9a-zA-Z .'Ã]"","""")"),"Preston A. Whitmore II")</f>
        <v>Preston A. Whitmore II</v>
      </c>
      <c r="C854" s="22">
        <v>37.0</v>
      </c>
      <c r="D854" s="23">
        <v>4.9121934E7</v>
      </c>
      <c r="E854" s="22" t="s">
        <v>159</v>
      </c>
      <c r="F854" s="9">
        <f t="shared" si="1"/>
        <v>3</v>
      </c>
      <c r="G854" s="22" t="s">
        <v>3176</v>
      </c>
      <c r="H854" s="11" t="str">
        <f>IFERROR(__xludf.DUMMYFUNCTION("REGEXREPLACE(G854, ""[^0-9a-zA-Z .'Ã]"","""")"),"Mekhi Phifer")</f>
        <v>Mekhi Phifer</v>
      </c>
      <c r="I854" s="24" t="s">
        <v>3211</v>
      </c>
      <c r="J854" s="22">
        <v>6528.0</v>
      </c>
      <c r="K854" s="22" t="s">
        <v>3212</v>
      </c>
      <c r="L854" s="22">
        <v>32.0</v>
      </c>
      <c r="M854" s="22" t="s">
        <v>24</v>
      </c>
      <c r="N854" s="22" t="s">
        <v>25</v>
      </c>
      <c r="O854" s="23">
        <v>1.3E7</v>
      </c>
      <c r="P854" s="10">
        <f t="shared" si="2"/>
        <v>36121934</v>
      </c>
      <c r="Q854" s="12">
        <f t="shared" si="3"/>
        <v>0</v>
      </c>
      <c r="R854" s="22">
        <v>2007.0</v>
      </c>
      <c r="S854" s="22">
        <v>6.1</v>
      </c>
    </row>
    <row r="855" ht="15.75" customHeight="1">
      <c r="A855" s="13" t="s">
        <v>112</v>
      </c>
      <c r="B855" s="8" t="str">
        <f>IFERROR(__xludf.DUMMYFUNCTION("REGEXREPLACE(A855, ""[^0-9a-zA-Z .'Ã]"","""")"),"Nick Cassavetes")</f>
        <v>Nick Cassavetes</v>
      </c>
      <c r="C855" s="14">
        <v>191.0</v>
      </c>
      <c r="D855" s="15">
        <v>8.3906114E7</v>
      </c>
      <c r="E855" s="14" t="s">
        <v>89</v>
      </c>
      <c r="F855" s="9">
        <f t="shared" si="1"/>
        <v>2</v>
      </c>
      <c r="G855" s="14" t="s">
        <v>2360</v>
      </c>
      <c r="H855" s="11" t="str">
        <f>IFERROR(__xludf.DUMMYFUNCTION("REGEXREPLACE(G855, ""[^0-9a-zA-Z .'Ã]"","""")"),"Don Johnson")</f>
        <v>Don Johnson</v>
      </c>
      <c r="I855" s="16" t="s">
        <v>3213</v>
      </c>
      <c r="J855" s="14">
        <v>104481.0</v>
      </c>
      <c r="K855" s="14" t="s">
        <v>3214</v>
      </c>
      <c r="L855" s="14">
        <v>189.0</v>
      </c>
      <c r="M855" s="14" t="s">
        <v>24</v>
      </c>
      <c r="N855" s="14" t="s">
        <v>25</v>
      </c>
      <c r="O855" s="15">
        <v>4.0E7</v>
      </c>
      <c r="P855" s="10">
        <f t="shared" si="2"/>
        <v>43906114</v>
      </c>
      <c r="Q855" s="12">
        <f t="shared" si="3"/>
        <v>0</v>
      </c>
      <c r="R855" s="14">
        <v>2014.0</v>
      </c>
      <c r="S855" s="14">
        <v>6.0</v>
      </c>
    </row>
    <row r="856" ht="15.75" customHeight="1">
      <c r="A856" s="25" t="s">
        <v>1984</v>
      </c>
      <c r="B856" s="8" t="str">
        <f>IFERROR(__xludf.DUMMYFUNCTION("REGEXREPLACE(A856, ""[^0-9a-zA-Z .'Ã]"","""")"),"Danny DeVito")</f>
        <v>Danny DeVito</v>
      </c>
      <c r="C856" s="26">
        <v>105.0</v>
      </c>
      <c r="D856" s="27">
        <v>8355815.0</v>
      </c>
      <c r="E856" s="26" t="s">
        <v>3215</v>
      </c>
      <c r="F856" s="9">
        <f t="shared" si="1"/>
        <v>4</v>
      </c>
      <c r="G856" s="26" t="s">
        <v>673</v>
      </c>
      <c r="H856" s="11" t="str">
        <f>IFERROR(__xludf.DUMMYFUNCTION("REGEXREPLACE(G856, ""[^0-9a-zA-Z .'Ã]"","""")"),"Robin Williams")</f>
        <v>Robin Williams</v>
      </c>
      <c r="I856" s="28" t="s">
        <v>3216</v>
      </c>
      <c r="J856" s="26">
        <v>34730.0</v>
      </c>
      <c r="K856" s="26" t="s">
        <v>3217</v>
      </c>
      <c r="L856" s="26">
        <v>341.0</v>
      </c>
      <c r="M856" s="26" t="s">
        <v>24</v>
      </c>
      <c r="N856" s="26" t="s">
        <v>130</v>
      </c>
      <c r="O856" s="27">
        <v>5.5E7</v>
      </c>
      <c r="P856" s="10">
        <f t="shared" si="2"/>
        <v>0</v>
      </c>
      <c r="Q856" s="12">
        <f t="shared" si="3"/>
        <v>46644185</v>
      </c>
      <c r="R856" s="26">
        <v>2002.0</v>
      </c>
      <c r="S856" s="26">
        <v>6.4</v>
      </c>
    </row>
    <row r="857" ht="15.75" customHeight="1">
      <c r="A857" s="25" t="s">
        <v>3218</v>
      </c>
      <c r="B857" s="8" t="str">
        <f>IFERROR(__xludf.DUMMYFUNCTION("REGEXREPLACE(A857, ""[^0-9a-zA-Z .'Ã]"","""")"),"John Frankenheimer")</f>
        <v>John Frankenheimer</v>
      </c>
      <c r="C857" s="26">
        <v>70.0</v>
      </c>
      <c r="D857" s="27">
        <v>2.7663982E7</v>
      </c>
      <c r="E857" s="26" t="s">
        <v>1017</v>
      </c>
      <c r="F857" s="9">
        <f t="shared" si="1"/>
        <v>3</v>
      </c>
      <c r="G857" s="26" t="s">
        <v>1930</v>
      </c>
      <c r="H857" s="11" t="str">
        <f>IFERROR(__xludf.DUMMYFUNCTION("REGEXREPLACE(G857, ""[^0-9a-zA-Z .'Ã]"","""")"),"Marlon Brando")</f>
        <v>Marlon Brando</v>
      </c>
      <c r="I857" s="28" t="s">
        <v>3219</v>
      </c>
      <c r="J857" s="26">
        <v>26051.0</v>
      </c>
      <c r="K857" s="26" t="s">
        <v>3220</v>
      </c>
      <c r="L857" s="26">
        <v>164.0</v>
      </c>
      <c r="M857" s="26" t="s">
        <v>24</v>
      </c>
      <c r="N857" s="26" t="s">
        <v>25</v>
      </c>
      <c r="O857" s="27">
        <v>4.0E7</v>
      </c>
      <c r="P857" s="10">
        <f t="shared" si="2"/>
        <v>0</v>
      </c>
      <c r="Q857" s="12">
        <f t="shared" si="3"/>
        <v>12336018</v>
      </c>
      <c r="R857" s="26">
        <v>1996.0</v>
      </c>
      <c r="S857" s="26">
        <v>4.4</v>
      </c>
    </row>
    <row r="858" ht="15.75" customHeight="1">
      <c r="A858" s="7" t="s">
        <v>2692</v>
      </c>
      <c r="B858" s="8" t="str">
        <f>IFERROR(__xludf.DUMMYFUNCTION("REGEXREPLACE(A858, ""[^0-9a-zA-Z .'Ã]"","""")"),"Taylor Hackford")</f>
        <v>Taylor Hackford</v>
      </c>
      <c r="C858" s="9">
        <v>134.0</v>
      </c>
      <c r="D858" s="10">
        <v>3.2598931E7</v>
      </c>
      <c r="E858" s="9" t="s">
        <v>175</v>
      </c>
      <c r="F858" s="9">
        <f t="shared" si="1"/>
        <v>3</v>
      </c>
      <c r="G858" s="9" t="s">
        <v>3221</v>
      </c>
      <c r="H858" s="11" t="str">
        <f>IFERROR(__xludf.DUMMYFUNCTION("REGEXREPLACE(G858, ""[^0-9a-zA-Z .'Ã]"","""")"),"Pamela Reed")</f>
        <v>Pamela Reed</v>
      </c>
      <c r="I858" s="11" t="s">
        <v>3222</v>
      </c>
      <c r="J858" s="9">
        <v>49300.0</v>
      </c>
      <c r="K858" s="9" t="s">
        <v>3223</v>
      </c>
      <c r="L858" s="9">
        <v>265.0</v>
      </c>
      <c r="M858" s="9" t="s">
        <v>24</v>
      </c>
      <c r="N858" s="9" t="s">
        <v>25</v>
      </c>
      <c r="O858" s="10">
        <v>6.5E7</v>
      </c>
      <c r="P858" s="10">
        <f t="shared" si="2"/>
        <v>0</v>
      </c>
      <c r="Q858" s="12">
        <f t="shared" si="3"/>
        <v>32401069</v>
      </c>
      <c r="R858" s="9">
        <v>2000.0</v>
      </c>
      <c r="S858" s="9">
        <v>6.2</v>
      </c>
    </row>
    <row r="859" ht="15.75" customHeight="1">
      <c r="A859" s="21" t="s">
        <v>3224</v>
      </c>
      <c r="B859" s="8" t="str">
        <f>IFERROR(__xludf.DUMMYFUNCTION("REGEXREPLACE(A859, ""[^0-9a-zA-Z .'Ã]"","""")"),"Chuck Sheetz")</f>
        <v>Chuck Sheetz</v>
      </c>
      <c r="C859" s="22">
        <v>44.0</v>
      </c>
      <c r="D859" s="23">
        <v>3.6696761E7</v>
      </c>
      <c r="E859" s="22" t="s">
        <v>3225</v>
      </c>
      <c r="F859" s="9">
        <f t="shared" si="1"/>
        <v>5</v>
      </c>
      <c r="G859" s="22" t="s">
        <v>3226</v>
      </c>
      <c r="H859" s="11" t="str">
        <f>IFERROR(__xludf.DUMMYFUNCTION("REGEXREPLACE(G859, ""[^0-9a-zA-Z .'Ã]"","""")"),"Diedrich Bader")</f>
        <v>Diedrich Bader</v>
      </c>
      <c r="I859" s="24" t="s">
        <v>3227</v>
      </c>
      <c r="J859" s="22">
        <v>6808.0</v>
      </c>
      <c r="K859" s="22" t="s">
        <v>3228</v>
      </c>
      <c r="L859" s="22">
        <v>38.0</v>
      </c>
      <c r="M859" s="22" t="s">
        <v>24</v>
      </c>
      <c r="N859" s="22" t="s">
        <v>25</v>
      </c>
      <c r="O859" s="23">
        <v>2.3E7</v>
      </c>
      <c r="P859" s="10">
        <f t="shared" si="2"/>
        <v>13696761</v>
      </c>
      <c r="Q859" s="12">
        <f t="shared" si="3"/>
        <v>0</v>
      </c>
      <c r="R859" s="22">
        <v>2001.0</v>
      </c>
      <c r="S859" s="22">
        <v>6.5</v>
      </c>
    </row>
    <row r="860" ht="15.75" customHeight="1">
      <c r="A860" s="7" t="s">
        <v>3229</v>
      </c>
      <c r="B860" s="8" t="str">
        <f>IFERROR(__xludf.DUMMYFUNCTION("REGEXREPLACE(A860, ""[^0-9a-zA-Z -.'Ã]"","""")"),"Dagur KÃri")</f>
        <v>Dagur KÃri</v>
      </c>
      <c r="C860" s="9">
        <v>61.0</v>
      </c>
      <c r="D860" s="10">
        <v>19959.0</v>
      </c>
      <c r="E860" s="9" t="s">
        <v>103</v>
      </c>
      <c r="F860" s="9">
        <f t="shared" si="1"/>
        <v>1</v>
      </c>
      <c r="G860" s="9" t="s">
        <v>3230</v>
      </c>
      <c r="H860" s="11" t="str">
        <f>IFERROR(__xludf.DUMMYFUNCTION("REGEXREPLACE(G860, ""[^0-9a-zA-Z .'Ã]"","""")"),"Alice Olivia Clarke")</f>
        <v>Alice Olivia Clarke</v>
      </c>
      <c r="I860" s="11" t="s">
        <v>3231</v>
      </c>
      <c r="J860" s="9">
        <v>3579.0</v>
      </c>
      <c r="K860" s="9" t="s">
        <v>3232</v>
      </c>
      <c r="L860" s="9">
        <v>14.0</v>
      </c>
      <c r="M860" s="9" t="s">
        <v>24</v>
      </c>
      <c r="N860" s="9" t="s">
        <v>3233</v>
      </c>
      <c r="O860" s="10">
        <v>3800000.0</v>
      </c>
      <c r="P860" s="10">
        <f t="shared" si="2"/>
        <v>0</v>
      </c>
      <c r="Q860" s="12">
        <f t="shared" si="3"/>
        <v>3780041</v>
      </c>
      <c r="R860" s="9">
        <v>2009.0</v>
      </c>
      <c r="S860" s="9">
        <v>6.9</v>
      </c>
    </row>
    <row r="861" ht="15.75" customHeight="1">
      <c r="A861" s="25" t="s">
        <v>536</v>
      </c>
      <c r="B861" s="8" t="str">
        <f>IFERROR(__xludf.DUMMYFUNCTION("REGEXREPLACE(A861, ""[^0-9a-zA-Z .'Ã]"","""")"),"Robert Zemeckis")</f>
        <v>Robert Zemeckis</v>
      </c>
      <c r="C861" s="26">
        <v>335.0</v>
      </c>
      <c r="D861" s="27">
        <v>1.0137502E7</v>
      </c>
      <c r="E861" s="26" t="s">
        <v>3234</v>
      </c>
      <c r="F861" s="9">
        <f t="shared" si="1"/>
        <v>4</v>
      </c>
      <c r="G861" s="26" t="s">
        <v>764</v>
      </c>
      <c r="H861" s="11" t="str">
        <f>IFERROR(__xludf.DUMMYFUNCTION("REGEXREPLACE(G861, ""[^0-9a-zA-Z .'Ã]"","""")"),"Joseph GordonLevitt")</f>
        <v>Joseph GordonLevitt</v>
      </c>
      <c r="I861" s="28" t="s">
        <v>3235</v>
      </c>
      <c r="J861" s="26">
        <v>77394.0</v>
      </c>
      <c r="K861" s="26" t="s">
        <v>3236</v>
      </c>
      <c r="L861" s="26">
        <v>195.0</v>
      </c>
      <c r="M861" s="26" t="s">
        <v>24</v>
      </c>
      <c r="N861" s="26" t="s">
        <v>25</v>
      </c>
      <c r="O861" s="27">
        <v>3.5E7</v>
      </c>
      <c r="P861" s="10">
        <f t="shared" si="2"/>
        <v>0</v>
      </c>
      <c r="Q861" s="12">
        <f t="shared" si="3"/>
        <v>24862498</v>
      </c>
      <c r="R861" s="26">
        <v>2015.0</v>
      </c>
      <c r="S861" s="26">
        <v>7.4</v>
      </c>
    </row>
    <row r="862" ht="15.75" customHeight="1">
      <c r="A862" s="21" t="s">
        <v>3237</v>
      </c>
      <c r="B862" s="8" t="str">
        <f>IFERROR(__xludf.DUMMYFUNCTION("REGEXREPLACE(A862, ""[^0-9a-zA-Z .'Ã]"","""")"),"Terence Young")</f>
        <v>Terence Young</v>
      </c>
      <c r="C862" s="22">
        <v>167.0</v>
      </c>
      <c r="D862" s="23">
        <v>2.48E7</v>
      </c>
      <c r="E862" s="22" t="s">
        <v>474</v>
      </c>
      <c r="F862" s="9">
        <f t="shared" si="1"/>
        <v>3</v>
      </c>
      <c r="G862" s="22" t="s">
        <v>3238</v>
      </c>
      <c r="H862" s="11" t="str">
        <f>IFERROR(__xludf.DUMMYFUNCTION("REGEXREPLACE(G862, ""[^0-9a-zA-Z .'Ã]"","""")"),"Robert Shaw")</f>
        <v>Robert Shaw</v>
      </c>
      <c r="I862" s="24" t="s">
        <v>3239</v>
      </c>
      <c r="J862" s="22">
        <v>89403.0</v>
      </c>
      <c r="K862" s="22" t="s">
        <v>3240</v>
      </c>
      <c r="L862" s="22">
        <v>358.0</v>
      </c>
      <c r="M862" s="22" t="s">
        <v>24</v>
      </c>
      <c r="N862" s="22" t="s">
        <v>130</v>
      </c>
      <c r="O862" s="23">
        <v>2000000.0</v>
      </c>
      <c r="P862" s="10">
        <f t="shared" si="2"/>
        <v>22800000</v>
      </c>
      <c r="Q862" s="12">
        <f t="shared" si="3"/>
        <v>0</v>
      </c>
      <c r="R862" s="22">
        <v>1963.0</v>
      </c>
      <c r="S862" s="22">
        <v>7.5</v>
      </c>
    </row>
    <row r="863" ht="15.75" customHeight="1">
      <c r="A863" s="7" t="s">
        <v>3241</v>
      </c>
      <c r="B863" s="8" t="str">
        <f>IFERROR(__xludf.DUMMYFUNCTION("REGEXREPLACE(A863, ""[^0-9a-zA-Z .'Ã]"","""")"),"Fina Torres")</f>
        <v>Fina Torres</v>
      </c>
      <c r="C863" s="9">
        <v>72.0</v>
      </c>
      <c r="D863" s="10">
        <v>5018450.0</v>
      </c>
      <c r="E863" s="9" t="s">
        <v>1741</v>
      </c>
      <c r="F863" s="9">
        <f t="shared" si="1"/>
        <v>3</v>
      </c>
      <c r="G863" s="9" t="s">
        <v>3242</v>
      </c>
      <c r="H863" s="11" t="str">
        <f>IFERROR(__xludf.DUMMYFUNCTION("REGEXREPLACE(G863, ""[^0-9a-zA-Z .'Ã]"","""")"),"Harold Perrineau")</f>
        <v>Harold Perrineau</v>
      </c>
      <c r="I863" s="11" t="s">
        <v>3243</v>
      </c>
      <c r="J863" s="9">
        <v>8546.0</v>
      </c>
      <c r="K863" s="9" t="s">
        <v>3244</v>
      </c>
      <c r="L863" s="9">
        <v>86.0</v>
      </c>
      <c r="M863" s="9" t="s">
        <v>24</v>
      </c>
      <c r="N863" s="9" t="s">
        <v>25</v>
      </c>
      <c r="O863" s="10">
        <v>8000000.0</v>
      </c>
      <c r="P863" s="10">
        <f t="shared" si="2"/>
        <v>0</v>
      </c>
      <c r="Q863" s="12">
        <f t="shared" si="3"/>
        <v>2981550</v>
      </c>
      <c r="R863" s="9">
        <v>2000.0</v>
      </c>
      <c r="S863" s="9">
        <v>5.3</v>
      </c>
    </row>
    <row r="864" ht="15.75" customHeight="1">
      <c r="A864" s="25" t="s">
        <v>532</v>
      </c>
      <c r="B864" s="8" t="str">
        <f>IFERROR(__xludf.DUMMYFUNCTION("REGEXREPLACE(A864, ""[^0-9a-zA-Z .'Ã]"","""")"),"Donald Petrie")</f>
        <v>Donald Petrie</v>
      </c>
      <c r="C864" s="26">
        <v>140.0</v>
      </c>
      <c r="D864" s="27">
        <v>1.06807667E8</v>
      </c>
      <c r="E864" s="26" t="s">
        <v>3245</v>
      </c>
      <c r="F864" s="9">
        <f t="shared" si="1"/>
        <v>4</v>
      </c>
      <c r="G864" s="26" t="s">
        <v>3246</v>
      </c>
      <c r="H864" s="11" t="str">
        <f>IFERROR(__xludf.DUMMYFUNCTION("REGEXREPLACE(G864, ""[^0-9a-zA-Z .'Ã]"","""")"),"Candice Bergen")</f>
        <v>Candice Bergen</v>
      </c>
      <c r="I864" s="28" t="s">
        <v>3247</v>
      </c>
      <c r="J864" s="26">
        <v>137377.0</v>
      </c>
      <c r="K864" s="26" t="s">
        <v>3248</v>
      </c>
      <c r="L864" s="26">
        <v>370.0</v>
      </c>
      <c r="M864" s="26" t="s">
        <v>24</v>
      </c>
      <c r="N864" s="26" t="s">
        <v>25</v>
      </c>
      <c r="O864" s="27">
        <v>4.5E7</v>
      </c>
      <c r="P864" s="10">
        <f t="shared" si="2"/>
        <v>61807667</v>
      </c>
      <c r="Q864" s="12">
        <f t="shared" si="3"/>
        <v>0</v>
      </c>
      <c r="R864" s="26">
        <v>2000.0</v>
      </c>
      <c r="S864" s="26">
        <v>6.2</v>
      </c>
    </row>
    <row r="865" ht="15.75" customHeight="1">
      <c r="A865" s="17" t="s">
        <v>3249</v>
      </c>
      <c r="B865" s="8" t="str">
        <f>IFERROR(__xludf.DUMMYFUNCTION("REGEXREPLACE(A865, ""[^0-9a-zA-Z .'Ã]"","""")"),"Anthony Hemingway")</f>
        <v>Anthony Hemingway</v>
      </c>
      <c r="C865" s="18">
        <v>144.0</v>
      </c>
      <c r="D865" s="19">
        <v>4.9875589E7</v>
      </c>
      <c r="E865" s="18" t="s">
        <v>1479</v>
      </c>
      <c r="F865" s="9">
        <f t="shared" si="1"/>
        <v>5</v>
      </c>
      <c r="G865" s="18" t="s">
        <v>3250</v>
      </c>
      <c r="H865" s="11" t="str">
        <f>IFERROR(__xludf.DUMMYFUNCTION("REGEXREPLACE(G865, ""[^0-9a-zA-Z .'Ã]"","""")"),"David Oyelowo")</f>
        <v>David Oyelowo</v>
      </c>
      <c r="I865" s="20" t="s">
        <v>3251</v>
      </c>
      <c r="J865" s="18">
        <v>28807.0</v>
      </c>
      <c r="K865" s="18" t="s">
        <v>3252</v>
      </c>
      <c r="L865" s="18">
        <v>273.0</v>
      </c>
      <c r="M865" s="18" t="s">
        <v>24</v>
      </c>
      <c r="N865" s="18" t="s">
        <v>25</v>
      </c>
      <c r="O865" s="19">
        <v>5.8E7</v>
      </c>
      <c r="P865" s="10">
        <f t="shared" si="2"/>
        <v>0</v>
      </c>
      <c r="Q865" s="12">
        <f t="shared" si="3"/>
        <v>8124411</v>
      </c>
      <c r="R865" s="18">
        <v>2012.0</v>
      </c>
      <c r="S865" s="18">
        <v>5.9</v>
      </c>
    </row>
    <row r="866" ht="15.75" customHeight="1">
      <c r="A866" s="21" t="s">
        <v>1120</v>
      </c>
      <c r="B866" s="8" t="str">
        <f>IFERROR(__xludf.DUMMYFUNCTION("REGEXREPLACE(A866, ""[^0-9a-zA-Z .'Ã]"","""")"),"Brad Silberling")</f>
        <v>Brad Silberling</v>
      </c>
      <c r="C866" s="22">
        <v>110.0</v>
      </c>
      <c r="D866" s="23">
        <v>7.8745923E7</v>
      </c>
      <c r="E866" s="22" t="s">
        <v>3253</v>
      </c>
      <c r="F866" s="9">
        <f t="shared" si="1"/>
        <v>3</v>
      </c>
      <c r="G866" s="22" t="s">
        <v>458</v>
      </c>
      <c r="H866" s="11" t="str">
        <f>IFERROR(__xludf.DUMMYFUNCTION("REGEXREPLACE(G866, ""[^0-9a-zA-Z .'Ã]"","""")"),"Nicolas Cage")</f>
        <v>Nicolas Cage</v>
      </c>
      <c r="I866" s="24" t="s">
        <v>3254</v>
      </c>
      <c r="J866" s="22">
        <v>94407.0</v>
      </c>
      <c r="K866" s="22" t="s">
        <v>3255</v>
      </c>
      <c r="L866" s="22">
        <v>322.0</v>
      </c>
      <c r="M866" s="22" t="s">
        <v>24</v>
      </c>
      <c r="N866" s="22" t="s">
        <v>173</v>
      </c>
      <c r="O866" s="23">
        <v>5.5E7</v>
      </c>
      <c r="P866" s="10">
        <f t="shared" si="2"/>
        <v>23745923</v>
      </c>
      <c r="Q866" s="12">
        <f t="shared" si="3"/>
        <v>0</v>
      </c>
      <c r="R866" s="22">
        <v>1998.0</v>
      </c>
      <c r="S866" s="22">
        <v>6.7</v>
      </c>
    </row>
    <row r="867" ht="15.75" customHeight="1">
      <c r="A867" s="17" t="s">
        <v>1187</v>
      </c>
      <c r="B867" s="8" t="str">
        <f>IFERROR(__xludf.DUMMYFUNCTION("REGEXREPLACE(A867, ""[^0-9a-zA-Z .'Ã]"","""")"),"Ang Lee")</f>
        <v>Ang Lee</v>
      </c>
      <c r="C867" s="18">
        <v>287.0</v>
      </c>
      <c r="D867" s="19">
        <v>1.28067808E8</v>
      </c>
      <c r="E867" s="18" t="s">
        <v>3256</v>
      </c>
      <c r="F867" s="9">
        <f t="shared" si="1"/>
        <v>3</v>
      </c>
      <c r="G867" s="18" t="s">
        <v>3257</v>
      </c>
      <c r="H867" s="11" t="str">
        <f>IFERROR(__xludf.DUMMYFUNCTION("REGEXREPLACE(G867, ""[^0-9a-zA-Z .'Ã]"","""")"),"Chen Chang")</f>
        <v>Chen Chang</v>
      </c>
      <c r="I867" s="20" t="s">
        <v>3258</v>
      </c>
      <c r="J867" s="18">
        <v>217740.0</v>
      </c>
      <c r="K867" s="18" t="s">
        <v>3259</v>
      </c>
      <c r="L867" s="18">
        <v>1641.0</v>
      </c>
      <c r="M867" s="18" t="s">
        <v>3260</v>
      </c>
      <c r="N867" s="18" t="s">
        <v>3261</v>
      </c>
      <c r="O867" s="19">
        <v>1.5E7</v>
      </c>
      <c r="P867" s="10">
        <f t="shared" si="2"/>
        <v>113067808</v>
      </c>
      <c r="Q867" s="12">
        <f t="shared" si="3"/>
        <v>0</v>
      </c>
      <c r="R867" s="18">
        <v>2000.0</v>
      </c>
      <c r="S867" s="18">
        <v>7.9</v>
      </c>
    </row>
    <row r="868" ht="15.75" customHeight="1">
      <c r="A868" s="25" t="s">
        <v>2949</v>
      </c>
      <c r="B868" s="8" t="str">
        <f>IFERROR(__xludf.DUMMYFUNCTION("REGEXREPLACE(A868, ""[^0-9a-zA-Z .'Ã]"","""")"),"Judd Apatow")</f>
        <v>Judd Apatow</v>
      </c>
      <c r="C868" s="26">
        <v>217.0</v>
      </c>
      <c r="D868" s="27">
        <v>1.09243478E8</v>
      </c>
      <c r="E868" s="26" t="s">
        <v>89</v>
      </c>
      <c r="F868" s="9">
        <f t="shared" si="1"/>
        <v>2</v>
      </c>
      <c r="G868" s="26" t="s">
        <v>1080</v>
      </c>
      <c r="H868" s="11" t="str">
        <f>IFERROR(__xludf.DUMMYFUNCTION("REGEXREPLACE(G868, ""[^0-9a-zA-Z .'Ã]"","""")"),"Steve Carell")</f>
        <v>Steve Carell</v>
      </c>
      <c r="I868" s="28" t="s">
        <v>3262</v>
      </c>
      <c r="J868" s="26">
        <v>313797.0</v>
      </c>
      <c r="K868" s="26" t="s">
        <v>3263</v>
      </c>
      <c r="L868" s="26">
        <v>546.0</v>
      </c>
      <c r="M868" s="26" t="s">
        <v>24</v>
      </c>
      <c r="N868" s="26" t="s">
        <v>25</v>
      </c>
      <c r="O868" s="27">
        <v>2.6E7</v>
      </c>
      <c r="P868" s="10">
        <f t="shared" si="2"/>
        <v>83243478</v>
      </c>
      <c r="Q868" s="12">
        <f t="shared" si="3"/>
        <v>0</v>
      </c>
      <c r="R868" s="26">
        <v>2005.0</v>
      </c>
      <c r="S868" s="26">
        <v>7.1</v>
      </c>
    </row>
    <row r="869" ht="15.75" customHeight="1">
      <c r="A869" s="21" t="s">
        <v>3264</v>
      </c>
      <c r="B869" s="8" t="str">
        <f>IFERROR(__xludf.DUMMYFUNCTION("REGEXREPLACE(A869, ""[^0-9a-zA-Z .'Ã]"","""")"),"Marius A. Markevicius")</f>
        <v>Marius A. Markevicius</v>
      </c>
      <c r="C869" s="22">
        <v>26.0</v>
      </c>
      <c r="D869" s="23">
        <v>133778.0</v>
      </c>
      <c r="E869" s="22" t="s">
        <v>1721</v>
      </c>
      <c r="F869" s="9">
        <f t="shared" si="1"/>
        <v>2</v>
      </c>
      <c r="G869" s="22" t="s">
        <v>3265</v>
      </c>
      <c r="H869" s="11" t="str">
        <f>IFERROR(__xludf.DUMMYFUNCTION("REGEXREPLACE(G869, ""[^0-9a-zA-Z .'Ã]"","""")"),"Tommy Sheppard")</f>
        <v>Tommy Sheppard</v>
      </c>
      <c r="I869" s="24" t="s">
        <v>3266</v>
      </c>
      <c r="J869" s="22">
        <v>3086.0</v>
      </c>
      <c r="K869" s="22" t="s">
        <v>3267</v>
      </c>
      <c r="L869" s="22">
        <v>9.0</v>
      </c>
      <c r="M869" s="22" t="s">
        <v>24</v>
      </c>
      <c r="N869" s="22" t="s">
        <v>25</v>
      </c>
      <c r="O869" s="23">
        <v>500000.0</v>
      </c>
      <c r="P869" s="10">
        <f t="shared" si="2"/>
        <v>0</v>
      </c>
      <c r="Q869" s="12">
        <f t="shared" si="3"/>
        <v>366222</v>
      </c>
      <c r="R869" s="22">
        <v>2012.0</v>
      </c>
      <c r="S869" s="22">
        <v>8.4</v>
      </c>
    </row>
    <row r="870" ht="15.75" customHeight="1">
      <c r="A870" s="7" t="s">
        <v>2071</v>
      </c>
      <c r="B870" s="8" t="str">
        <f>IFERROR(__xludf.DUMMYFUNCTION("REGEXREPLACE(A870, ""[^0-9a-zA-Z .'Ã]"","""")"),"Oliver Parker")</f>
        <v>Oliver Parker</v>
      </c>
      <c r="C870" s="9">
        <v>152.0</v>
      </c>
      <c r="D870" s="10">
        <v>8129455.0</v>
      </c>
      <c r="E870" s="9" t="s">
        <v>1336</v>
      </c>
      <c r="F870" s="9">
        <f t="shared" si="1"/>
        <v>4</v>
      </c>
      <c r="G870" s="9" t="s">
        <v>3268</v>
      </c>
      <c r="H870" s="11" t="str">
        <f>IFERROR(__xludf.DUMMYFUNCTION("REGEXREPLACE(G870, ""[^0-9a-zA-Z .'Ã]"","""")"),"Daniel Kaluuya")</f>
        <v>Daniel Kaluuya</v>
      </c>
      <c r="I870" s="11" t="s">
        <v>3269</v>
      </c>
      <c r="J870" s="9">
        <v>89568.0</v>
      </c>
      <c r="K870" s="9" t="s">
        <v>3270</v>
      </c>
      <c r="L870" s="9">
        <v>142.0</v>
      </c>
      <c r="M870" s="9" t="s">
        <v>24</v>
      </c>
      <c r="N870" s="9" t="s">
        <v>25</v>
      </c>
      <c r="O870" s="10">
        <v>4.5E7</v>
      </c>
      <c r="P870" s="10">
        <f t="shared" si="2"/>
        <v>0</v>
      </c>
      <c r="Q870" s="12">
        <f t="shared" si="3"/>
        <v>36870545</v>
      </c>
      <c r="R870" s="9">
        <v>2011.0</v>
      </c>
      <c r="S870" s="9">
        <v>6.3</v>
      </c>
    </row>
    <row r="871" ht="15.75" customHeight="1">
      <c r="A871" s="25" t="s">
        <v>473</v>
      </c>
      <c r="B871" s="8" t="str">
        <f>IFERROR(__xludf.DUMMYFUNCTION("REGEXREPLACE(A871, ""[^0-9a-zA-Z .'Ã]"","""")"),"John McTiernan")</f>
        <v>John McTiernan</v>
      </c>
      <c r="C871" s="26">
        <v>85.0</v>
      </c>
      <c r="D871" s="27">
        <v>3.2694788E7</v>
      </c>
      <c r="E871" s="26" t="s">
        <v>3271</v>
      </c>
      <c r="F871" s="9">
        <f t="shared" si="1"/>
        <v>3</v>
      </c>
      <c r="G871" s="26" t="s">
        <v>3272</v>
      </c>
      <c r="H871" s="11" t="str">
        <f>IFERROR(__xludf.DUMMYFUNCTION("REGEXREPLACE(G871, ""[^0-9a-zA-Z .'Ã]"","""")"),"Tony Curran")</f>
        <v>Tony Curran</v>
      </c>
      <c r="I871" s="28" t="s">
        <v>3273</v>
      </c>
      <c r="J871" s="26">
        <v>101411.0</v>
      </c>
      <c r="K871" s="26" t="s">
        <v>3274</v>
      </c>
      <c r="L871" s="26">
        <v>546.0</v>
      </c>
      <c r="M871" s="26" t="s">
        <v>24</v>
      </c>
      <c r="N871" s="26" t="s">
        <v>25</v>
      </c>
      <c r="O871" s="27">
        <v>8.5E7</v>
      </c>
      <c r="P871" s="10">
        <f t="shared" si="2"/>
        <v>0</v>
      </c>
      <c r="Q871" s="12">
        <f t="shared" si="3"/>
        <v>52305212</v>
      </c>
      <c r="R871" s="26">
        <v>1999.0</v>
      </c>
      <c r="S871" s="26">
        <v>6.6</v>
      </c>
    </row>
    <row r="872" ht="15.75" customHeight="1">
      <c r="A872" s="17" t="s">
        <v>3275</v>
      </c>
      <c r="B872" s="8" t="str">
        <f>IFERROR(__xludf.DUMMYFUNCTION("REGEXREPLACE(A872, ""[^0-9a-zA-Z .'Ã]"","""")"),"Theodore Melfi")</f>
        <v>Theodore Melfi</v>
      </c>
      <c r="C872" s="18">
        <v>275.0</v>
      </c>
      <c r="D872" s="19">
        <v>4.4134898E7</v>
      </c>
      <c r="E872" s="18" t="s">
        <v>454</v>
      </c>
      <c r="F872" s="9">
        <f t="shared" si="1"/>
        <v>2</v>
      </c>
      <c r="G872" s="18" t="s">
        <v>470</v>
      </c>
      <c r="H872" s="11" t="str">
        <f>IFERROR(__xludf.DUMMYFUNCTION("REGEXREPLACE(G872, ""[^0-9a-zA-Z .'Ã]"","""")"),"Bill Murray")</f>
        <v>Bill Murray</v>
      </c>
      <c r="I872" s="20" t="s">
        <v>3276</v>
      </c>
      <c r="J872" s="18">
        <v>72803.0</v>
      </c>
      <c r="K872" s="18" t="s">
        <v>3277</v>
      </c>
      <c r="L872" s="18">
        <v>171.0</v>
      </c>
      <c r="M872" s="18" t="s">
        <v>24</v>
      </c>
      <c r="N872" s="18" t="s">
        <v>25</v>
      </c>
      <c r="O872" s="19">
        <v>1.3E7</v>
      </c>
      <c r="P872" s="10">
        <f t="shared" si="2"/>
        <v>31134898</v>
      </c>
      <c r="Q872" s="12">
        <f t="shared" si="3"/>
        <v>0</v>
      </c>
      <c r="R872" s="18">
        <v>2014.0</v>
      </c>
      <c r="S872" s="18">
        <v>7.3</v>
      </c>
    </row>
    <row r="873" ht="15.75" customHeight="1">
      <c r="A873" s="25" t="s">
        <v>107</v>
      </c>
      <c r="B873" s="8" t="str">
        <f>IFERROR(__xludf.DUMMYFUNCTION("REGEXREPLACE(A873, ""[^0-9a-zA-Z .'Ã]"","""")"),"Steve Miner")</f>
        <v>Steve Miner</v>
      </c>
      <c r="C873" s="26">
        <v>31.0</v>
      </c>
      <c r="D873" s="27">
        <v>623374.0</v>
      </c>
      <c r="E873" s="26" t="s">
        <v>3278</v>
      </c>
      <c r="F873" s="9">
        <f t="shared" si="1"/>
        <v>5</v>
      </c>
      <c r="G873" s="26" t="s">
        <v>3203</v>
      </c>
      <c r="H873" s="11" t="str">
        <f>IFERROR(__xludf.DUMMYFUNCTION("REGEXREPLACE(G873, ""[^0-9a-zA-Z .'Ã]"","""")"),"Tom Skerritt")</f>
        <v>Tom Skerritt</v>
      </c>
      <c r="I873" s="28" t="s">
        <v>3279</v>
      </c>
      <c r="J873" s="26">
        <v>4757.0</v>
      </c>
      <c r="K873" s="26" t="s">
        <v>3280</v>
      </c>
      <c r="L873" s="26">
        <v>67.0</v>
      </c>
      <c r="M873" s="26" t="s">
        <v>24</v>
      </c>
      <c r="N873" s="26" t="s">
        <v>25</v>
      </c>
      <c r="O873" s="27">
        <v>3.8E7</v>
      </c>
      <c r="P873" s="10">
        <f t="shared" si="2"/>
        <v>0</v>
      </c>
      <c r="Q873" s="12">
        <f t="shared" si="3"/>
        <v>37376626</v>
      </c>
      <c r="R873" s="26">
        <v>2001.0</v>
      </c>
      <c r="S873" s="26">
        <v>5.2</v>
      </c>
    </row>
    <row r="874" ht="15.75" customHeight="1">
      <c r="A874" s="17" t="s">
        <v>147</v>
      </c>
      <c r="B874" s="8" t="str">
        <f>IFERROR(__xludf.DUMMYFUNCTION("REGEXREPLACE(A874, ""[^0-9a-zA-Z .'Ã]"","""")"),"Wes Craven")</f>
        <v>Wes Craven</v>
      </c>
      <c r="C874" s="18">
        <v>242.0</v>
      </c>
      <c r="D874" s="19">
        <v>1.03001286E8</v>
      </c>
      <c r="E874" s="18" t="s">
        <v>565</v>
      </c>
      <c r="F874" s="9">
        <f t="shared" si="1"/>
        <v>2</v>
      </c>
      <c r="G874" s="18" t="s">
        <v>2086</v>
      </c>
      <c r="H874" s="11" t="str">
        <f>IFERROR(__xludf.DUMMYFUNCTION("REGEXREPLACE(G874, ""[^0-9a-zA-Z .'Ã]"","""")"),"David Arquette")</f>
        <v>David Arquette</v>
      </c>
      <c r="I874" s="20" t="s">
        <v>3281</v>
      </c>
      <c r="J874" s="18">
        <v>222018.0</v>
      </c>
      <c r="K874" s="18" t="s">
        <v>3282</v>
      </c>
      <c r="L874" s="18">
        <v>869.0</v>
      </c>
      <c r="M874" s="18" t="s">
        <v>24</v>
      </c>
      <c r="N874" s="18" t="s">
        <v>25</v>
      </c>
      <c r="O874" s="19">
        <v>1.5E7</v>
      </c>
      <c r="P874" s="10">
        <f t="shared" si="2"/>
        <v>88001286</v>
      </c>
      <c r="Q874" s="12">
        <f t="shared" si="3"/>
        <v>0</v>
      </c>
      <c r="R874" s="18">
        <v>1996.0</v>
      </c>
      <c r="S874" s="18">
        <v>7.2</v>
      </c>
    </row>
    <row r="875" ht="15.75" customHeight="1">
      <c r="A875" s="17" t="s">
        <v>3283</v>
      </c>
      <c r="B875" s="8" t="str">
        <f>IFERROR(__xludf.DUMMYFUNCTION("REGEXREPLACE(A875, ""[^0-9a-zA-Z .'Ã]"","""")"),"Peter Lord")</f>
        <v>Peter Lord</v>
      </c>
      <c r="C875" s="18">
        <v>187.0</v>
      </c>
      <c r="D875" s="19">
        <v>1.06793915E8</v>
      </c>
      <c r="E875" s="18" t="s">
        <v>3046</v>
      </c>
      <c r="F875" s="9">
        <f t="shared" si="1"/>
        <v>5</v>
      </c>
      <c r="G875" s="18" t="s">
        <v>3284</v>
      </c>
      <c r="H875" s="11" t="str">
        <f>IFERROR(__xludf.DUMMYFUNCTION("REGEXREPLACE(G875, ""[^0-9a-zA-Z .'Ã]"","""")"),"Imelda Staunton")</f>
        <v>Imelda Staunton</v>
      </c>
      <c r="I875" s="20" t="s">
        <v>3285</v>
      </c>
      <c r="J875" s="18">
        <v>140499.0</v>
      </c>
      <c r="K875" s="18" t="s">
        <v>3286</v>
      </c>
      <c r="L875" s="18">
        <v>358.0</v>
      </c>
      <c r="M875" s="18" t="s">
        <v>24</v>
      </c>
      <c r="N875" s="18" t="s">
        <v>130</v>
      </c>
      <c r="O875" s="19">
        <v>4.5E7</v>
      </c>
      <c r="P875" s="10">
        <f t="shared" si="2"/>
        <v>61793915</v>
      </c>
      <c r="Q875" s="12">
        <f t="shared" si="3"/>
        <v>0</v>
      </c>
      <c r="R875" s="18">
        <v>2000.0</v>
      </c>
      <c r="S875" s="18">
        <v>7.0</v>
      </c>
    </row>
    <row r="876" ht="15.75" customHeight="1">
      <c r="A876" s="21" t="s">
        <v>3287</v>
      </c>
      <c r="B876" s="8" t="str">
        <f>IFERROR(__xludf.DUMMYFUNCTION("REGEXREPLACE(A876, ""[^0-9a-zA-Z .'Ã]"","""")"),"Rob Letterman")</f>
        <v>Rob Letterman</v>
      </c>
      <c r="C876" s="22">
        <v>218.0</v>
      </c>
      <c r="D876" s="23">
        <v>8.002174E7</v>
      </c>
      <c r="E876" s="22" t="s">
        <v>3288</v>
      </c>
      <c r="F876" s="9">
        <f t="shared" si="1"/>
        <v>5</v>
      </c>
      <c r="G876" s="22" t="s">
        <v>3289</v>
      </c>
      <c r="H876" s="11" t="str">
        <f>IFERROR(__xludf.DUMMYFUNCTION("REGEXREPLACE(G876, ""[^0-9a-zA-Z .'Ã]"","""")"),"Odeya Rush")</f>
        <v>Odeya Rush</v>
      </c>
      <c r="I876" s="24" t="s">
        <v>3290</v>
      </c>
      <c r="J876" s="22">
        <v>47988.0</v>
      </c>
      <c r="K876" s="22" t="s">
        <v>3291</v>
      </c>
      <c r="L876" s="22">
        <v>154.0</v>
      </c>
      <c r="M876" s="22" t="s">
        <v>24</v>
      </c>
      <c r="N876" s="22" t="s">
        <v>25</v>
      </c>
      <c r="O876" s="23">
        <v>5.8E7</v>
      </c>
      <c r="P876" s="10">
        <f t="shared" si="2"/>
        <v>22021740</v>
      </c>
      <c r="Q876" s="12">
        <f t="shared" si="3"/>
        <v>0</v>
      </c>
      <c r="R876" s="22">
        <v>2015.0</v>
      </c>
      <c r="S876" s="22">
        <v>6.4</v>
      </c>
    </row>
    <row r="877" ht="15.75" customHeight="1">
      <c r="A877" s="7" t="s">
        <v>3292</v>
      </c>
      <c r="B877" s="8" t="str">
        <f>IFERROR(__xludf.DUMMYFUNCTION("REGEXREPLACE(A877, ""[^0-9a-zA-Z .'Ã]"","""")"),"Tate Taylor")</f>
        <v>Tate Taylor</v>
      </c>
      <c r="C877" s="9">
        <v>165.0</v>
      </c>
      <c r="D877" s="10">
        <v>3.051394E7</v>
      </c>
      <c r="E877" s="9" t="s">
        <v>2225</v>
      </c>
      <c r="F877" s="9">
        <f t="shared" si="1"/>
        <v>3</v>
      </c>
      <c r="G877" s="9" t="s">
        <v>3293</v>
      </c>
      <c r="H877" s="11" t="str">
        <f>IFERROR(__xludf.DUMMYFUNCTION("REGEXREPLACE(G877, ""[^0-9a-zA-Z .'Ã]"","""")"),"Tika Sumpter")</f>
        <v>Tika Sumpter</v>
      </c>
      <c r="I877" s="11" t="s">
        <v>3294</v>
      </c>
      <c r="J877" s="9">
        <v>15843.0</v>
      </c>
      <c r="K877" s="9" t="s">
        <v>3295</v>
      </c>
      <c r="L877" s="9">
        <v>104.0</v>
      </c>
      <c r="M877" s="9" t="s">
        <v>24</v>
      </c>
      <c r="N877" s="9" t="s">
        <v>25</v>
      </c>
      <c r="O877" s="10">
        <v>3.0E7</v>
      </c>
      <c r="P877" s="10">
        <f t="shared" si="2"/>
        <v>513940</v>
      </c>
      <c r="Q877" s="12">
        <f t="shared" si="3"/>
        <v>0</v>
      </c>
      <c r="R877" s="9">
        <v>2014.0</v>
      </c>
      <c r="S877" s="9">
        <v>6.9</v>
      </c>
    </row>
    <row r="878" ht="15.75" customHeight="1">
      <c r="A878" s="7" t="s">
        <v>3296</v>
      </c>
      <c r="B878" s="8" t="str">
        <f>IFERROR(__xludf.DUMMYFUNCTION("REGEXREPLACE(A878, ""[^0-9a-zA-Z .'Ã]"","""")"),"Khalid Mohamed")</f>
        <v>Khalid Mohamed</v>
      </c>
      <c r="C878" s="9">
        <v>1.0</v>
      </c>
      <c r="D878" s="10">
        <v>610991.0</v>
      </c>
      <c r="E878" s="9" t="s">
        <v>232</v>
      </c>
      <c r="F878" s="9">
        <f t="shared" si="1"/>
        <v>2</v>
      </c>
      <c r="G878" s="9" t="s">
        <v>3297</v>
      </c>
      <c r="H878" s="11" t="str">
        <f>IFERROR(__xludf.DUMMYFUNCTION("REGEXREPLACE(G878, ""[^0-9a-zA-Z .'Ã]"","""")"),"Karisma Kapoor")</f>
        <v>Karisma Kapoor</v>
      </c>
      <c r="I878" s="11" t="s">
        <v>3298</v>
      </c>
      <c r="J878" s="9">
        <v>2715.0</v>
      </c>
      <c r="K878" s="9" t="s">
        <v>3299</v>
      </c>
      <c r="L878" s="9">
        <v>19.0</v>
      </c>
      <c r="M878" s="9" t="s">
        <v>670</v>
      </c>
      <c r="N878" s="9" t="s">
        <v>671</v>
      </c>
      <c r="O878" s="10">
        <v>1000000.0</v>
      </c>
      <c r="P878" s="10">
        <f t="shared" si="2"/>
        <v>0</v>
      </c>
      <c r="Q878" s="12">
        <f t="shared" si="3"/>
        <v>389009</v>
      </c>
      <c r="R878" s="9">
        <v>2000.0</v>
      </c>
      <c r="S878" s="9">
        <v>6.2</v>
      </c>
    </row>
    <row r="879" ht="15.75" customHeight="1">
      <c r="A879" s="25" t="s">
        <v>3300</v>
      </c>
      <c r="B879" s="8" t="str">
        <f>IFERROR(__xludf.DUMMYFUNCTION("REGEXREPLACE(A879, ""[^0-9a-zA-Z .'Ã]"","""")"),"Henry Joost")</f>
        <v>Henry Joost</v>
      </c>
      <c r="C879" s="26">
        <v>251.0</v>
      </c>
      <c r="D879" s="27">
        <v>1.04007828E8</v>
      </c>
      <c r="E879" s="26" t="s">
        <v>148</v>
      </c>
      <c r="F879" s="9">
        <f t="shared" si="1"/>
        <v>1</v>
      </c>
      <c r="G879" s="26" t="s">
        <v>3301</v>
      </c>
      <c r="H879" s="11" t="str">
        <f>IFERROR(__xludf.DUMMYFUNCTION("REGEXREPLACE(G879, ""[^0-9a-zA-Z .'Ã]"","""")"),"Johanna Braddy")</f>
        <v>Johanna Braddy</v>
      </c>
      <c r="I879" s="28" t="s">
        <v>3302</v>
      </c>
      <c r="J879" s="26">
        <v>76828.0</v>
      </c>
      <c r="K879" s="26" t="s">
        <v>3303</v>
      </c>
      <c r="L879" s="26">
        <v>314.0</v>
      </c>
      <c r="M879" s="26" t="s">
        <v>24</v>
      </c>
      <c r="N879" s="26" t="s">
        <v>25</v>
      </c>
      <c r="O879" s="27">
        <v>5000000.0</v>
      </c>
      <c r="P879" s="10">
        <f t="shared" si="2"/>
        <v>99007828</v>
      </c>
      <c r="Q879" s="12">
        <f t="shared" si="3"/>
        <v>0</v>
      </c>
      <c r="R879" s="26">
        <v>2011.0</v>
      </c>
      <c r="S879" s="26">
        <v>5.8</v>
      </c>
    </row>
    <row r="880" ht="15.75" customHeight="1">
      <c r="A880" s="17" t="s">
        <v>3304</v>
      </c>
      <c r="B880" s="8" t="str">
        <f>IFERROR(__xludf.DUMMYFUNCTION("REGEXREPLACE(A880, ""[^0-9a-zA-Z .'Ã]"","""")"),"David Kellogg")</f>
        <v>David Kellogg</v>
      </c>
      <c r="C880" s="18">
        <v>70.0</v>
      </c>
      <c r="D880" s="19">
        <v>9.7360069E7</v>
      </c>
      <c r="E880" s="18" t="s">
        <v>3305</v>
      </c>
      <c r="F880" s="9">
        <f t="shared" si="1"/>
        <v>5</v>
      </c>
      <c r="G880" s="18" t="s">
        <v>2192</v>
      </c>
      <c r="H880" s="11" t="str">
        <f>IFERROR(__xludf.DUMMYFUNCTION("REGEXREPLACE(G880, ""[^0-9a-zA-Z .'Ã]"","""")"),"Matthew Broderick")</f>
        <v>Matthew Broderick</v>
      </c>
      <c r="I880" s="20" t="s">
        <v>3306</v>
      </c>
      <c r="J880" s="18">
        <v>36491.0</v>
      </c>
      <c r="K880" s="18" t="s">
        <v>3307</v>
      </c>
      <c r="L880" s="18">
        <v>231.0</v>
      </c>
      <c r="M880" s="18" t="s">
        <v>24</v>
      </c>
      <c r="N880" s="18" t="s">
        <v>25</v>
      </c>
      <c r="O880" s="19">
        <v>7.5E7</v>
      </c>
      <c r="P880" s="10">
        <f t="shared" si="2"/>
        <v>22360069</v>
      </c>
      <c r="Q880" s="12">
        <f t="shared" si="3"/>
        <v>0</v>
      </c>
      <c r="R880" s="18">
        <v>1999.0</v>
      </c>
      <c r="S880" s="18">
        <v>4.1</v>
      </c>
    </row>
    <row r="881" ht="15.75" customHeight="1">
      <c r="A881" s="7" t="s">
        <v>3308</v>
      </c>
      <c r="B881" s="8" t="str">
        <f>IFERROR(__xludf.DUMMYFUNCTION("REGEXREPLACE(A881, ""[^0-9a-zA-Z .'Ã]"","""")"),"Tamra Davis")</f>
        <v>Tamra Davis</v>
      </c>
      <c r="C881" s="9">
        <v>40.0</v>
      </c>
      <c r="D881" s="10">
        <v>1.727898E7</v>
      </c>
      <c r="E881" s="9" t="s">
        <v>440</v>
      </c>
      <c r="F881" s="9">
        <f t="shared" si="1"/>
        <v>2</v>
      </c>
      <c r="G881" s="9" t="s">
        <v>991</v>
      </c>
      <c r="H881" s="11" t="str">
        <f>IFERROR(__xludf.DUMMYFUNCTION("REGEXREPLACE(G881, ""[^0-9a-zA-Z .'Ã]"","""")"),"Dave Chappelle")</f>
        <v>Dave Chappelle</v>
      </c>
      <c r="I881" s="11" t="s">
        <v>3309</v>
      </c>
      <c r="J881" s="9">
        <v>48225.0</v>
      </c>
      <c r="K881" s="9" t="s">
        <v>3310</v>
      </c>
      <c r="L881" s="9">
        <v>164.0</v>
      </c>
      <c r="M881" s="9" t="s">
        <v>24</v>
      </c>
      <c r="N881" s="9" t="s">
        <v>25</v>
      </c>
      <c r="O881" s="10">
        <v>8000000.0</v>
      </c>
      <c r="P881" s="10">
        <f t="shared" si="2"/>
        <v>9278980</v>
      </c>
      <c r="Q881" s="12">
        <f t="shared" si="3"/>
        <v>0</v>
      </c>
      <c r="R881" s="9">
        <v>1998.0</v>
      </c>
      <c r="S881" s="9">
        <v>6.7</v>
      </c>
    </row>
    <row r="882" ht="15.75" customHeight="1">
      <c r="A882" s="7" t="s">
        <v>3311</v>
      </c>
      <c r="B882" s="8" t="str">
        <f>IFERROR(__xludf.DUMMYFUNCTION("REGEXREPLACE(A882, ""[^0-9a-zA-Z .'Ã]"","""")"),"Jimmy Hayward")</f>
        <v>Jimmy Hayward</v>
      </c>
      <c r="C882" s="9">
        <v>118.0</v>
      </c>
      <c r="D882" s="10">
        <v>5.5747724E7</v>
      </c>
      <c r="E882" s="9" t="s">
        <v>1813</v>
      </c>
      <c r="F882" s="9">
        <f t="shared" si="1"/>
        <v>4</v>
      </c>
      <c r="G882" s="9" t="s">
        <v>2653</v>
      </c>
      <c r="H882" s="11" t="str">
        <f>IFERROR(__xludf.DUMMYFUNCTION("REGEXREPLACE(G882, ""[^0-9a-zA-Z .'Ã]"","""")"),"Amy Poehler")</f>
        <v>Amy Poehler</v>
      </c>
      <c r="I882" s="11" t="s">
        <v>3312</v>
      </c>
      <c r="J882" s="9">
        <v>18042.0</v>
      </c>
      <c r="K882" s="9" t="s">
        <v>3313</v>
      </c>
      <c r="L882" s="9">
        <v>73.0</v>
      </c>
      <c r="M882" s="9" t="s">
        <v>24</v>
      </c>
      <c r="N882" s="9" t="s">
        <v>25</v>
      </c>
      <c r="O882" s="10">
        <v>5.5E7</v>
      </c>
      <c r="P882" s="10">
        <f t="shared" si="2"/>
        <v>747724</v>
      </c>
      <c r="Q882" s="12">
        <f t="shared" si="3"/>
        <v>0</v>
      </c>
      <c r="R882" s="9">
        <v>2013.0</v>
      </c>
      <c r="S882" s="9">
        <v>5.9</v>
      </c>
    </row>
    <row r="883" ht="15.75" customHeight="1">
      <c r="A883" s="17" t="s">
        <v>3314</v>
      </c>
      <c r="B883" s="8" t="str">
        <f>IFERROR(__xludf.DUMMYFUNCTION("REGEXREPLACE(A883, ""[^0-9a-zA-Z .'Ã]"","""")"),"Miranda July")</f>
        <v>Miranda July</v>
      </c>
      <c r="C883" s="18">
        <v>151.0</v>
      </c>
      <c r="D883" s="19">
        <v>3885134.0</v>
      </c>
      <c r="E883" s="18" t="s">
        <v>454</v>
      </c>
      <c r="F883" s="9">
        <f t="shared" si="1"/>
        <v>2</v>
      </c>
      <c r="G883" s="18" t="s">
        <v>3315</v>
      </c>
      <c r="H883" s="11" t="str">
        <f>IFERROR(__xludf.DUMMYFUNCTION("REGEXREPLACE(G883, ""[^0-9a-zA-Z .'Ã]"","""")"),"Najarra Townsend")</f>
        <v>Najarra Townsend</v>
      </c>
      <c r="I883" s="20" t="s">
        <v>3316</v>
      </c>
      <c r="J883" s="18">
        <v>31130.0</v>
      </c>
      <c r="K883" s="18" t="s">
        <v>3317</v>
      </c>
      <c r="L883" s="18">
        <v>243.0</v>
      </c>
      <c r="M883" s="18" t="s">
        <v>24</v>
      </c>
      <c r="N883" s="18" t="s">
        <v>25</v>
      </c>
      <c r="O883" s="19">
        <v>2000000.0</v>
      </c>
      <c r="P883" s="10">
        <f t="shared" si="2"/>
        <v>1885134</v>
      </c>
      <c r="Q883" s="12">
        <f t="shared" si="3"/>
        <v>0</v>
      </c>
      <c r="R883" s="18">
        <v>2005.0</v>
      </c>
      <c r="S883" s="18">
        <v>7.4</v>
      </c>
    </row>
    <row r="884" ht="15.75" customHeight="1">
      <c r="A884" s="7" t="s">
        <v>2089</v>
      </c>
      <c r="B884" s="8" t="str">
        <f>IFERROR(__xludf.DUMMYFUNCTION("REGEXREPLACE(A884, ""[^0-9a-zA-Z .'Ã]"","""")"),"Ken Kwapis")</f>
        <v>Ken Kwapis</v>
      </c>
      <c r="C884" s="9">
        <v>125.0</v>
      </c>
      <c r="D884" s="10">
        <v>2.0113965E7</v>
      </c>
      <c r="E884" s="9" t="s">
        <v>887</v>
      </c>
      <c r="F884" s="9">
        <f t="shared" si="1"/>
        <v>3</v>
      </c>
      <c r="G884" s="9" t="s">
        <v>3318</v>
      </c>
      <c r="H884" s="11" t="str">
        <f>IFERROR(__xludf.DUMMYFUNCTION("REGEXREPLACE(G884, ""[^0-9a-zA-Z .'Ã]"","""")"),"Ted Danson")</f>
        <v>Ted Danson</v>
      </c>
      <c r="I884" s="11" t="s">
        <v>3319</v>
      </c>
      <c r="J884" s="9">
        <v>15231.0</v>
      </c>
      <c r="K884" s="9" t="s">
        <v>3320</v>
      </c>
      <c r="L884" s="9">
        <v>66.0</v>
      </c>
      <c r="M884" s="9" t="s">
        <v>24</v>
      </c>
      <c r="N884" s="9" t="s">
        <v>25</v>
      </c>
      <c r="O884" s="10">
        <v>4.0E7</v>
      </c>
      <c r="P884" s="10">
        <f t="shared" si="2"/>
        <v>0</v>
      </c>
      <c r="Q884" s="12">
        <f t="shared" si="3"/>
        <v>19886035</v>
      </c>
      <c r="R884" s="9">
        <v>2012.0</v>
      </c>
      <c r="S884" s="9">
        <v>6.5</v>
      </c>
    </row>
    <row r="885" ht="15.75" customHeight="1">
      <c r="A885" s="21" t="s">
        <v>3321</v>
      </c>
      <c r="B885" s="8" t="str">
        <f>IFERROR(__xludf.DUMMYFUNCTION("REGEXREPLACE(A885, ""[^0-9a-zA-Z .'Ã]"","""")"),"Michael Schultz")</f>
        <v>Michael Schultz</v>
      </c>
      <c r="C885" s="22">
        <v>55.0</v>
      </c>
      <c r="D885" s="23">
        <v>3.3E7</v>
      </c>
      <c r="E885" s="22" t="s">
        <v>3322</v>
      </c>
      <c r="F885" s="9">
        <f t="shared" si="1"/>
        <v>4</v>
      </c>
      <c r="G885" s="22" t="s">
        <v>3323</v>
      </c>
      <c r="H885" s="11" t="str">
        <f>IFERROR(__xludf.DUMMYFUNCTION("REGEXREPLACE(G885, ""[^0-9a-zA-Z .'Ã]"","""")"),"Mike Starr")</f>
        <v>Mike Starr</v>
      </c>
      <c r="I885" s="24" t="s">
        <v>3324</v>
      </c>
      <c r="J885" s="22">
        <v>9424.0</v>
      </c>
      <c r="K885" s="22" t="s">
        <v>3325</v>
      </c>
      <c r="L885" s="22">
        <v>109.0</v>
      </c>
      <c r="M885" s="22" t="s">
        <v>24</v>
      </c>
      <c r="N885" s="22" t="s">
        <v>25</v>
      </c>
      <c r="O885" s="23">
        <v>1.0E7</v>
      </c>
      <c r="P885" s="10">
        <f t="shared" si="2"/>
        <v>23000000</v>
      </c>
      <c r="Q885" s="12">
        <f t="shared" si="3"/>
        <v>0</v>
      </c>
      <c r="R885" s="22">
        <v>1985.0</v>
      </c>
      <c r="S885" s="22">
        <v>6.9</v>
      </c>
    </row>
    <row r="886" ht="15.75" customHeight="1">
      <c r="A886" s="17" t="s">
        <v>2838</v>
      </c>
      <c r="B886" s="8" t="str">
        <f>IFERROR(__xludf.DUMMYFUNCTION("REGEXREPLACE(A886, ""[^0-9a-zA-Z .'Ã]"","""")"),"Lawrence Kasdan")</f>
        <v>Lawrence Kasdan</v>
      </c>
      <c r="C886" s="18">
        <v>40.0</v>
      </c>
      <c r="D886" s="19">
        <v>2.5052E7</v>
      </c>
      <c r="E886" s="18" t="s">
        <v>3326</v>
      </c>
      <c r="F886" s="9">
        <f t="shared" si="1"/>
        <v>5</v>
      </c>
      <c r="G886" s="18" t="s">
        <v>45</v>
      </c>
      <c r="H886" s="11" t="str">
        <f>IFERROR(__xludf.DUMMYFUNCTION("REGEXREPLACE(G886, ""[^0-9a-zA-Z .'Ã]"","""")"),"Dennis Quaid")</f>
        <v>Dennis Quaid</v>
      </c>
      <c r="I886" s="20" t="s">
        <v>3327</v>
      </c>
      <c r="J886" s="18">
        <v>35314.0</v>
      </c>
      <c r="K886" s="18" t="s">
        <v>3328</v>
      </c>
      <c r="L886" s="18">
        <v>145.0</v>
      </c>
      <c r="M886" s="18" t="s">
        <v>24</v>
      </c>
      <c r="N886" s="18" t="s">
        <v>25</v>
      </c>
      <c r="O886" s="19">
        <v>6.3E7</v>
      </c>
      <c r="P886" s="10">
        <f t="shared" si="2"/>
        <v>0</v>
      </c>
      <c r="Q886" s="12">
        <f t="shared" si="3"/>
        <v>37948000</v>
      </c>
      <c r="R886" s="18">
        <v>1994.0</v>
      </c>
      <c r="S886" s="18">
        <v>6.6</v>
      </c>
    </row>
    <row r="887" ht="15.75" customHeight="1">
      <c r="A887" s="17" t="s">
        <v>896</v>
      </c>
      <c r="B887" s="8" t="str">
        <f>IFERROR(__xludf.DUMMYFUNCTION("REGEXREPLACE(A887, ""[^0-9a-zA-Z .'Ã]"","""")"),"Kevin Smith")</f>
        <v>Kevin Smith</v>
      </c>
      <c r="C887" s="18">
        <v>174.0</v>
      </c>
      <c r="D887" s="19">
        <v>2.4138847E7</v>
      </c>
      <c r="E887" s="18" t="s">
        <v>137</v>
      </c>
      <c r="F887" s="9">
        <f t="shared" si="1"/>
        <v>1</v>
      </c>
      <c r="G887" s="18" t="s">
        <v>2782</v>
      </c>
      <c r="H887" s="11" t="str">
        <f>IFERROR(__xludf.DUMMYFUNCTION("REGEXREPLACE(G887, ""[^0-9a-zA-Z .'Ã]"","""")"),"Ethan Suplee")</f>
        <v>Ethan Suplee</v>
      </c>
      <c r="I887" s="20" t="s">
        <v>3329</v>
      </c>
      <c r="J887" s="18">
        <v>114797.0</v>
      </c>
      <c r="K887" s="18" t="s">
        <v>3330</v>
      </c>
      <c r="L887" s="18">
        <v>472.0</v>
      </c>
      <c r="M887" s="18" t="s">
        <v>24</v>
      </c>
      <c r="N887" s="18" t="s">
        <v>25</v>
      </c>
      <c r="O887" s="19">
        <v>5000000.0</v>
      </c>
      <c r="P887" s="10">
        <f t="shared" si="2"/>
        <v>19138847</v>
      </c>
      <c r="Q887" s="12">
        <f t="shared" si="3"/>
        <v>0</v>
      </c>
      <c r="R887" s="18">
        <v>2006.0</v>
      </c>
      <c r="S887" s="18">
        <v>7.4</v>
      </c>
    </row>
    <row r="888" ht="15.75" customHeight="1">
      <c r="A888" s="25" t="s">
        <v>3331</v>
      </c>
      <c r="B888" s="8" t="str">
        <f>IFERROR(__xludf.DUMMYFUNCTION("REGEXREPLACE(A888, ""[^0-9a-zA-Z .'Ã]"","""")"),"Kevin Jordan")</f>
        <v>Kevin Jordan</v>
      </c>
      <c r="C888" s="26">
        <v>21.0</v>
      </c>
      <c r="D888" s="27">
        <v>277233.0</v>
      </c>
      <c r="E888" s="26" t="s">
        <v>89</v>
      </c>
      <c r="F888" s="9">
        <f t="shared" si="1"/>
        <v>2</v>
      </c>
      <c r="G888" s="26" t="s">
        <v>3332</v>
      </c>
      <c r="H888" s="11" t="str">
        <f>IFERROR(__xludf.DUMMYFUNCTION("REGEXREPLACE(G888, ""[^0-9a-zA-Z .'Ã]"","""")"),"Derick Martini")</f>
        <v>Derick Martini</v>
      </c>
      <c r="I888" s="28" t="s">
        <v>3333</v>
      </c>
      <c r="J888" s="26">
        <v>2631.0</v>
      </c>
      <c r="K888" s="26" t="s">
        <v>3334</v>
      </c>
      <c r="L888" s="26">
        <v>26.0</v>
      </c>
      <c r="M888" s="26" t="s">
        <v>24</v>
      </c>
      <c r="N888" s="26" t="s">
        <v>25</v>
      </c>
      <c r="O888" s="27">
        <v>40000.0</v>
      </c>
      <c r="P888" s="10">
        <f t="shared" si="2"/>
        <v>237233</v>
      </c>
      <c r="Q888" s="12">
        <f t="shared" si="3"/>
        <v>0</v>
      </c>
      <c r="R888" s="26">
        <v>1999.0</v>
      </c>
      <c r="S888" s="26">
        <v>7.6</v>
      </c>
    </row>
    <row r="889" ht="15.75" customHeight="1">
      <c r="A889" s="7" t="s">
        <v>775</v>
      </c>
      <c r="B889" s="8" t="str">
        <f>IFERROR(__xludf.DUMMYFUNCTION("REGEXREPLACE(A889, ""[^0-9a-zA-Z .'Ã]"","""")"),"Neil Burger")</f>
        <v>Neil Burger</v>
      </c>
      <c r="C889" s="9">
        <v>31.0</v>
      </c>
      <c r="D889" s="10">
        <v>47329.0</v>
      </c>
      <c r="E889" s="9" t="s">
        <v>103</v>
      </c>
      <c r="F889" s="9">
        <f t="shared" si="1"/>
        <v>1</v>
      </c>
      <c r="G889" s="9" t="s">
        <v>3335</v>
      </c>
      <c r="H889" s="11" t="str">
        <f>IFERROR(__xludf.DUMMYFUNCTION("REGEXREPLACE(G889, ""[^0-9a-zA-Z .'Ã]"","""")"),"Raymond J. Barry")</f>
        <v>Raymond J. Barry</v>
      </c>
      <c r="I889" s="11" t="s">
        <v>3336</v>
      </c>
      <c r="J889" s="9">
        <v>1661.0</v>
      </c>
      <c r="K889" s="9" t="s">
        <v>3337</v>
      </c>
      <c r="L889" s="9">
        <v>31.0</v>
      </c>
      <c r="M889" s="9" t="s">
        <v>24</v>
      </c>
      <c r="N889" s="9" t="s">
        <v>25</v>
      </c>
      <c r="O889" s="10">
        <v>750000.0</v>
      </c>
      <c r="P889" s="10">
        <f t="shared" si="2"/>
        <v>0</v>
      </c>
      <c r="Q889" s="12">
        <f t="shared" si="3"/>
        <v>702671</v>
      </c>
      <c r="R889" s="9">
        <v>2002.0</v>
      </c>
      <c r="S889" s="9">
        <v>6.6</v>
      </c>
    </row>
    <row r="890" ht="15.75" customHeight="1">
      <c r="A890" s="17" t="s">
        <v>53</v>
      </c>
      <c r="B890" s="8" t="str">
        <f>IFERROR(__xludf.DUMMYFUNCTION("REGEXREPLACE(A890, ""[^0-9a-zA-Z .'Ã]"","""")"),"Quentin Tarantino")</f>
        <v>Quentin Tarantino</v>
      </c>
      <c r="C890" s="18">
        <v>596.0</v>
      </c>
      <c r="D890" s="19">
        <v>5.4116191E7</v>
      </c>
      <c r="E890" s="18" t="s">
        <v>3338</v>
      </c>
      <c r="F890" s="9">
        <f t="shared" si="1"/>
        <v>5</v>
      </c>
      <c r="G890" s="18" t="s">
        <v>3339</v>
      </c>
      <c r="H890" s="11" t="str">
        <f>IFERROR(__xludf.DUMMYFUNCTION("REGEXREPLACE(G890, ""[^0-9a-zA-Z .'Ã]"","""")"),"Craig Stark")</f>
        <v>Craig Stark</v>
      </c>
      <c r="I890" s="20" t="s">
        <v>3340</v>
      </c>
      <c r="J890" s="18">
        <v>272839.0</v>
      </c>
      <c r="K890" s="18" t="s">
        <v>3341</v>
      </c>
      <c r="L890" s="18">
        <v>1018.0</v>
      </c>
      <c r="M890" s="18" t="s">
        <v>24</v>
      </c>
      <c r="N890" s="18" t="s">
        <v>25</v>
      </c>
      <c r="O890" s="19">
        <v>4.4E7</v>
      </c>
      <c r="P890" s="10">
        <f t="shared" si="2"/>
        <v>10116191</v>
      </c>
      <c r="Q890" s="12">
        <f t="shared" si="3"/>
        <v>0</v>
      </c>
      <c r="R890" s="18">
        <v>2015.0</v>
      </c>
      <c r="S890" s="18">
        <v>7.9</v>
      </c>
    </row>
    <row r="891" ht="15.75" customHeight="1">
      <c r="A891" s="21" t="s">
        <v>1816</v>
      </c>
      <c r="B891" s="8" t="str">
        <f>IFERROR(__xludf.DUMMYFUNCTION("REGEXREPLACE(A891, ""[^0-9a-zA-Z .'Ã]"","""")"),"Robert Redford")</f>
        <v>Robert Redford</v>
      </c>
      <c r="C891" s="22">
        <v>199.0</v>
      </c>
      <c r="D891" s="23">
        <v>1.1538204E7</v>
      </c>
      <c r="E891" s="22" t="s">
        <v>3342</v>
      </c>
      <c r="F891" s="9">
        <f t="shared" si="1"/>
        <v>3</v>
      </c>
      <c r="G891" s="22" t="s">
        <v>233</v>
      </c>
      <c r="H891" s="11" t="str">
        <f>IFERROR(__xludf.DUMMYFUNCTION("REGEXREPLACE(G891, ""[^0-9a-zA-Z .'Ã]"","""")"),"Robin Wright")</f>
        <v>Robin Wright</v>
      </c>
      <c r="I891" s="24" t="s">
        <v>3343</v>
      </c>
      <c r="J891" s="22">
        <v>23696.0</v>
      </c>
      <c r="K891" s="22" t="s">
        <v>3344</v>
      </c>
      <c r="L891" s="22">
        <v>135.0</v>
      </c>
      <c r="M891" s="22" t="s">
        <v>24</v>
      </c>
      <c r="N891" s="22" t="s">
        <v>25</v>
      </c>
      <c r="O891" s="23">
        <v>2.5E7</v>
      </c>
      <c r="P891" s="10">
        <f t="shared" si="2"/>
        <v>0</v>
      </c>
      <c r="Q891" s="12">
        <f t="shared" si="3"/>
        <v>13461796</v>
      </c>
      <c r="R891" s="22">
        <v>2010.0</v>
      </c>
      <c r="S891" s="22">
        <v>7.0</v>
      </c>
    </row>
    <row r="892" ht="15.75" customHeight="1">
      <c r="A892" s="7" t="s">
        <v>924</v>
      </c>
      <c r="B892" s="8" t="str">
        <f>IFERROR(__xludf.DUMMYFUNCTION("REGEXREPLACE(A892, ""[^0-9a-zA-Z .'Ã]"","""")"),"Wolfgang Petersen")</f>
        <v>Wolfgang Petersen</v>
      </c>
      <c r="C892" s="9">
        <v>64.0</v>
      </c>
      <c r="D892" s="10">
        <v>6.7823573E7</v>
      </c>
      <c r="E892" s="9" t="s">
        <v>175</v>
      </c>
      <c r="F892" s="9">
        <f t="shared" si="1"/>
        <v>3</v>
      </c>
      <c r="G892" s="9" t="s">
        <v>483</v>
      </c>
      <c r="H892" s="11" t="str">
        <f>IFERROR(__xludf.DUMMYFUNCTION("REGEXREPLACE(G892, ""[^0-9a-zA-Z .'Ã]"","""")"),"Kevin Spacey")</f>
        <v>Kevin Spacey</v>
      </c>
      <c r="I892" s="11" t="s">
        <v>3345</v>
      </c>
      <c r="J892" s="9">
        <v>91176.0</v>
      </c>
      <c r="K892" s="9" t="s">
        <v>3346</v>
      </c>
      <c r="L892" s="9">
        <v>130.0</v>
      </c>
      <c r="M892" s="9" t="s">
        <v>24</v>
      </c>
      <c r="N892" s="9" t="s">
        <v>25</v>
      </c>
      <c r="O892" s="10">
        <v>5.0E7</v>
      </c>
      <c r="P892" s="10">
        <f t="shared" si="2"/>
        <v>17823573</v>
      </c>
      <c r="Q892" s="12">
        <f t="shared" si="3"/>
        <v>0</v>
      </c>
      <c r="R892" s="9">
        <v>1995.0</v>
      </c>
      <c r="S892" s="9">
        <v>6.6</v>
      </c>
    </row>
    <row r="893" ht="15.75" customHeight="1">
      <c r="A893" s="17" t="s">
        <v>1258</v>
      </c>
      <c r="B893" s="8" t="str">
        <f>IFERROR(__xludf.DUMMYFUNCTION("REGEXREPLACE(A893, ""[^0-9a-zA-Z .'Ã]"","""")"),"Craig R. Baxley")</f>
        <v>Craig R. Baxley</v>
      </c>
      <c r="C893" s="18">
        <v>27.0</v>
      </c>
      <c r="D893" s="19">
        <v>9286314.0</v>
      </c>
      <c r="E893" s="18" t="s">
        <v>501</v>
      </c>
      <c r="F893" s="9">
        <f t="shared" si="1"/>
        <v>4</v>
      </c>
      <c r="G893" s="18" t="s">
        <v>3347</v>
      </c>
      <c r="H893" s="11" t="str">
        <f>IFERROR(__xludf.DUMMYFUNCTION("REGEXREPLACE(G893, ""[^0-9a-zA-Z .'Ã]"","""")"),"Brian Bosworth")</f>
        <v>Brian Bosworth</v>
      </c>
      <c r="I893" s="20" t="s">
        <v>3348</v>
      </c>
      <c r="J893" s="18">
        <v>4972.0</v>
      </c>
      <c r="K893" s="18" t="s">
        <v>3349</v>
      </c>
      <c r="L893" s="18">
        <v>62.0</v>
      </c>
      <c r="M893" s="18" t="s">
        <v>24</v>
      </c>
      <c r="N893" s="18" t="s">
        <v>25</v>
      </c>
      <c r="O893" s="19">
        <v>1.7E7</v>
      </c>
      <c r="P893" s="10">
        <f t="shared" si="2"/>
        <v>0</v>
      </c>
      <c r="Q893" s="12">
        <f t="shared" si="3"/>
        <v>7713686</v>
      </c>
      <c r="R893" s="18">
        <v>1991.0</v>
      </c>
      <c r="S893" s="18">
        <v>5.9</v>
      </c>
    </row>
    <row r="894" ht="15.75" customHeight="1">
      <c r="A894" s="29" t="s">
        <v>1458</v>
      </c>
      <c r="B894" s="8" t="str">
        <f>IFERROR(__xludf.DUMMYFUNCTION("REGEXREPLACE(A894, ""[^0-9a-zA-Z .'Ã]"","""")"),"Bobby Farrelly")</f>
        <v>Bobby Farrelly</v>
      </c>
      <c r="C894" s="30">
        <v>81.0</v>
      </c>
      <c r="D894" s="31">
        <v>1.3596911E7</v>
      </c>
      <c r="E894" s="30" t="s">
        <v>3350</v>
      </c>
      <c r="F894" s="9">
        <f t="shared" si="1"/>
        <v>7</v>
      </c>
      <c r="G894" s="30" t="s">
        <v>1123</v>
      </c>
      <c r="H894" s="11" t="str">
        <f>IFERROR(__xludf.DUMMYFUNCTION("REGEXREPLACE(G894, ""[^0-9a-zA-Z .'Ã]"","""")"),"Ron Howard")</f>
        <v>Ron Howard</v>
      </c>
      <c r="I894" s="32" t="s">
        <v>3351</v>
      </c>
      <c r="J894" s="30">
        <v>25572.0</v>
      </c>
      <c r="K894" s="30" t="s">
        <v>3352</v>
      </c>
      <c r="L894" s="30">
        <v>123.0</v>
      </c>
      <c r="M894" s="30" t="s">
        <v>24</v>
      </c>
      <c r="N894" s="30" t="s">
        <v>25</v>
      </c>
      <c r="O894" s="31">
        <v>7.0E7</v>
      </c>
      <c r="P894" s="10">
        <f t="shared" si="2"/>
        <v>0</v>
      </c>
      <c r="Q894" s="12">
        <f t="shared" si="3"/>
        <v>56403089</v>
      </c>
      <c r="R894" s="30">
        <v>2001.0</v>
      </c>
      <c r="S894" s="30">
        <v>6.2</v>
      </c>
    </row>
    <row r="895" ht="15.75" customHeight="1">
      <c r="A895" s="17" t="s">
        <v>3353</v>
      </c>
      <c r="B895" s="8" t="str">
        <f>IFERROR(__xludf.DUMMYFUNCTION("REGEXREPLACE(A895, ""[^0-9a-zA-Z .'Ã]"","""")"),"Vic Armstrong")</f>
        <v>Vic Armstrong</v>
      </c>
      <c r="C895" s="18">
        <v>169.0</v>
      </c>
      <c r="D895" s="19">
        <v>1.3998282E7</v>
      </c>
      <c r="E895" s="18" t="s">
        <v>3354</v>
      </c>
      <c r="F895" s="9">
        <f t="shared" si="1"/>
        <v>5</v>
      </c>
      <c r="G895" s="18" t="s">
        <v>458</v>
      </c>
      <c r="H895" s="11" t="str">
        <f>IFERROR(__xludf.DUMMYFUNCTION("REGEXREPLACE(G895, ""[^0-9a-zA-Z .'Ã]"","""")"),"Nicolas Cage")</f>
        <v>Nicolas Cage</v>
      </c>
      <c r="I895" s="20" t="s">
        <v>3355</v>
      </c>
      <c r="J895" s="18">
        <v>24854.0</v>
      </c>
      <c r="K895" s="18" t="s">
        <v>3356</v>
      </c>
      <c r="L895" s="18">
        <v>374.0</v>
      </c>
      <c r="M895" s="18" t="s">
        <v>24</v>
      </c>
      <c r="N895" s="18" t="s">
        <v>25</v>
      </c>
      <c r="O895" s="19">
        <v>1.6E7</v>
      </c>
      <c r="P895" s="10">
        <f t="shared" si="2"/>
        <v>0</v>
      </c>
      <c r="Q895" s="12">
        <f t="shared" si="3"/>
        <v>2001718</v>
      </c>
      <c r="R895" s="18">
        <v>2014.0</v>
      </c>
      <c r="S895" s="18">
        <v>3.1</v>
      </c>
    </row>
    <row r="896" ht="15.75" customHeight="1">
      <c r="A896" s="17" t="s">
        <v>2248</v>
      </c>
      <c r="B896" s="8" t="str">
        <f>IFERROR(__xludf.DUMMYFUNCTION("REGEXREPLACE(A896, ""[^0-9a-zA-Z .'Ã]"","""")"),"Andy Tennant")</f>
        <v>Andy Tennant</v>
      </c>
      <c r="C896" s="18">
        <v>161.0</v>
      </c>
      <c r="D896" s="19">
        <v>6.7061228E7</v>
      </c>
      <c r="E896" s="18" t="s">
        <v>219</v>
      </c>
      <c r="F896" s="9">
        <f t="shared" si="1"/>
        <v>3</v>
      </c>
      <c r="G896" s="18" t="s">
        <v>830</v>
      </c>
      <c r="H896" s="11" t="str">
        <f>IFERROR(__xludf.DUMMYFUNCTION("REGEXREPLACE(G896, ""[^0-9a-zA-Z .'Ã]"","""")"),"Gerard Butler")</f>
        <v>Gerard Butler</v>
      </c>
      <c r="I896" s="20" t="s">
        <v>3357</v>
      </c>
      <c r="J896" s="18">
        <v>96565.0</v>
      </c>
      <c r="K896" s="18" t="s">
        <v>3358</v>
      </c>
      <c r="L896" s="18">
        <v>135.0</v>
      </c>
      <c r="M896" s="18" t="s">
        <v>24</v>
      </c>
      <c r="N896" s="18" t="s">
        <v>25</v>
      </c>
      <c r="O896" s="19">
        <v>4.0E7</v>
      </c>
      <c r="P896" s="10">
        <f t="shared" si="2"/>
        <v>27061228</v>
      </c>
      <c r="Q896" s="12">
        <f t="shared" si="3"/>
        <v>0</v>
      </c>
      <c r="R896" s="18">
        <v>2010.0</v>
      </c>
      <c r="S896" s="18">
        <v>5.5</v>
      </c>
    </row>
    <row r="897" ht="15.75" customHeight="1">
      <c r="A897" s="7" t="s">
        <v>1474</v>
      </c>
      <c r="B897" s="8" t="str">
        <f>IFERROR(__xludf.DUMMYFUNCTION("REGEXREPLACE(A897, ""[^0-9a-zA-Z .'Ã]"","""")"),"Guillermo del Toro")</f>
        <v>Guillermo del Toro</v>
      </c>
      <c r="C897" s="9">
        <v>345.0</v>
      </c>
      <c r="D897" s="10">
        <v>7.575467E7</v>
      </c>
      <c r="E897" s="9" t="s">
        <v>3359</v>
      </c>
      <c r="F897" s="9">
        <f t="shared" si="1"/>
        <v>5</v>
      </c>
      <c r="G897" s="9" t="s">
        <v>3360</v>
      </c>
      <c r="H897" s="11" t="str">
        <f>IFERROR(__xludf.DUMMYFUNCTION("REGEXREPLACE(G897, ""[^0-9a-zA-Z .'Ã]"","""")"),"Seth MacFarlane")</f>
        <v>Seth MacFarlane</v>
      </c>
      <c r="I897" s="11" t="s">
        <v>3361</v>
      </c>
      <c r="J897" s="9">
        <v>208422.0</v>
      </c>
      <c r="K897" s="9" t="s">
        <v>3362</v>
      </c>
      <c r="L897" s="9">
        <v>342.0</v>
      </c>
      <c r="M897" s="9" t="s">
        <v>24</v>
      </c>
      <c r="N897" s="9" t="s">
        <v>25</v>
      </c>
      <c r="O897" s="10">
        <v>8.5E7</v>
      </c>
      <c r="P897" s="10">
        <f t="shared" si="2"/>
        <v>0</v>
      </c>
      <c r="Q897" s="12">
        <f t="shared" si="3"/>
        <v>9245330</v>
      </c>
      <c r="R897" s="9">
        <v>2008.0</v>
      </c>
      <c r="S897" s="9">
        <v>7.0</v>
      </c>
    </row>
    <row r="898" ht="15.75" customHeight="1">
      <c r="A898" s="17" t="s">
        <v>68</v>
      </c>
      <c r="B898" s="8" t="str">
        <f>IFERROR(__xludf.DUMMYFUNCTION("REGEXREPLACE(A898, ""[^0-9a-zA-Z .'Ã]"","""")"),"Spike Lee")</f>
        <v>Spike Lee</v>
      </c>
      <c r="C898" s="18">
        <v>25.0</v>
      </c>
      <c r="D898" s="19">
        <v>1.364E7</v>
      </c>
      <c r="E898" s="18" t="s">
        <v>454</v>
      </c>
      <c r="F898" s="9">
        <f t="shared" si="1"/>
        <v>2</v>
      </c>
      <c r="G898" s="18" t="s">
        <v>3363</v>
      </c>
      <c r="H898" s="11" t="str">
        <f>IFERROR(__xludf.DUMMYFUNCTION("REGEXREPLACE(G898, ""[^0-9a-zA-Z .'Ã]"","""")"),"Alfre Woodard")</f>
        <v>Alfre Woodard</v>
      </c>
      <c r="I898" s="20" t="s">
        <v>3364</v>
      </c>
      <c r="J898" s="18">
        <v>6011.0</v>
      </c>
      <c r="K898" s="18" t="s">
        <v>3365</v>
      </c>
      <c r="L898" s="18">
        <v>39.0</v>
      </c>
      <c r="M898" s="18" t="s">
        <v>24</v>
      </c>
      <c r="N898" s="18" t="s">
        <v>25</v>
      </c>
      <c r="O898" s="19">
        <v>1.4E7</v>
      </c>
      <c r="P898" s="10">
        <f t="shared" si="2"/>
        <v>0</v>
      </c>
      <c r="Q898" s="12">
        <f t="shared" si="3"/>
        <v>360000</v>
      </c>
      <c r="R898" s="18">
        <v>1994.0</v>
      </c>
      <c r="S898" s="18">
        <v>6.9</v>
      </c>
    </row>
    <row r="899" ht="15.75" customHeight="1">
      <c r="A899" s="7" t="s">
        <v>3366</v>
      </c>
      <c r="B899" s="8" t="str">
        <f>IFERROR(__xludf.DUMMYFUNCTION("REGEXREPLACE(A899, ""[^0-9a-zA-Z .'Ã]"","""")"),"Michael McCullers")</f>
        <v>Michael McCullers</v>
      </c>
      <c r="C899" s="9">
        <v>145.0</v>
      </c>
      <c r="D899" s="10">
        <v>6.026934E7</v>
      </c>
      <c r="E899" s="9" t="s">
        <v>89</v>
      </c>
      <c r="F899" s="9">
        <f t="shared" si="1"/>
        <v>2</v>
      </c>
      <c r="G899" s="9" t="s">
        <v>3367</v>
      </c>
      <c r="H899" s="11" t="str">
        <f>IFERROR(__xludf.DUMMYFUNCTION("REGEXREPLACE(G899, ""[^0-9a-zA-Z .'Ã]"","""")"),"Tina Fey")</f>
        <v>Tina Fey</v>
      </c>
      <c r="I899" s="11" t="s">
        <v>3368</v>
      </c>
      <c r="J899" s="9">
        <v>34079.0</v>
      </c>
      <c r="K899" s="9" t="s">
        <v>3369</v>
      </c>
      <c r="L899" s="9">
        <v>97.0</v>
      </c>
      <c r="M899" s="9" t="s">
        <v>24</v>
      </c>
      <c r="N899" s="9" t="s">
        <v>25</v>
      </c>
      <c r="O899" s="10">
        <v>3.0E7</v>
      </c>
      <c r="P899" s="10">
        <f t="shared" si="2"/>
        <v>30269340</v>
      </c>
      <c r="Q899" s="12">
        <f t="shared" si="3"/>
        <v>0</v>
      </c>
      <c r="R899" s="9">
        <v>2008.0</v>
      </c>
      <c r="S899" s="9">
        <v>6.0</v>
      </c>
    </row>
    <row r="900" ht="15.75" customHeight="1">
      <c r="A900" s="7" t="s">
        <v>1224</v>
      </c>
      <c r="B900" s="8" t="str">
        <f>IFERROR(__xludf.DUMMYFUNCTION("REGEXREPLACE(A900, ""[^0-9a-zA-Z .'Ã]"","""")"),"Norman Jewison")</f>
        <v>Norman Jewison</v>
      </c>
      <c r="C900" s="9">
        <v>65.0</v>
      </c>
      <c r="D900" s="10">
        <v>5.0668906E7</v>
      </c>
      <c r="E900" s="9" t="s">
        <v>1124</v>
      </c>
      <c r="F900" s="9">
        <f t="shared" si="1"/>
        <v>3</v>
      </c>
      <c r="G900" s="9" t="s">
        <v>70</v>
      </c>
      <c r="H900" s="11" t="str">
        <f>IFERROR(__xludf.DUMMYFUNCTION("REGEXREPLACE(G900, ""[^0-9a-zA-Z .'Ã]"","""")"),"Denzel Washington")</f>
        <v>Denzel Washington</v>
      </c>
      <c r="I900" s="11" t="s">
        <v>3370</v>
      </c>
      <c r="J900" s="9">
        <v>76016.0</v>
      </c>
      <c r="K900" s="9" t="s">
        <v>3371</v>
      </c>
      <c r="L900" s="9">
        <v>265.0</v>
      </c>
      <c r="M900" s="9" t="s">
        <v>24</v>
      </c>
      <c r="N900" s="9" t="s">
        <v>25</v>
      </c>
      <c r="O900" s="10">
        <v>3.8E7</v>
      </c>
      <c r="P900" s="10">
        <f t="shared" si="2"/>
        <v>12668906</v>
      </c>
      <c r="Q900" s="12">
        <f t="shared" si="3"/>
        <v>0</v>
      </c>
      <c r="R900" s="9">
        <v>1999.0</v>
      </c>
      <c r="S900" s="9">
        <v>7.6</v>
      </c>
    </row>
    <row r="901" ht="15.75" customHeight="1">
      <c r="A901" s="21" t="s">
        <v>3372</v>
      </c>
      <c r="B901" s="8" t="str">
        <f>IFERROR(__xludf.DUMMYFUNCTION("REGEXREPLACE(A901, ""[^0-9a-zA-Z .'Ã]"","""")"),"Jim Goddard")</f>
        <v>Jim Goddard</v>
      </c>
      <c r="C901" s="22">
        <v>21.0</v>
      </c>
      <c r="D901" s="23">
        <v>2315683.0</v>
      </c>
      <c r="E901" s="22" t="s">
        <v>3373</v>
      </c>
      <c r="F901" s="9">
        <f t="shared" si="1"/>
        <v>4</v>
      </c>
      <c r="G901" s="22" t="s">
        <v>3374</v>
      </c>
      <c r="H901" s="11" t="str">
        <f>IFERROR(__xludf.DUMMYFUNCTION("REGEXREPLACE(G901, ""[^0-9a-zA-Z .'Ã]"","""")"),"Victor Wong")</f>
        <v>Victor Wong</v>
      </c>
      <c r="I901" s="24" t="s">
        <v>3375</v>
      </c>
      <c r="J901" s="22">
        <v>4081.0</v>
      </c>
      <c r="K901" s="22" t="s">
        <v>3376</v>
      </c>
      <c r="L901" s="22">
        <v>28.0</v>
      </c>
      <c r="M901" s="22" t="s">
        <v>24</v>
      </c>
      <c r="N901" s="22" t="s">
        <v>130</v>
      </c>
      <c r="O901" s="23">
        <v>1.7E7</v>
      </c>
      <c r="P901" s="10">
        <f t="shared" si="2"/>
        <v>0</v>
      </c>
      <c r="Q901" s="12">
        <f t="shared" si="3"/>
        <v>14684317</v>
      </c>
      <c r="R901" s="22">
        <v>1986.0</v>
      </c>
      <c r="S901" s="22">
        <v>3.0</v>
      </c>
    </row>
    <row r="902" ht="15.75" customHeight="1">
      <c r="A902" s="17" t="s">
        <v>174</v>
      </c>
      <c r="B902" s="8" t="str">
        <f>IFERROR(__xludf.DUMMYFUNCTION("REGEXREPLACE(A902, ""[^0-9a-zA-Z .'Ã]"","""")"),"Roland Emmerich")</f>
        <v>Roland Emmerich</v>
      </c>
      <c r="C902" s="18">
        <v>185.0</v>
      </c>
      <c r="D902" s="19">
        <v>3.06124059E8</v>
      </c>
      <c r="E902" s="18" t="s">
        <v>185</v>
      </c>
      <c r="F902" s="9">
        <f t="shared" si="1"/>
        <v>3</v>
      </c>
      <c r="G902" s="18" t="s">
        <v>2717</v>
      </c>
      <c r="H902" s="11" t="str">
        <f>IFERROR(__xludf.DUMMYFUNCTION("REGEXREPLACE(G902, ""[^0-9a-zA-Z .'Ã]"","""")"),"Will Smith")</f>
        <v>Will Smith</v>
      </c>
      <c r="I902" s="20" t="s">
        <v>3377</v>
      </c>
      <c r="J902" s="18">
        <v>430055.0</v>
      </c>
      <c r="K902" s="18" t="s">
        <v>3378</v>
      </c>
      <c r="L902" s="18">
        <v>856.0</v>
      </c>
      <c r="M902" s="18" t="s">
        <v>24</v>
      </c>
      <c r="N902" s="18" t="s">
        <v>25</v>
      </c>
      <c r="O902" s="19">
        <v>7.5E7</v>
      </c>
      <c r="P902" s="10">
        <f t="shared" si="2"/>
        <v>231124059</v>
      </c>
      <c r="Q902" s="12">
        <f t="shared" si="3"/>
        <v>0</v>
      </c>
      <c r="R902" s="18">
        <v>1996.0</v>
      </c>
      <c r="S902" s="18">
        <v>6.9</v>
      </c>
    </row>
    <row r="903" ht="15.75" customHeight="1">
      <c r="A903" s="7" t="s">
        <v>3379</v>
      </c>
      <c r="B903" s="8" t="str">
        <f>IFERROR(__xludf.DUMMYFUNCTION("REGEXREPLACE(A903, ""[^0-9a-zA-Z .'Ã]"","""")"),"Michael Mayer")</f>
        <v>Michael Mayer</v>
      </c>
      <c r="C903" s="9">
        <v>46.0</v>
      </c>
      <c r="D903" s="10">
        <v>2.0998709E7</v>
      </c>
      <c r="E903" s="9" t="s">
        <v>1676</v>
      </c>
      <c r="F903" s="9">
        <f t="shared" si="1"/>
        <v>3</v>
      </c>
      <c r="G903" s="9" t="s">
        <v>1298</v>
      </c>
      <c r="H903" s="11" t="str">
        <f>IFERROR(__xludf.DUMMYFUNCTION("REGEXREPLACE(G903, ""[^0-9a-zA-Z .'Ã]"","""")"),"Alison Lohman")</f>
        <v>Alison Lohman</v>
      </c>
      <c r="I903" s="11" t="s">
        <v>3380</v>
      </c>
      <c r="J903" s="9">
        <v>6095.0</v>
      </c>
      <c r="K903" s="9" t="s">
        <v>3381</v>
      </c>
      <c r="L903" s="9">
        <v>76.0</v>
      </c>
      <c r="M903" s="9" t="s">
        <v>24</v>
      </c>
      <c r="N903" s="9" t="s">
        <v>25</v>
      </c>
      <c r="O903" s="10">
        <v>1.5E7</v>
      </c>
      <c r="P903" s="10">
        <f t="shared" si="2"/>
        <v>5998709</v>
      </c>
      <c r="Q903" s="12">
        <f t="shared" si="3"/>
        <v>0</v>
      </c>
      <c r="R903" s="9">
        <v>2006.0</v>
      </c>
      <c r="S903" s="9">
        <v>6.2</v>
      </c>
    </row>
    <row r="904" ht="15.75" customHeight="1">
      <c r="A904" s="13" t="s">
        <v>3382</v>
      </c>
      <c r="B904" s="8" t="str">
        <f>IFERROR(__xludf.DUMMYFUNCTION("REGEXREPLACE(A904, ""[^0-9a-zA-Z .'Ã]"","""")"),"Frank Nissen")</f>
        <v>Frank Nissen</v>
      </c>
      <c r="C904" s="14">
        <v>45.0</v>
      </c>
      <c r="D904" s="15">
        <v>1.8081626E7</v>
      </c>
      <c r="E904" s="14" t="s">
        <v>3383</v>
      </c>
      <c r="F904" s="9">
        <f t="shared" si="1"/>
        <v>4</v>
      </c>
      <c r="G904" s="14" t="s">
        <v>1639</v>
      </c>
      <c r="H904" s="11" t="str">
        <f>IFERROR(__xludf.DUMMYFUNCTION("REGEXREPLACE(G904, ""[^0-9a-zA-Z .'Ã]"","""")"),"Kath Soucie")</f>
        <v>Kath Soucie</v>
      </c>
      <c r="I904" s="16" t="s">
        <v>3384</v>
      </c>
      <c r="J904" s="14">
        <v>4180.0</v>
      </c>
      <c r="K904" s="14" t="s">
        <v>3385</v>
      </c>
      <c r="L904" s="14">
        <v>32.0</v>
      </c>
      <c r="M904" s="14" t="s">
        <v>24</v>
      </c>
      <c r="N904" s="14" t="s">
        <v>25</v>
      </c>
      <c r="O904" s="15">
        <v>2.0E7</v>
      </c>
      <c r="P904" s="10">
        <f t="shared" si="2"/>
        <v>0</v>
      </c>
      <c r="Q904" s="12">
        <f t="shared" si="3"/>
        <v>1918374</v>
      </c>
      <c r="R904" s="14">
        <v>2005.0</v>
      </c>
      <c r="S904" s="14">
        <v>6.4</v>
      </c>
    </row>
    <row r="905" ht="15.75" customHeight="1">
      <c r="A905" s="7" t="s">
        <v>3386</v>
      </c>
      <c r="B905" s="8" t="str">
        <f>IFERROR(__xludf.DUMMYFUNCTION("REGEXREPLACE(A905, ""[^0-9a-zA-Z .'Ã]"","""")"),"Andrew Niccol")</f>
        <v>Andrew Niccol</v>
      </c>
      <c r="C905" s="9">
        <v>168.0</v>
      </c>
      <c r="D905" s="10">
        <v>2.4127895E7</v>
      </c>
      <c r="E905" s="9" t="s">
        <v>113</v>
      </c>
      <c r="F905" s="9">
        <f t="shared" si="1"/>
        <v>3</v>
      </c>
      <c r="G905" s="9" t="s">
        <v>458</v>
      </c>
      <c r="H905" s="11" t="str">
        <f>IFERROR(__xludf.DUMMYFUNCTION("REGEXREPLACE(G905, ""[^0-9a-zA-Z .'Ã]"","""")"),"Nicolas Cage")</f>
        <v>Nicolas Cage</v>
      </c>
      <c r="I905" s="11" t="s">
        <v>3387</v>
      </c>
      <c r="J905" s="9">
        <v>248123.0</v>
      </c>
      <c r="K905" s="9" t="s">
        <v>3388</v>
      </c>
      <c r="L905" s="9">
        <v>437.0</v>
      </c>
      <c r="M905" s="9" t="s">
        <v>24</v>
      </c>
      <c r="N905" s="9" t="s">
        <v>25</v>
      </c>
      <c r="O905" s="10">
        <v>5.0E7</v>
      </c>
      <c r="P905" s="10">
        <f t="shared" si="2"/>
        <v>0</v>
      </c>
      <c r="Q905" s="12">
        <f t="shared" si="3"/>
        <v>25872105</v>
      </c>
      <c r="R905" s="9">
        <v>2005.0</v>
      </c>
      <c r="S905" s="9">
        <v>7.6</v>
      </c>
    </row>
    <row r="906" ht="15.75" customHeight="1">
      <c r="A906" s="7" t="s">
        <v>3389</v>
      </c>
      <c r="B906" s="8" t="str">
        <f>IFERROR(__xludf.DUMMYFUNCTION("REGEXREPLACE(A906, ""[^0-9a-zA-Z .'Ã]"","""")"),"Mike Nawrocki")</f>
        <v>Mike Nawrocki</v>
      </c>
      <c r="C906" s="9">
        <v>38.0</v>
      </c>
      <c r="D906" s="10">
        <v>2.5571351E7</v>
      </c>
      <c r="E906" s="9" t="s">
        <v>3390</v>
      </c>
      <c r="F906" s="9">
        <f t="shared" si="1"/>
        <v>6</v>
      </c>
      <c r="G906" s="9" t="s">
        <v>3391</v>
      </c>
      <c r="H906" s="11" t="str">
        <f>IFERROR(__xludf.DUMMYFUNCTION("REGEXREPLACE(G906, ""[^0-9a-zA-Z .'Ã]"","""")"),"Phil Vischer")</f>
        <v>Phil Vischer</v>
      </c>
      <c r="I906" s="11" t="s">
        <v>3392</v>
      </c>
      <c r="J906" s="9">
        <v>3135.0</v>
      </c>
      <c r="K906" s="9" t="s">
        <v>3393</v>
      </c>
      <c r="L906" s="9">
        <v>78.0</v>
      </c>
      <c r="M906" s="9" t="s">
        <v>24</v>
      </c>
      <c r="N906" s="9" t="s">
        <v>25</v>
      </c>
      <c r="O906" s="10">
        <v>1.4E7</v>
      </c>
      <c r="P906" s="10">
        <f t="shared" si="2"/>
        <v>11571351</v>
      </c>
      <c r="Q906" s="12">
        <f t="shared" si="3"/>
        <v>0</v>
      </c>
      <c r="R906" s="9">
        <v>2002.0</v>
      </c>
      <c r="S906" s="9">
        <v>6.6</v>
      </c>
    </row>
    <row r="907" ht="15.75" customHeight="1">
      <c r="A907" s="25" t="s">
        <v>2505</v>
      </c>
      <c r="B907" s="8" t="str">
        <f>IFERROR(__xludf.DUMMYFUNCTION("REGEXREPLACE(A907, ""[^0-9a-zA-Z .'Ã]"","""")"),"Tony Scott")</f>
        <v>Tony Scott</v>
      </c>
      <c r="C907" s="26">
        <v>173.0</v>
      </c>
      <c r="D907" s="27">
        <v>1.76781728E8</v>
      </c>
      <c r="E907" s="26" t="s">
        <v>3256</v>
      </c>
      <c r="F907" s="9">
        <f t="shared" si="1"/>
        <v>3</v>
      </c>
      <c r="G907" s="26" t="s">
        <v>220</v>
      </c>
      <c r="H907" s="11" t="str">
        <f>IFERROR(__xludf.DUMMYFUNCTION("REGEXREPLACE(G907, ""[^0-9a-zA-Z .'Ã]"","""")"),"Tom Cruise")</f>
        <v>Tom Cruise</v>
      </c>
      <c r="I907" s="28" t="s">
        <v>3394</v>
      </c>
      <c r="J907" s="26">
        <v>219171.0</v>
      </c>
      <c r="K907" s="26" t="s">
        <v>3395</v>
      </c>
      <c r="L907" s="26">
        <v>388.0</v>
      </c>
      <c r="M907" s="26" t="s">
        <v>24</v>
      </c>
      <c r="N907" s="26" t="s">
        <v>25</v>
      </c>
      <c r="O907" s="27">
        <v>1.5E7</v>
      </c>
      <c r="P907" s="10">
        <f t="shared" si="2"/>
        <v>161781728</v>
      </c>
      <c r="Q907" s="12">
        <f t="shared" si="3"/>
        <v>0</v>
      </c>
      <c r="R907" s="26">
        <v>1986.0</v>
      </c>
      <c r="S907" s="26">
        <v>6.9</v>
      </c>
    </row>
    <row r="908" ht="15.75" customHeight="1">
      <c r="A908" s="17" t="s">
        <v>938</v>
      </c>
      <c r="B908" s="8" t="str">
        <f>IFERROR(__xludf.DUMMYFUNCTION("REGEXREPLACE(A908, ""[^0-9a-zA-Z -.'Ã]"","""")"),"Jaume Collet-Serra")</f>
        <v>Jaume Collet-Serra</v>
      </c>
      <c r="C908" s="18">
        <v>349.0</v>
      </c>
      <c r="D908" s="19">
        <v>6.1094903E7</v>
      </c>
      <c r="E908" s="18" t="s">
        <v>1155</v>
      </c>
      <c r="F908" s="9">
        <f t="shared" si="1"/>
        <v>3</v>
      </c>
      <c r="G908" s="18" t="s">
        <v>605</v>
      </c>
      <c r="H908" s="11" t="str">
        <f>IFERROR(__xludf.DUMMYFUNCTION("REGEXREPLACE(G908, ""[^0-9a-zA-Z .'Ã]"","""")"),"Liam Neeson")</f>
        <v>Liam Neeson</v>
      </c>
      <c r="I908" s="20" t="s">
        <v>3396</v>
      </c>
      <c r="J908" s="18">
        <v>210542.0</v>
      </c>
      <c r="K908" s="18" t="s">
        <v>3397</v>
      </c>
      <c r="L908" s="18">
        <v>332.0</v>
      </c>
      <c r="M908" s="18" t="s">
        <v>24</v>
      </c>
      <c r="N908" s="18" t="s">
        <v>130</v>
      </c>
      <c r="O908" s="19">
        <v>3.0E7</v>
      </c>
      <c r="P908" s="10">
        <f t="shared" si="2"/>
        <v>31094903</v>
      </c>
      <c r="Q908" s="12">
        <f t="shared" si="3"/>
        <v>0</v>
      </c>
      <c r="R908" s="18">
        <v>2011.0</v>
      </c>
      <c r="S908" s="18">
        <v>6.9</v>
      </c>
    </row>
    <row r="909" ht="15.75" customHeight="1">
      <c r="A909" s="7" t="s">
        <v>2097</v>
      </c>
      <c r="B909" s="8" t="str">
        <f>IFERROR(__xludf.DUMMYFUNCTION("REGEXREPLACE(A909, ""[^0-9a-zA-Z .'Ã]"","""")"),"Dennis Dugan")</f>
        <v>Dennis Dugan</v>
      </c>
      <c r="C909" s="9">
        <v>77.0</v>
      </c>
      <c r="D909" s="10">
        <v>3.8624E7</v>
      </c>
      <c r="E909" s="9" t="s">
        <v>3398</v>
      </c>
      <c r="F909" s="9">
        <f t="shared" si="1"/>
        <v>2</v>
      </c>
      <c r="G909" s="9" t="s">
        <v>616</v>
      </c>
      <c r="H909" s="11" t="str">
        <f>IFERROR(__xludf.DUMMYFUNCTION("REGEXREPLACE(G909, ""[^0-9a-zA-Z .'Ã]"","""")"),"Adam Sandler")</f>
        <v>Adam Sandler</v>
      </c>
      <c r="I909" s="11" t="s">
        <v>3399</v>
      </c>
      <c r="J909" s="9">
        <v>156143.0</v>
      </c>
      <c r="K909" s="9" t="s">
        <v>3400</v>
      </c>
      <c r="L909" s="9">
        <v>289.0</v>
      </c>
      <c r="M909" s="9" t="s">
        <v>24</v>
      </c>
      <c r="N909" s="9" t="s">
        <v>25</v>
      </c>
      <c r="O909" s="10">
        <v>1.2E7</v>
      </c>
      <c r="P909" s="10">
        <f t="shared" si="2"/>
        <v>26624000</v>
      </c>
      <c r="Q909" s="12">
        <f t="shared" si="3"/>
        <v>0</v>
      </c>
      <c r="R909" s="9">
        <v>1996.0</v>
      </c>
      <c r="S909" s="9">
        <v>7.0</v>
      </c>
    </row>
    <row r="910" ht="15.75" customHeight="1">
      <c r="A910" s="7" t="s">
        <v>1095</v>
      </c>
      <c r="B910" s="8" t="str">
        <f>IFERROR(__xludf.DUMMYFUNCTION("REGEXREPLACE(A910, ""[^0-9a-zA-Z .'Ã]"","""")"),"Renny Harlin")</f>
        <v>Renny Harlin</v>
      </c>
      <c r="C910" s="9">
        <v>127.0</v>
      </c>
      <c r="D910" s="10">
        <v>4476235.0</v>
      </c>
      <c r="E910" s="9" t="s">
        <v>3401</v>
      </c>
      <c r="F910" s="9">
        <f t="shared" si="1"/>
        <v>4</v>
      </c>
      <c r="G910" s="9" t="s">
        <v>1329</v>
      </c>
      <c r="H910" s="11" t="str">
        <f>IFERROR(__xludf.DUMMYFUNCTION("REGEXREPLACE(G910, ""[^0-9a-zA-Z .'Ã]"","""")"),"LL Cool J")</f>
        <v>LL Cool J</v>
      </c>
      <c r="I910" s="11" t="s">
        <v>3402</v>
      </c>
      <c r="J910" s="9">
        <v>49405.0</v>
      </c>
      <c r="K910" s="9" t="s">
        <v>3403</v>
      </c>
      <c r="L910" s="9">
        <v>226.0</v>
      </c>
      <c r="M910" s="9" t="s">
        <v>24</v>
      </c>
      <c r="N910" s="9" t="s">
        <v>25</v>
      </c>
      <c r="O910" s="10">
        <v>2.7E7</v>
      </c>
      <c r="P910" s="10">
        <f t="shared" si="2"/>
        <v>0</v>
      </c>
      <c r="Q910" s="12">
        <f t="shared" si="3"/>
        <v>22523765</v>
      </c>
      <c r="R910" s="9">
        <v>2004.0</v>
      </c>
      <c r="S910" s="9">
        <v>6.4</v>
      </c>
    </row>
    <row r="911" ht="15.75" customHeight="1">
      <c r="A911" s="17" t="s">
        <v>3404</v>
      </c>
      <c r="B911" s="8" t="str">
        <f>IFERROR(__xludf.DUMMYFUNCTION("REGEXREPLACE(A911, ""[^0-9a-zA-Z .'Ã]"","""")"),"Neil Jordan")</f>
        <v>Neil Jordan</v>
      </c>
      <c r="C911" s="18">
        <v>44.0</v>
      </c>
      <c r="D911" s="19">
        <v>1.1030963E7</v>
      </c>
      <c r="E911" s="18" t="s">
        <v>557</v>
      </c>
      <c r="F911" s="9">
        <f t="shared" si="1"/>
        <v>4</v>
      </c>
      <c r="G911" s="18" t="s">
        <v>647</v>
      </c>
      <c r="H911" s="11" t="str">
        <f>IFERROR(__xludf.DUMMYFUNCTION("REGEXREPLACE(G911, ""[^0-9a-zA-Z .'Ã]"","""")"),"Alan Rickman")</f>
        <v>Alan Rickman</v>
      </c>
      <c r="I911" s="20" t="s">
        <v>3405</v>
      </c>
      <c r="J911" s="18">
        <v>24145.0</v>
      </c>
      <c r="K911" s="18" t="s">
        <v>3406</v>
      </c>
      <c r="L911" s="18">
        <v>93.0</v>
      </c>
      <c r="M911" s="18" t="s">
        <v>24</v>
      </c>
      <c r="N911" s="18" t="s">
        <v>130</v>
      </c>
      <c r="O911" s="19">
        <v>2.8E7</v>
      </c>
      <c r="P911" s="10">
        <f t="shared" si="2"/>
        <v>0</v>
      </c>
      <c r="Q911" s="12">
        <f t="shared" si="3"/>
        <v>16969037</v>
      </c>
      <c r="R911" s="18">
        <v>1996.0</v>
      </c>
      <c r="S911" s="18">
        <v>7.1</v>
      </c>
    </row>
    <row r="912" ht="15.75" customHeight="1">
      <c r="A912" s="21" t="s">
        <v>3407</v>
      </c>
      <c r="B912" s="8" t="str">
        <f>IFERROR(__xludf.DUMMYFUNCTION("REGEXREPLACE(A912, ""[^0-9a-zA-Z .'Ã]"","""")"),"Ol Parker")</f>
        <v>Ol Parker</v>
      </c>
      <c r="C912" s="22">
        <v>85.0</v>
      </c>
      <c r="D912" s="23">
        <v>671240.0</v>
      </c>
      <c r="E912" s="22" t="s">
        <v>159</v>
      </c>
      <c r="F912" s="9">
        <f t="shared" si="1"/>
        <v>3</v>
      </c>
      <c r="G912" s="22" t="s">
        <v>3408</v>
      </c>
      <c r="H912" s="11" t="str">
        <f>IFERROR(__xludf.DUMMYFUNCTION("REGEXREPLACE(G912, ""[^0-9a-zA-Z .'Ã]"","""")"),"Celia Imrie")</f>
        <v>Celia Imrie</v>
      </c>
      <c r="I912" s="24" t="s">
        <v>3409</v>
      </c>
      <c r="J912" s="22">
        <v>23023.0</v>
      </c>
      <c r="K912" s="22" t="s">
        <v>3410</v>
      </c>
      <c r="L912" s="22">
        <v>149.0</v>
      </c>
      <c r="M912" s="22" t="s">
        <v>24</v>
      </c>
      <c r="N912" s="22" t="s">
        <v>130</v>
      </c>
      <c r="O912" s="23">
        <v>7900000.0</v>
      </c>
      <c r="P912" s="10">
        <f t="shared" si="2"/>
        <v>0</v>
      </c>
      <c r="Q912" s="12">
        <f t="shared" si="3"/>
        <v>7228760</v>
      </c>
      <c r="R912" s="22">
        <v>2005.0</v>
      </c>
      <c r="S912" s="22">
        <v>6.9</v>
      </c>
    </row>
    <row r="913" ht="15.75" customHeight="1">
      <c r="A913" s="17" t="s">
        <v>3411</v>
      </c>
      <c r="B913" s="8" t="str">
        <f>IFERROR(__xludf.DUMMYFUNCTION("REGEXREPLACE(A913, ""[^0-9a-zA-Z .'Ã]"","""")"),"Kevin Lima")</f>
        <v>Kevin Lima</v>
      </c>
      <c r="C913" s="18">
        <v>84.0</v>
      </c>
      <c r="D913" s="19">
        <v>6.6941559E7</v>
      </c>
      <c r="E913" s="18" t="s">
        <v>2707</v>
      </c>
      <c r="F913" s="9">
        <f t="shared" si="1"/>
        <v>3</v>
      </c>
      <c r="G913" s="18" t="s">
        <v>75</v>
      </c>
      <c r="H913" s="11" t="str">
        <f>IFERROR(__xludf.DUMMYFUNCTION("REGEXREPLACE(G913, ""[^0-9a-zA-Z .'Ã]"","""")"),"Ioan Gruffudd")</f>
        <v>Ioan Gruffudd</v>
      </c>
      <c r="I913" s="20" t="s">
        <v>3412</v>
      </c>
      <c r="J913" s="18">
        <v>26413.0</v>
      </c>
      <c r="K913" s="18" t="s">
        <v>3413</v>
      </c>
      <c r="L913" s="18">
        <v>77.0</v>
      </c>
      <c r="M913" s="18" t="s">
        <v>24</v>
      </c>
      <c r="N913" s="18" t="s">
        <v>25</v>
      </c>
      <c r="O913" s="19">
        <v>8.5E7</v>
      </c>
      <c r="P913" s="10">
        <f t="shared" si="2"/>
        <v>0</v>
      </c>
      <c r="Q913" s="12">
        <f t="shared" si="3"/>
        <v>18058441</v>
      </c>
      <c r="R913" s="18">
        <v>2000.0</v>
      </c>
      <c r="S913" s="18">
        <v>4.8</v>
      </c>
    </row>
    <row r="914" ht="15.75" customHeight="1">
      <c r="A914" s="7" t="s">
        <v>3414</v>
      </c>
      <c r="B914" s="8" t="str">
        <f>IFERROR(__xludf.DUMMYFUNCTION("REGEXREPLACE(A914, ""[^0-9a-zA-Z .'Ã]"","""")"),"Colin Trevorrow")</f>
        <v>Colin Trevorrow</v>
      </c>
      <c r="C914" s="9">
        <v>644.0</v>
      </c>
      <c r="D914" s="10">
        <v>6.52177271E8</v>
      </c>
      <c r="E914" s="9" t="s">
        <v>794</v>
      </c>
      <c r="F914" s="9">
        <f t="shared" si="1"/>
        <v>4</v>
      </c>
      <c r="G914" s="9" t="s">
        <v>1026</v>
      </c>
      <c r="H914" s="11" t="str">
        <f>IFERROR(__xludf.DUMMYFUNCTION("REGEXREPLACE(G914, ""[^0-9a-zA-Z .'Ã]"","""")"),"Bryce Dallas Howard")</f>
        <v>Bryce Dallas Howard</v>
      </c>
      <c r="I914" s="11" t="s">
        <v>3415</v>
      </c>
      <c r="J914" s="9">
        <v>418214.0</v>
      </c>
      <c r="K914" s="9" t="s">
        <v>3416</v>
      </c>
      <c r="L914" s="9">
        <v>1290.0</v>
      </c>
      <c r="M914" s="9" t="s">
        <v>24</v>
      </c>
      <c r="N914" s="9" t="s">
        <v>25</v>
      </c>
      <c r="O914" s="10">
        <v>1.5E8</v>
      </c>
      <c r="P914" s="10">
        <f t="shared" si="2"/>
        <v>502177271</v>
      </c>
      <c r="Q914" s="12">
        <f t="shared" si="3"/>
        <v>0</v>
      </c>
      <c r="R914" s="9">
        <v>2015.0</v>
      </c>
      <c r="S914" s="9">
        <v>7.0</v>
      </c>
    </row>
    <row r="915" ht="15.75" customHeight="1">
      <c r="A915" s="25" t="s">
        <v>2371</v>
      </c>
      <c r="B915" s="8" t="str">
        <f>IFERROR(__xludf.DUMMYFUNCTION("REGEXREPLACE(A915, ""[^0-9a-zA-Z .'Ã]"","""")"),"Sydney Pollack")</f>
        <v>Sydney Pollack</v>
      </c>
      <c r="C915" s="26">
        <v>96.0</v>
      </c>
      <c r="D915" s="27">
        <v>3.1054924E7</v>
      </c>
      <c r="E915" s="26" t="s">
        <v>3417</v>
      </c>
      <c r="F915" s="9">
        <f t="shared" si="1"/>
        <v>3</v>
      </c>
      <c r="G915" s="26" t="s">
        <v>637</v>
      </c>
      <c r="H915" s="11" t="str">
        <f>IFERROR(__xludf.DUMMYFUNCTION("REGEXREPLACE(G915, ""[^0-9a-zA-Z .'Ã]"","""")"),"Harrison Ford")</f>
        <v>Harrison Ford</v>
      </c>
      <c r="I915" s="28" t="s">
        <v>3418</v>
      </c>
      <c r="J915" s="26">
        <v>17025.0</v>
      </c>
      <c r="K915" s="26" t="s">
        <v>3419</v>
      </c>
      <c r="L915" s="26">
        <v>290.0</v>
      </c>
      <c r="M915" s="26" t="s">
        <v>24</v>
      </c>
      <c r="N915" s="26" t="s">
        <v>25</v>
      </c>
      <c r="O915" s="27">
        <v>6.4E7</v>
      </c>
      <c r="P915" s="10">
        <f t="shared" si="2"/>
        <v>0</v>
      </c>
      <c r="Q915" s="12">
        <f t="shared" si="3"/>
        <v>32945076</v>
      </c>
      <c r="R915" s="26">
        <v>1999.0</v>
      </c>
      <c r="S915" s="26">
        <v>5.1</v>
      </c>
    </row>
    <row r="916" ht="15.75" customHeight="1">
      <c r="A916" s="21" t="s">
        <v>3420</v>
      </c>
      <c r="B916" s="8" t="str">
        <f>IFERROR(__xludf.DUMMYFUNCTION("REGEXREPLACE(A916, ""[^0-9a-zA-Z .'Ã]"","""")"),"Carl Franklin")</f>
        <v>Carl Franklin</v>
      </c>
      <c r="C916" s="22">
        <v>64.0</v>
      </c>
      <c r="D916" s="23">
        <v>2.320944E7</v>
      </c>
      <c r="E916" s="22" t="s">
        <v>103</v>
      </c>
      <c r="F916" s="9">
        <f t="shared" si="1"/>
        <v>1</v>
      </c>
      <c r="G916" s="22" t="s">
        <v>1941</v>
      </c>
      <c r="H916" s="11" t="str">
        <f>IFERROR(__xludf.DUMMYFUNCTION("REGEXREPLACE(G916, ""[^0-9a-zA-Z .'Ã]"","""")"),"Meryl Streep")</f>
        <v>Meryl Streep</v>
      </c>
      <c r="I916" s="24" t="s">
        <v>3421</v>
      </c>
      <c r="J916" s="22">
        <v>9283.0</v>
      </c>
      <c r="K916" s="22" t="s">
        <v>3422</v>
      </c>
      <c r="L916" s="22">
        <v>112.0</v>
      </c>
      <c r="M916" s="22" t="s">
        <v>24</v>
      </c>
      <c r="N916" s="22" t="s">
        <v>25</v>
      </c>
      <c r="O916" s="23">
        <v>3.0E7</v>
      </c>
      <c r="P916" s="10">
        <f t="shared" si="2"/>
        <v>0</v>
      </c>
      <c r="Q916" s="12">
        <f t="shared" si="3"/>
        <v>6790560</v>
      </c>
      <c r="R916" s="22">
        <v>1998.0</v>
      </c>
      <c r="S916" s="22">
        <v>7.0</v>
      </c>
    </row>
    <row r="917" ht="15.75" customHeight="1">
      <c r="A917" s="21" t="s">
        <v>1047</v>
      </c>
      <c r="B917" s="8" t="str">
        <f>IFERROR(__xludf.DUMMYFUNCTION("REGEXREPLACE(A917, ""[^0-9a-zA-Z .'Ã]"","""")"),"Tyler Perry")</f>
        <v>Tyler Perry</v>
      </c>
      <c r="C917" s="22">
        <v>46.0</v>
      </c>
      <c r="D917" s="23">
        <v>6.3231524E7</v>
      </c>
      <c r="E917" s="22" t="s">
        <v>159</v>
      </c>
      <c r="F917" s="9">
        <f t="shared" si="1"/>
        <v>3</v>
      </c>
      <c r="G917" s="22" t="s">
        <v>3423</v>
      </c>
      <c r="H917" s="11" t="str">
        <f>IFERROR(__xludf.DUMMYFUNCTION("REGEXREPLACE(G917, ""[^0-9a-zA-Z .'Ã]"","""")"),"Boris Kodjoe")</f>
        <v>Boris Kodjoe</v>
      </c>
      <c r="I917" s="24" t="s">
        <v>3424</v>
      </c>
      <c r="J917" s="22">
        <v>8962.0</v>
      </c>
      <c r="K917" s="22" t="s">
        <v>3425</v>
      </c>
      <c r="L917" s="22">
        <v>137.0</v>
      </c>
      <c r="M917" s="22" t="s">
        <v>24</v>
      </c>
      <c r="N917" s="22" t="s">
        <v>25</v>
      </c>
      <c r="O917" s="23">
        <v>6000000.0</v>
      </c>
      <c r="P917" s="10">
        <f t="shared" si="2"/>
        <v>57231524</v>
      </c>
      <c r="Q917" s="12">
        <f t="shared" si="3"/>
        <v>0</v>
      </c>
      <c r="R917" s="22">
        <v>2006.0</v>
      </c>
      <c r="S917" s="22">
        <v>5.0</v>
      </c>
    </row>
    <row r="918" ht="15.75" customHeight="1">
      <c r="A918" s="17" t="s">
        <v>3426</v>
      </c>
      <c r="B918" s="8" t="str">
        <f>IFERROR(__xludf.DUMMYFUNCTION("REGEXREPLACE(A918, ""[^0-9a-zA-Z .'Ã]"","""")"),"William Wyler")</f>
        <v>William Wyler</v>
      </c>
      <c r="C918" s="18">
        <v>97.0</v>
      </c>
      <c r="D918" s="19">
        <v>2.365E7</v>
      </c>
      <c r="E918" s="18" t="s">
        <v>3427</v>
      </c>
      <c r="F918" s="9">
        <f t="shared" si="1"/>
        <v>3</v>
      </c>
      <c r="G918" s="18" t="s">
        <v>3428</v>
      </c>
      <c r="H918" s="11" t="str">
        <f>IFERROR(__xludf.DUMMYFUNCTION("REGEXREPLACE(G918, ""[^0-9a-zA-Z .'Ã]"","""")"),"Myrna Loy")</f>
        <v>Myrna Loy</v>
      </c>
      <c r="I918" s="20" t="s">
        <v>3429</v>
      </c>
      <c r="J918" s="18">
        <v>40359.0</v>
      </c>
      <c r="K918" s="18" t="s">
        <v>3430</v>
      </c>
      <c r="L918" s="18">
        <v>235.0</v>
      </c>
      <c r="M918" s="18" t="s">
        <v>24</v>
      </c>
      <c r="N918" s="18" t="s">
        <v>25</v>
      </c>
      <c r="O918" s="19">
        <v>2100000.0</v>
      </c>
      <c r="P918" s="10">
        <f t="shared" si="2"/>
        <v>21550000</v>
      </c>
      <c r="Q918" s="12">
        <f t="shared" si="3"/>
        <v>0</v>
      </c>
      <c r="R918" s="18">
        <v>1946.0</v>
      </c>
      <c r="S918" s="18">
        <v>8.1</v>
      </c>
    </row>
    <row r="919" ht="15.75" customHeight="1">
      <c r="A919" s="25" t="s">
        <v>163</v>
      </c>
      <c r="B919" s="8" t="str">
        <f>IFERROR(__xludf.DUMMYFUNCTION("REGEXREPLACE(A919, ""[^0-9a-zA-Z .'Ã]"","""")"),"F. Gary Gray")</f>
        <v>F. Gary Gray</v>
      </c>
      <c r="C919" s="26">
        <v>216.0</v>
      </c>
      <c r="D919" s="27">
        <v>7.3343413E7</v>
      </c>
      <c r="E919" s="26" t="s">
        <v>113</v>
      </c>
      <c r="F919" s="9">
        <f t="shared" si="1"/>
        <v>3</v>
      </c>
      <c r="G919" s="26" t="s">
        <v>830</v>
      </c>
      <c r="H919" s="11" t="str">
        <f>IFERROR(__xludf.DUMMYFUNCTION("REGEXREPLACE(G919, ""[^0-9a-zA-Z .'Ã]"","""")"),"Gerard Butler")</f>
        <v>Gerard Butler</v>
      </c>
      <c r="I919" s="28" t="s">
        <v>3431</v>
      </c>
      <c r="J919" s="26">
        <v>217480.0</v>
      </c>
      <c r="K919" s="26" t="s">
        <v>3432</v>
      </c>
      <c r="L919" s="26">
        <v>429.0</v>
      </c>
      <c r="M919" s="26" t="s">
        <v>24</v>
      </c>
      <c r="N919" s="26" t="s">
        <v>25</v>
      </c>
      <c r="O919" s="27">
        <v>5.0E7</v>
      </c>
      <c r="P919" s="10">
        <f t="shared" si="2"/>
        <v>23343413</v>
      </c>
      <c r="Q919" s="12">
        <f t="shared" si="3"/>
        <v>0</v>
      </c>
      <c r="R919" s="26">
        <v>2009.0</v>
      </c>
      <c r="S919" s="26">
        <v>7.4</v>
      </c>
    </row>
    <row r="920" ht="15.75" customHeight="1">
      <c r="A920" s="13" t="s">
        <v>3433</v>
      </c>
      <c r="B920" s="8" t="str">
        <f>IFERROR(__xludf.DUMMYFUNCTION("REGEXREPLACE(A920, ""[^0-9a-zA-Z .'Ã]"","""")"),"Mike Bigelow")</f>
        <v>Mike Bigelow</v>
      </c>
      <c r="C920" s="14">
        <v>98.0</v>
      </c>
      <c r="D920" s="15">
        <v>2.2264487E7</v>
      </c>
      <c r="E920" s="14" t="s">
        <v>137</v>
      </c>
      <c r="F920" s="9">
        <f t="shared" si="1"/>
        <v>1</v>
      </c>
      <c r="G920" s="14" t="s">
        <v>3434</v>
      </c>
      <c r="H920" s="11" t="str">
        <f>IFERROR(__xludf.DUMMYFUNCTION("REGEXREPLACE(G920, ""[^0-9a-zA-Z .'Ã]"","""")"),"Carlos Ponce")</f>
        <v>Carlos Ponce</v>
      </c>
      <c r="I920" s="16" t="s">
        <v>3435</v>
      </c>
      <c r="J920" s="14">
        <v>41239.0</v>
      </c>
      <c r="K920" s="14" t="s">
        <v>3436</v>
      </c>
      <c r="L920" s="14">
        <v>166.0</v>
      </c>
      <c r="M920" s="14" t="s">
        <v>24</v>
      </c>
      <c r="N920" s="14" t="s">
        <v>25</v>
      </c>
      <c r="O920" s="15">
        <v>2.2E7</v>
      </c>
      <c r="P920" s="10">
        <f t="shared" si="2"/>
        <v>264487</v>
      </c>
      <c r="Q920" s="12">
        <f t="shared" si="3"/>
        <v>0</v>
      </c>
      <c r="R920" s="14">
        <v>2005.0</v>
      </c>
      <c r="S920" s="14">
        <v>4.6</v>
      </c>
    </row>
    <row r="921" ht="15.75" customHeight="1">
      <c r="A921" s="17" t="s">
        <v>3437</v>
      </c>
      <c r="B921" s="8" t="str">
        <f>IFERROR(__xludf.DUMMYFUNCTION("REGEXREPLACE(A921, ""[^0-9a-zA-Z .'Ã]"","""")"),"Joe Roth")</f>
        <v>Joe Roth</v>
      </c>
      <c r="C921" s="18">
        <v>142.0</v>
      </c>
      <c r="D921" s="19">
        <v>9.3607673E7</v>
      </c>
      <c r="E921" s="18" t="s">
        <v>89</v>
      </c>
      <c r="F921" s="9">
        <f t="shared" si="1"/>
        <v>2</v>
      </c>
      <c r="G921" s="18" t="s">
        <v>533</v>
      </c>
      <c r="H921" s="11" t="str">
        <f>IFERROR(__xludf.DUMMYFUNCTION("REGEXREPLACE(G921, ""[^0-9a-zA-Z .'Ã]"","""")"),"Julia Roberts")</f>
        <v>Julia Roberts</v>
      </c>
      <c r="I921" s="20" t="s">
        <v>3438</v>
      </c>
      <c r="J921" s="18">
        <v>47573.0</v>
      </c>
      <c r="K921" s="18" t="s">
        <v>3439</v>
      </c>
      <c r="L921" s="18">
        <v>343.0</v>
      </c>
      <c r="M921" s="18" t="s">
        <v>24</v>
      </c>
      <c r="N921" s="18" t="s">
        <v>25</v>
      </c>
      <c r="O921" s="19">
        <v>4.8E7</v>
      </c>
      <c r="P921" s="10">
        <f t="shared" si="2"/>
        <v>45607673</v>
      </c>
      <c r="Q921" s="12">
        <f t="shared" si="3"/>
        <v>0</v>
      </c>
      <c r="R921" s="18">
        <v>2001.0</v>
      </c>
      <c r="S921" s="18">
        <v>5.7</v>
      </c>
    </row>
    <row r="922" ht="15.75" customHeight="1">
      <c r="A922" s="7" t="s">
        <v>3440</v>
      </c>
      <c r="B922" s="8" t="str">
        <f>IFERROR(__xludf.DUMMYFUNCTION("REGEXREPLACE(A922, ""[^0-9a-zA-Z .'Ã]"","""")"),"Jacques Perrin")</f>
        <v>Jacques Perrin</v>
      </c>
      <c r="C922" s="9">
        <v>113.0</v>
      </c>
      <c r="D922" s="10">
        <v>1.9406406E7</v>
      </c>
      <c r="E922" s="9" t="s">
        <v>3441</v>
      </c>
      <c r="F922" s="9">
        <f t="shared" si="1"/>
        <v>2</v>
      </c>
      <c r="G922" s="9" t="s">
        <v>3442</v>
      </c>
      <c r="H922" s="11" t="str">
        <f>IFERROR(__xludf.DUMMYFUNCTION("REGEXREPLACE(G922, ""[^0-9a-zA-Z .'Ã]"","""")"),"Pedro ArmendÃriz Jr.")</f>
        <v>Pedro ArmendÃriz Jr.</v>
      </c>
      <c r="I922" s="11" t="s">
        <v>3443</v>
      </c>
      <c r="J922" s="9">
        <v>7630.0</v>
      </c>
      <c r="K922" s="9" t="s">
        <v>3444</v>
      </c>
      <c r="L922" s="9">
        <v>42.0</v>
      </c>
      <c r="M922" s="9" t="s">
        <v>658</v>
      </c>
      <c r="N922" s="9" t="s">
        <v>608</v>
      </c>
      <c r="O922" s="10">
        <v>4.0E7</v>
      </c>
      <c r="P922" s="10">
        <f t="shared" si="2"/>
        <v>0</v>
      </c>
      <c r="Q922" s="12">
        <f t="shared" si="3"/>
        <v>20593594</v>
      </c>
      <c r="R922" s="9">
        <v>2009.0</v>
      </c>
      <c r="S922" s="9">
        <v>7.8</v>
      </c>
    </row>
    <row r="923" ht="15.75" customHeight="1">
      <c r="A923" s="13" t="s">
        <v>3445</v>
      </c>
      <c r="B923" s="8" t="str">
        <f>IFERROR(__xludf.DUMMYFUNCTION("REGEXREPLACE(A923, ""[^0-9a-zA-Z .'Ã]"","""")"),"John Herzfeld")</f>
        <v>John Herzfeld</v>
      </c>
      <c r="C923" s="14">
        <v>151.0</v>
      </c>
      <c r="D923" s="15">
        <v>2.4375436E7</v>
      </c>
      <c r="E923" s="14" t="s">
        <v>501</v>
      </c>
      <c r="F923" s="9">
        <f t="shared" si="1"/>
        <v>4</v>
      </c>
      <c r="G923" s="14" t="s">
        <v>883</v>
      </c>
      <c r="H923" s="11" t="str">
        <f>IFERROR(__xludf.DUMMYFUNCTION("REGEXREPLACE(G923, ""[^0-9a-zA-Z .'Ã]"","""")"),"Robert De Niro")</f>
        <v>Robert De Niro</v>
      </c>
      <c r="I923" s="16" t="s">
        <v>3446</v>
      </c>
      <c r="J923" s="14">
        <v>42547.0</v>
      </c>
      <c r="K923" s="14" t="s">
        <v>3447</v>
      </c>
      <c r="L923" s="14">
        <v>265.0</v>
      </c>
      <c r="M923" s="14" t="s">
        <v>24</v>
      </c>
      <c r="N923" s="14" t="s">
        <v>25</v>
      </c>
      <c r="O923" s="15">
        <v>4.2E7</v>
      </c>
      <c r="P923" s="10">
        <f t="shared" si="2"/>
        <v>0</v>
      </c>
      <c r="Q923" s="12">
        <f t="shared" si="3"/>
        <v>17624564</v>
      </c>
      <c r="R923" s="14">
        <v>2001.0</v>
      </c>
      <c r="S923" s="14">
        <v>6.1</v>
      </c>
    </row>
    <row r="924" ht="15.75" customHeight="1">
      <c r="A924" s="7" t="s">
        <v>1168</v>
      </c>
      <c r="B924" s="8" t="str">
        <f>IFERROR(__xludf.DUMMYFUNCTION("REGEXREPLACE(A924, ""[^0-9a-zA-Z .'Ã]"","""")"),"Peter Hewitt")</f>
        <v>Peter Hewitt</v>
      </c>
      <c r="C924" s="9">
        <v>63.0</v>
      </c>
      <c r="D924" s="10">
        <v>1.1631245E7</v>
      </c>
      <c r="E924" s="9" t="s">
        <v>3448</v>
      </c>
      <c r="F924" s="9">
        <f t="shared" si="1"/>
        <v>4</v>
      </c>
      <c r="G924" s="9" t="s">
        <v>3449</v>
      </c>
      <c r="H924" s="11" t="str">
        <f>IFERROR(__xludf.DUMMYFUNCTION("REGEXREPLACE(G924, ""[^0-9a-zA-Z .'Ã]"","""")"),"Kevin Zegers")</f>
        <v>Kevin Zegers</v>
      </c>
      <c r="I924" s="11" t="s">
        <v>3450</v>
      </c>
      <c r="J924" s="9">
        <v>15015.0</v>
      </c>
      <c r="K924" s="9" t="s">
        <v>3451</v>
      </c>
      <c r="L924" s="9">
        <v>113.0</v>
      </c>
      <c r="M924" s="9" t="s">
        <v>24</v>
      </c>
      <c r="N924" s="9" t="s">
        <v>25</v>
      </c>
      <c r="O924" s="10">
        <v>3.5E7</v>
      </c>
      <c r="P924" s="10">
        <f t="shared" si="2"/>
        <v>0</v>
      </c>
      <c r="Q924" s="12">
        <f t="shared" si="3"/>
        <v>23368755</v>
      </c>
      <c r="R924" s="9">
        <v>2006.0</v>
      </c>
      <c r="S924" s="9">
        <v>4.2</v>
      </c>
    </row>
    <row r="925" ht="15.75" customHeight="1">
      <c r="A925" s="7" t="s">
        <v>3360</v>
      </c>
      <c r="B925" s="8" t="str">
        <f>IFERROR(__xludf.DUMMYFUNCTION("REGEXREPLACE(A925, ""[^0-9a-zA-Z .'Ã]"","""")"),"Seth MacFarlane")</f>
        <v>Seth MacFarlane</v>
      </c>
      <c r="C925" s="9">
        <v>280.0</v>
      </c>
      <c r="D925" s="10">
        <v>8.12575E7</v>
      </c>
      <c r="E925" s="9" t="s">
        <v>137</v>
      </c>
      <c r="F925" s="9">
        <f t="shared" si="1"/>
        <v>1</v>
      </c>
      <c r="G925" s="9" t="s">
        <v>605</v>
      </c>
      <c r="H925" s="11" t="str">
        <f>IFERROR(__xludf.DUMMYFUNCTION("REGEXREPLACE(G925, ""[^0-9a-zA-Z .'Ã]"","""")"),"Liam Neeson")</f>
        <v>Liam Neeson</v>
      </c>
      <c r="I925" s="11" t="s">
        <v>3452</v>
      </c>
      <c r="J925" s="9">
        <v>117739.0</v>
      </c>
      <c r="K925" s="9" t="s">
        <v>3453</v>
      </c>
      <c r="L925" s="9">
        <v>229.0</v>
      </c>
      <c r="M925" s="9" t="s">
        <v>24</v>
      </c>
      <c r="N925" s="9" t="s">
        <v>25</v>
      </c>
      <c r="O925" s="10">
        <v>6.8E7</v>
      </c>
      <c r="P925" s="10">
        <f t="shared" si="2"/>
        <v>13257500</v>
      </c>
      <c r="Q925" s="12">
        <f t="shared" si="3"/>
        <v>0</v>
      </c>
      <c r="R925" s="9">
        <v>2015.0</v>
      </c>
      <c r="S925" s="9">
        <v>6.4</v>
      </c>
    </row>
    <row r="926" ht="15.75" customHeight="1">
      <c r="A926" s="25" t="s">
        <v>218</v>
      </c>
      <c r="B926" s="8" t="str">
        <f>IFERROR(__xludf.DUMMYFUNCTION("REGEXREPLACE(A926, ""[^0-9a-zA-Z .'Ã]"","""")"),"James Mangold")</f>
        <v>James Mangold</v>
      </c>
      <c r="C926" s="26">
        <v>295.0</v>
      </c>
      <c r="D926" s="27">
        <v>5.3574088E7</v>
      </c>
      <c r="E926" s="26" t="s">
        <v>3454</v>
      </c>
      <c r="F926" s="9">
        <f t="shared" si="1"/>
        <v>4</v>
      </c>
      <c r="G926" s="26" t="s">
        <v>1579</v>
      </c>
      <c r="H926" s="11" t="str">
        <f>IFERROR(__xludf.DUMMYFUNCTION("REGEXREPLACE(G926, ""[^0-9a-zA-Z .'Ã]"","""")"),"Christian Bale")</f>
        <v>Christian Bale</v>
      </c>
      <c r="I926" s="28" t="s">
        <v>3455</v>
      </c>
      <c r="J926" s="26">
        <v>237872.0</v>
      </c>
      <c r="K926" s="26" t="s">
        <v>3456</v>
      </c>
      <c r="L926" s="26">
        <v>560.0</v>
      </c>
      <c r="M926" s="26" t="s">
        <v>24</v>
      </c>
      <c r="N926" s="26" t="s">
        <v>25</v>
      </c>
      <c r="O926" s="27">
        <v>5.5E7</v>
      </c>
      <c r="P926" s="10">
        <f t="shared" si="2"/>
        <v>0</v>
      </c>
      <c r="Q926" s="12">
        <f t="shared" si="3"/>
        <v>1425912</v>
      </c>
      <c r="R926" s="26">
        <v>2007.0</v>
      </c>
      <c r="S926" s="26">
        <v>7.8</v>
      </c>
    </row>
    <row r="927" ht="15.75" customHeight="1">
      <c r="A927" s="21" t="s">
        <v>3457</v>
      </c>
      <c r="B927" s="8" t="str">
        <f>IFERROR(__xludf.DUMMYFUNCTION("REGEXREPLACE(A927, ""[^0-9a-zA-Z .'Ã]"","""")"),"Sean Penn")</f>
        <v>Sean Penn</v>
      </c>
      <c r="C927" s="22">
        <v>150.0</v>
      </c>
      <c r="D927" s="23">
        <v>1.971993E7</v>
      </c>
      <c r="E927" s="22" t="s">
        <v>435</v>
      </c>
      <c r="F927" s="9">
        <f t="shared" si="1"/>
        <v>4</v>
      </c>
      <c r="G927" s="22" t="s">
        <v>3458</v>
      </c>
      <c r="H927" s="11" t="str">
        <f>IFERROR(__xludf.DUMMYFUNCTION("REGEXREPLACE(G927, ""[^0-9a-zA-Z .'Ã]"","""")"),"Costas Mandylor")</f>
        <v>Costas Mandylor</v>
      </c>
      <c r="I927" s="24" t="s">
        <v>3459</v>
      </c>
      <c r="J927" s="22">
        <v>42621.0</v>
      </c>
      <c r="K927" s="22" t="s">
        <v>3460</v>
      </c>
      <c r="L927" s="22">
        <v>531.0</v>
      </c>
      <c r="M927" s="22" t="s">
        <v>24</v>
      </c>
      <c r="N927" s="22" t="s">
        <v>25</v>
      </c>
      <c r="O927" s="23">
        <v>4.5E7</v>
      </c>
      <c r="P927" s="10">
        <f t="shared" si="2"/>
        <v>0</v>
      </c>
      <c r="Q927" s="12">
        <f t="shared" si="3"/>
        <v>25280070</v>
      </c>
      <c r="R927" s="22">
        <v>2001.0</v>
      </c>
      <c r="S927" s="22">
        <v>6.8</v>
      </c>
    </row>
    <row r="928" ht="15.75" customHeight="1">
      <c r="A928" s="7" t="s">
        <v>3461</v>
      </c>
      <c r="B928" s="8" t="str">
        <f>IFERROR(__xludf.DUMMYFUNCTION("REGEXREPLACE(A928, ""[^0-9a-zA-Z .'Ã]"","""")"),"Brad Furman")</f>
        <v>Brad Furman</v>
      </c>
      <c r="C928" s="9">
        <v>184.0</v>
      </c>
      <c r="D928" s="10">
        <v>1.9316646E7</v>
      </c>
      <c r="E928" s="9" t="s">
        <v>316</v>
      </c>
      <c r="F928" s="9">
        <f t="shared" si="1"/>
        <v>2</v>
      </c>
      <c r="G928" s="9" t="s">
        <v>302</v>
      </c>
      <c r="H928" s="11" t="str">
        <f>IFERROR(__xludf.DUMMYFUNCTION("REGEXREPLACE(G928, ""[^0-9a-zA-Z .'Ã]"","""")"),"Justin Timberlake")</f>
        <v>Justin Timberlake</v>
      </c>
      <c r="I928" s="11" t="s">
        <v>3462</v>
      </c>
      <c r="J928" s="9">
        <v>52069.0</v>
      </c>
      <c r="K928" s="9" t="s">
        <v>3463</v>
      </c>
      <c r="L928" s="9">
        <v>95.0</v>
      </c>
      <c r="M928" s="9" t="s">
        <v>24</v>
      </c>
      <c r="N928" s="9" t="s">
        <v>25</v>
      </c>
      <c r="O928" s="10">
        <v>3.0E7</v>
      </c>
      <c r="P928" s="10">
        <f t="shared" si="2"/>
        <v>0</v>
      </c>
      <c r="Q928" s="12">
        <f t="shared" si="3"/>
        <v>10683354</v>
      </c>
      <c r="R928" s="9">
        <v>2013.0</v>
      </c>
      <c r="S928" s="9">
        <v>5.6</v>
      </c>
    </row>
    <row r="929" ht="15.75" customHeight="1">
      <c r="A929" s="17" t="s">
        <v>3464</v>
      </c>
      <c r="B929" s="8" t="str">
        <f>IFERROR(__xludf.DUMMYFUNCTION("REGEXREPLACE(A929, ""[^0-9a-zA-Z .'Ã]"","""")"),"Joshua Michael Stern")</f>
        <v>Joshua Michael Stern</v>
      </c>
      <c r="C929" s="18">
        <v>131.0</v>
      </c>
      <c r="D929" s="19">
        <v>1.628436E7</v>
      </c>
      <c r="E929" s="18" t="s">
        <v>454</v>
      </c>
      <c r="F929" s="9">
        <f t="shared" si="1"/>
        <v>2</v>
      </c>
      <c r="G929" s="18" t="s">
        <v>515</v>
      </c>
      <c r="H929" s="11" t="str">
        <f>IFERROR(__xludf.DUMMYFUNCTION("REGEXREPLACE(G929, ""[^0-9a-zA-Z .'Ã]"","""")"),"Madeline Carroll")</f>
        <v>Madeline Carroll</v>
      </c>
      <c r="I929" s="20" t="s">
        <v>3465</v>
      </c>
      <c r="J929" s="18">
        <v>15079.0</v>
      </c>
      <c r="K929" s="18" t="s">
        <v>3466</v>
      </c>
      <c r="L929" s="18">
        <v>79.0</v>
      </c>
      <c r="M929" s="18" t="s">
        <v>24</v>
      </c>
      <c r="N929" s="18" t="s">
        <v>25</v>
      </c>
      <c r="O929" s="19">
        <v>2.1E7</v>
      </c>
      <c r="P929" s="10">
        <f t="shared" si="2"/>
        <v>0</v>
      </c>
      <c r="Q929" s="12">
        <f t="shared" si="3"/>
        <v>4715640</v>
      </c>
      <c r="R929" s="18">
        <v>2008.0</v>
      </c>
      <c r="S929" s="18">
        <v>6.1</v>
      </c>
    </row>
    <row r="930" ht="15.75" customHeight="1">
      <c r="A930" s="25" t="s">
        <v>3467</v>
      </c>
      <c r="B930" s="8" t="str">
        <f>IFERROR(__xludf.DUMMYFUNCTION("REGEXREPLACE(A930, ""[^0-9a-zA-Z -.'Ã]"","""")"),"Lasse HallstrÃm")</f>
        <v>Lasse HallstrÃm</v>
      </c>
      <c r="C930" s="26">
        <v>162.0</v>
      </c>
      <c r="D930" s="27">
        <v>8.0014842E7</v>
      </c>
      <c r="E930" s="26" t="s">
        <v>3427</v>
      </c>
      <c r="F930" s="9">
        <f t="shared" si="1"/>
        <v>3</v>
      </c>
      <c r="G930" s="26" t="s">
        <v>176</v>
      </c>
      <c r="H930" s="11" t="str">
        <f>IFERROR(__xludf.DUMMYFUNCTION("REGEXREPLACE(G930, ""[^0-9a-zA-Z .'Ã]"","""")"),"Channing Tatum")</f>
        <v>Channing Tatum</v>
      </c>
      <c r="I930" s="28" t="s">
        <v>3468</v>
      </c>
      <c r="J930" s="26">
        <v>104356.0</v>
      </c>
      <c r="K930" s="26" t="s">
        <v>3469</v>
      </c>
      <c r="L930" s="26">
        <v>186.0</v>
      </c>
      <c r="M930" s="26" t="s">
        <v>24</v>
      </c>
      <c r="N930" s="26" t="s">
        <v>25</v>
      </c>
      <c r="O930" s="27">
        <v>2.5E7</v>
      </c>
      <c r="P930" s="10">
        <f t="shared" si="2"/>
        <v>55014842</v>
      </c>
      <c r="Q930" s="12">
        <f t="shared" si="3"/>
        <v>0</v>
      </c>
      <c r="R930" s="26">
        <v>2010.0</v>
      </c>
      <c r="S930" s="26">
        <v>6.3</v>
      </c>
    </row>
    <row r="931" ht="15.75" customHeight="1">
      <c r="A931" s="7" t="s">
        <v>2838</v>
      </c>
      <c r="B931" s="8" t="str">
        <f>IFERROR(__xludf.DUMMYFUNCTION("REGEXREPLACE(A931, ""[^0-9a-zA-Z .'Ã]"","""")"),"Lawrence Kasdan")</f>
        <v>Lawrence Kasdan</v>
      </c>
      <c r="C931" s="9">
        <v>46.0</v>
      </c>
      <c r="D931" s="10">
        <v>3.32E7</v>
      </c>
      <c r="E931" s="9" t="s">
        <v>3470</v>
      </c>
      <c r="F931" s="9">
        <f t="shared" si="1"/>
        <v>4</v>
      </c>
      <c r="G931" s="9" t="s">
        <v>475</v>
      </c>
      <c r="H931" s="11" t="str">
        <f>IFERROR(__xludf.DUMMYFUNCTION("REGEXREPLACE(G931, ""[^0-9a-zA-Z .'Ã]"","""")"),"Scott Glenn")</f>
        <v>Scott Glenn</v>
      </c>
      <c r="I931" s="11" t="s">
        <v>3471</v>
      </c>
      <c r="J931" s="9">
        <v>28247.0</v>
      </c>
      <c r="K931" s="9" t="s">
        <v>3472</v>
      </c>
      <c r="L931" s="9">
        <v>149.0</v>
      </c>
      <c r="M931" s="9" t="s">
        <v>24</v>
      </c>
      <c r="N931" s="9" t="s">
        <v>25</v>
      </c>
      <c r="O931" s="10">
        <v>2.6E7</v>
      </c>
      <c r="P931" s="10">
        <f t="shared" si="2"/>
        <v>7200000</v>
      </c>
      <c r="Q931" s="12">
        <f t="shared" si="3"/>
        <v>0</v>
      </c>
      <c r="R931" s="9">
        <v>1985.0</v>
      </c>
      <c r="S931" s="9">
        <v>7.2</v>
      </c>
    </row>
    <row r="932" ht="15.75" customHeight="1">
      <c r="A932" s="7" t="s">
        <v>1682</v>
      </c>
      <c r="B932" s="8" t="str">
        <f>IFERROR(__xludf.DUMMYFUNCTION("REGEXREPLACE(A932, ""[^0-9a-zA-Z .'Ã]"","""")"),"Paul W.S. Anderson")</f>
        <v>Paul W.S. Anderson</v>
      </c>
      <c r="C932" s="9">
        <v>72.0</v>
      </c>
      <c r="D932" s="10">
        <v>7.0360285E7</v>
      </c>
      <c r="E932" s="9" t="s">
        <v>449</v>
      </c>
      <c r="F932" s="9">
        <f t="shared" si="1"/>
        <v>5</v>
      </c>
      <c r="G932" s="9" t="s">
        <v>3473</v>
      </c>
      <c r="H932" s="11" t="str">
        <f>IFERROR(__xludf.DUMMYFUNCTION("REGEXREPLACE(G932, ""[^0-9a-zA-Z .'Ã]"","""")"),"Christopher Lambert")</f>
        <v>Christopher Lambert</v>
      </c>
      <c r="I932" s="11" t="s">
        <v>3474</v>
      </c>
      <c r="J932" s="9">
        <v>81783.0</v>
      </c>
      <c r="K932" s="9" t="s">
        <v>3475</v>
      </c>
      <c r="L932" s="9">
        <v>283.0</v>
      </c>
      <c r="M932" s="9" t="s">
        <v>24</v>
      </c>
      <c r="N932" s="9" t="s">
        <v>25</v>
      </c>
      <c r="O932" s="10">
        <v>1.8E7</v>
      </c>
      <c r="P932" s="10">
        <f t="shared" si="2"/>
        <v>52360285</v>
      </c>
      <c r="Q932" s="12">
        <f t="shared" si="3"/>
        <v>0</v>
      </c>
      <c r="R932" s="9">
        <v>1995.0</v>
      </c>
      <c r="S932" s="9">
        <v>5.8</v>
      </c>
    </row>
    <row r="933" ht="15.75" customHeight="1">
      <c r="A933" s="7" t="s">
        <v>3476</v>
      </c>
      <c r="B933" s="8" t="str">
        <f>IFERROR(__xludf.DUMMYFUNCTION("REGEXREPLACE(A933, ""[^0-9a-zA-Z .'Ã]"","""")"),"Dennis Iliadis")</f>
        <v>Dennis Iliadis</v>
      </c>
      <c r="C933" s="9">
        <v>241.0</v>
      </c>
      <c r="D933" s="10">
        <v>3.2721635E7</v>
      </c>
      <c r="E933" s="9" t="s">
        <v>3477</v>
      </c>
      <c r="F933" s="9">
        <f t="shared" si="1"/>
        <v>3</v>
      </c>
      <c r="G933" s="9" t="s">
        <v>2768</v>
      </c>
      <c r="H933" s="11" t="str">
        <f>IFERROR(__xludf.DUMMYFUNCTION("REGEXREPLACE(G933, ""[^0-9a-zA-Z .'Ã]"","""")"),"Tony Goldwyn")</f>
        <v>Tony Goldwyn</v>
      </c>
      <c r="I933" s="11" t="s">
        <v>3478</v>
      </c>
      <c r="J933" s="9">
        <v>67824.0</v>
      </c>
      <c r="K933" s="9" t="s">
        <v>3479</v>
      </c>
      <c r="L933" s="9">
        <v>279.0</v>
      </c>
      <c r="M933" s="9" t="s">
        <v>24</v>
      </c>
      <c r="N933" s="9" t="s">
        <v>25</v>
      </c>
      <c r="O933" s="10">
        <v>1.5E7</v>
      </c>
      <c r="P933" s="10">
        <f t="shared" si="2"/>
        <v>17721635</v>
      </c>
      <c r="Q933" s="12">
        <f t="shared" si="3"/>
        <v>0</v>
      </c>
      <c r="R933" s="9">
        <v>2009.0</v>
      </c>
      <c r="S933" s="9">
        <v>6.6</v>
      </c>
    </row>
    <row r="934" ht="15.75" customHeight="1">
      <c r="A934" s="17" t="s">
        <v>3480</v>
      </c>
      <c r="B934" s="8" t="str">
        <f>IFERROR(__xludf.DUMMYFUNCTION("REGEXREPLACE(A934, ""[^0-9a-zA-Z .'Ã]"","""")"),"Stewart Hendler")</f>
        <v>Stewart Hendler</v>
      </c>
      <c r="C934" s="18">
        <v>167.0</v>
      </c>
      <c r="D934" s="19">
        <v>1.1956207E7</v>
      </c>
      <c r="E934" s="18" t="s">
        <v>565</v>
      </c>
      <c r="F934" s="9">
        <f t="shared" si="1"/>
        <v>2</v>
      </c>
      <c r="G934" s="18" t="s">
        <v>3481</v>
      </c>
      <c r="H934" s="11" t="str">
        <f>IFERROR(__xludf.DUMMYFUNCTION("REGEXREPLACE(G934, ""[^0-9a-zA-Z .'Ã]"","""")"),"Julian Morris")</f>
        <v>Julian Morris</v>
      </c>
      <c r="I934" s="20" t="s">
        <v>3482</v>
      </c>
      <c r="J934" s="18">
        <v>24012.0</v>
      </c>
      <c r="K934" s="18" t="s">
        <v>3483</v>
      </c>
      <c r="L934" s="18">
        <v>126.0</v>
      </c>
      <c r="M934" s="18" t="s">
        <v>24</v>
      </c>
      <c r="N934" s="18" t="s">
        <v>25</v>
      </c>
      <c r="O934" s="19">
        <v>1.6E7</v>
      </c>
      <c r="P934" s="10">
        <f t="shared" si="2"/>
        <v>0</v>
      </c>
      <c r="Q934" s="12">
        <f t="shared" si="3"/>
        <v>4043793</v>
      </c>
      <c r="R934" s="18">
        <v>2009.0</v>
      </c>
      <c r="S934" s="18">
        <v>5.1</v>
      </c>
    </row>
    <row r="935" ht="15.75" customHeight="1">
      <c r="A935" s="7" t="s">
        <v>3484</v>
      </c>
      <c r="B935" s="8" t="str">
        <f>IFERROR(__xludf.DUMMYFUNCTION("REGEXREPLACE(A935, ""[^0-9a-zA-Z .'Ã]"","""")"),"Shari Springer Berman")</f>
        <v>Shari Springer Berman</v>
      </c>
      <c r="C935" s="9">
        <v>104.0</v>
      </c>
      <c r="D935" s="10">
        <v>453079.0</v>
      </c>
      <c r="E935" s="9" t="s">
        <v>137</v>
      </c>
      <c r="F935" s="9">
        <f t="shared" si="1"/>
        <v>1</v>
      </c>
      <c r="G935" s="9" t="s">
        <v>3485</v>
      </c>
      <c r="H935" s="11" t="str">
        <f>IFERROR(__xludf.DUMMYFUNCTION("REGEXREPLACE(G935, ""[^0-9a-zA-Z .'Ã]"","""")"),"Lynn Cohen")</f>
        <v>Lynn Cohen</v>
      </c>
      <c r="I935" s="11" t="s">
        <v>3486</v>
      </c>
      <c r="J935" s="9">
        <v>4124.0</v>
      </c>
      <c r="K935" s="9" t="s">
        <v>3487</v>
      </c>
      <c r="L935" s="9">
        <v>29.0</v>
      </c>
      <c r="M935" s="9" t="s">
        <v>24</v>
      </c>
      <c r="N935" s="9" t="s">
        <v>25</v>
      </c>
      <c r="O935" s="10">
        <v>7000000.0</v>
      </c>
      <c r="P935" s="10">
        <f t="shared" si="2"/>
        <v>0</v>
      </c>
      <c r="Q935" s="12">
        <f t="shared" si="3"/>
        <v>6546921</v>
      </c>
      <c r="R935" s="9">
        <v>2010.0</v>
      </c>
      <c r="S935" s="9">
        <v>5.9</v>
      </c>
    </row>
    <row r="936" ht="15.75" customHeight="1">
      <c r="A936" s="7" t="s">
        <v>3488</v>
      </c>
      <c r="B936" s="8" t="str">
        <f>IFERROR(__xludf.DUMMYFUNCTION("REGEXREPLACE(A936, ""[^0-9a-zA-Z .'Ã]"","""")"),"Takashi Shimizu")</f>
        <v>Takashi Shimizu</v>
      </c>
      <c r="C936" s="9">
        <v>203.0</v>
      </c>
      <c r="D936" s="10">
        <v>1.10175871E8</v>
      </c>
      <c r="E936" s="9" t="s">
        <v>94</v>
      </c>
      <c r="F936" s="9">
        <f t="shared" si="1"/>
        <v>3</v>
      </c>
      <c r="G936" s="9" t="s">
        <v>3489</v>
      </c>
      <c r="H936" s="11" t="str">
        <f>IFERROR(__xludf.DUMMYFUNCTION("REGEXREPLACE(G936, ""[^0-9a-zA-Z .'Ã]"","""")"),"Sarah Michelle Gellar")</f>
        <v>Sarah Michelle Gellar</v>
      </c>
      <c r="I936" s="11" t="s">
        <v>3490</v>
      </c>
      <c r="J936" s="9">
        <v>115050.0</v>
      </c>
      <c r="K936" s="9" t="s">
        <v>3491</v>
      </c>
      <c r="L936" s="9">
        <v>911.0</v>
      </c>
      <c r="M936" s="9" t="s">
        <v>24</v>
      </c>
      <c r="N936" s="9" t="s">
        <v>25</v>
      </c>
      <c r="O936" s="10">
        <v>1.0E7</v>
      </c>
      <c r="P936" s="10">
        <f t="shared" si="2"/>
        <v>100175871</v>
      </c>
      <c r="Q936" s="12">
        <f t="shared" si="3"/>
        <v>0</v>
      </c>
      <c r="R936" s="9">
        <v>2004.0</v>
      </c>
      <c r="S936" s="9">
        <v>5.9</v>
      </c>
    </row>
    <row r="937" ht="15.75" customHeight="1">
      <c r="A937" s="17" t="s">
        <v>3132</v>
      </c>
      <c r="B937" s="8" t="str">
        <f>IFERROR(__xludf.DUMMYFUNCTION("REGEXREPLACE(A937, ""[^0-9a-zA-Z .'Ã]"","""")"),"Rob Zombie")</f>
        <v>Rob Zombie</v>
      </c>
      <c r="C937" s="18">
        <v>220.0</v>
      </c>
      <c r="D937" s="19">
        <v>3.3386128E7</v>
      </c>
      <c r="E937" s="18" t="s">
        <v>148</v>
      </c>
      <c r="F937" s="9">
        <f t="shared" si="1"/>
        <v>1</v>
      </c>
      <c r="G937" s="18" t="s">
        <v>3492</v>
      </c>
      <c r="H937" s="11" t="str">
        <f>IFERROR(__xludf.DUMMYFUNCTION("REGEXREPLACE(G937, ""[^0-9a-zA-Z .'Ã]"","""")"),"Scout TaylorCompton")</f>
        <v>Scout TaylorCompton</v>
      </c>
      <c r="I937" s="20" t="s">
        <v>3493</v>
      </c>
      <c r="J937" s="18">
        <v>36372.0</v>
      </c>
      <c r="K937" s="18" t="s">
        <v>3494</v>
      </c>
      <c r="L937" s="18">
        <v>491.0</v>
      </c>
      <c r="M937" s="18" t="s">
        <v>24</v>
      </c>
      <c r="N937" s="18" t="s">
        <v>25</v>
      </c>
      <c r="O937" s="19">
        <v>1.5E7</v>
      </c>
      <c r="P937" s="10">
        <f t="shared" si="2"/>
        <v>18386128</v>
      </c>
      <c r="Q937" s="12">
        <f t="shared" si="3"/>
        <v>0</v>
      </c>
      <c r="R937" s="18">
        <v>2009.0</v>
      </c>
      <c r="S937" s="18">
        <v>4.9</v>
      </c>
    </row>
    <row r="938" ht="15.75" customHeight="1">
      <c r="A938" s="21" t="s">
        <v>3495</v>
      </c>
      <c r="B938" s="8" t="str">
        <f>IFERROR(__xludf.DUMMYFUNCTION("REGEXREPLACE(A938, ""[^0-9a-zA-Z .'Ã]"","""")"),"Jon Avnet")</f>
        <v>Jon Avnet</v>
      </c>
      <c r="C938" s="22">
        <v>158.0</v>
      </c>
      <c r="D938" s="23">
        <v>1.6930884E7</v>
      </c>
      <c r="E938" s="22" t="s">
        <v>435</v>
      </c>
      <c r="F938" s="9">
        <f t="shared" si="1"/>
        <v>4</v>
      </c>
      <c r="G938" s="22" t="s">
        <v>317</v>
      </c>
      <c r="H938" s="11" t="str">
        <f>IFERROR(__xludf.DUMMYFUNCTION("REGEXREPLACE(G938, ""[^0-9a-zA-Z .'Ã]"","""")"),"Al Pacino")</f>
        <v>Al Pacino</v>
      </c>
      <c r="I938" s="24" t="s">
        <v>3496</v>
      </c>
      <c r="J938" s="22">
        <v>65628.0</v>
      </c>
      <c r="K938" s="22" t="s">
        <v>3497</v>
      </c>
      <c r="L938" s="22">
        <v>262.0</v>
      </c>
      <c r="M938" s="22" t="s">
        <v>24</v>
      </c>
      <c r="N938" s="22" t="s">
        <v>25</v>
      </c>
      <c r="O938" s="23">
        <v>3.0E7</v>
      </c>
      <c r="P938" s="10">
        <f t="shared" si="2"/>
        <v>0</v>
      </c>
      <c r="Q938" s="12">
        <f t="shared" si="3"/>
        <v>13069116</v>
      </c>
      <c r="R938" s="22">
        <v>2007.0</v>
      </c>
      <c r="S938" s="22">
        <v>5.9</v>
      </c>
    </row>
    <row r="939" ht="15.75" customHeight="1">
      <c r="A939" s="7" t="s">
        <v>3498</v>
      </c>
      <c r="B939" s="8" t="str">
        <f>IFERROR(__xludf.DUMMYFUNCTION("REGEXREPLACE(A939, ""[^0-9a-zA-Z .'Ã]"","""")"),"Takeshi Kitano")</f>
        <v>Takeshi Kitano</v>
      </c>
      <c r="C939" s="9">
        <v>81.0</v>
      </c>
      <c r="D939" s="10">
        <v>447750.0</v>
      </c>
      <c r="E939" s="9" t="s">
        <v>113</v>
      </c>
      <c r="F939" s="9">
        <f t="shared" si="1"/>
        <v>3</v>
      </c>
      <c r="G939" s="9" t="s">
        <v>3499</v>
      </c>
      <c r="H939" s="11" t="str">
        <f>IFERROR(__xludf.DUMMYFUNCTION("REGEXREPLACE(G939, ""[^0-9a-zA-Z .'Ã]"","""")"),"Omar Epps")</f>
        <v>Omar Epps</v>
      </c>
      <c r="I939" s="11" t="s">
        <v>3500</v>
      </c>
      <c r="J939" s="9">
        <v>18520.0</v>
      </c>
      <c r="K939" s="9" t="s">
        <v>3501</v>
      </c>
      <c r="L939" s="9">
        <v>133.0</v>
      </c>
      <c r="M939" s="9" t="s">
        <v>24</v>
      </c>
      <c r="N939" s="9" t="s">
        <v>25</v>
      </c>
      <c r="O939" s="10">
        <v>1.0E7</v>
      </c>
      <c r="P939" s="10">
        <f t="shared" si="2"/>
        <v>0</v>
      </c>
      <c r="Q939" s="12">
        <f t="shared" si="3"/>
        <v>9552250</v>
      </c>
      <c r="R939" s="9">
        <v>2000.0</v>
      </c>
      <c r="S939" s="9">
        <v>7.2</v>
      </c>
    </row>
    <row r="940" ht="15.75" customHeight="1">
      <c r="A940" s="7" t="s">
        <v>3502</v>
      </c>
      <c r="B940" s="8" t="str">
        <f>IFERROR(__xludf.DUMMYFUNCTION("REGEXREPLACE(A940, ""[^0-9a-zA-Z .'Ã]"","""")"),"Maurice Joyce")</f>
        <v>Maurice Joyce</v>
      </c>
      <c r="C940" s="9">
        <v>28.0</v>
      </c>
      <c r="D940" s="10">
        <v>1.9421271E7</v>
      </c>
      <c r="E940" s="9" t="s">
        <v>3503</v>
      </c>
      <c r="F940" s="9">
        <f t="shared" si="1"/>
        <v>3</v>
      </c>
      <c r="G940" s="9" t="s">
        <v>3504</v>
      </c>
      <c r="H940" s="11" t="str">
        <f>IFERROR(__xludf.DUMMYFUNCTION("REGEXREPLACE(G940, ""[^0-9a-zA-Z .'Ã]"","""")"),"Frank Welker")</f>
        <v>Frank Welker</v>
      </c>
      <c r="I940" s="11" t="s">
        <v>3505</v>
      </c>
      <c r="J940" s="9">
        <v>2448.0</v>
      </c>
      <c r="K940" s="9" t="s">
        <v>3506</v>
      </c>
      <c r="L940" s="9">
        <v>18.0</v>
      </c>
      <c r="M940" s="9" t="s">
        <v>24</v>
      </c>
      <c r="N940" s="9" t="s">
        <v>25</v>
      </c>
      <c r="O940" s="10">
        <v>5000000.0</v>
      </c>
      <c r="P940" s="10">
        <f t="shared" si="2"/>
        <v>14421271</v>
      </c>
      <c r="Q940" s="12">
        <f t="shared" si="3"/>
        <v>0</v>
      </c>
      <c r="R940" s="9">
        <v>1999.0</v>
      </c>
      <c r="S940" s="9">
        <v>5.0</v>
      </c>
    </row>
    <row r="941" ht="15.75" customHeight="1">
      <c r="A941" s="29" t="s">
        <v>1767</v>
      </c>
      <c r="B941" s="8" t="str">
        <f>IFERROR(__xludf.DUMMYFUNCTION("REGEXREPLACE(A941, ""[^0-9a-zA-Z .'Ã]"","""")"),"Barry Levinson")</f>
        <v>Barry Levinson</v>
      </c>
      <c r="C941" s="30">
        <v>76.0</v>
      </c>
      <c r="D941" s="31">
        <v>1.2181484E7</v>
      </c>
      <c r="E941" s="30" t="s">
        <v>137</v>
      </c>
      <c r="F941" s="9">
        <f t="shared" si="1"/>
        <v>1</v>
      </c>
      <c r="G941" s="30" t="s">
        <v>2653</v>
      </c>
      <c r="H941" s="11" t="str">
        <f>IFERROR(__xludf.DUMMYFUNCTION("REGEXREPLACE(G941, ""[^0-9a-zA-Z .'Ã]"","""")"),"Amy Poehler")</f>
        <v>Amy Poehler</v>
      </c>
      <c r="I941" s="32" t="s">
        <v>3507</v>
      </c>
      <c r="J941" s="30">
        <v>26390.0</v>
      </c>
      <c r="K941" s="30" t="s">
        <v>3508</v>
      </c>
      <c r="L941" s="30">
        <v>176.0</v>
      </c>
      <c r="M941" s="30" t="s">
        <v>24</v>
      </c>
      <c r="N941" s="30" t="s">
        <v>25</v>
      </c>
      <c r="O941" s="31">
        <v>4.0E7</v>
      </c>
      <c r="P941" s="10">
        <f t="shared" si="2"/>
        <v>0</v>
      </c>
      <c r="Q941" s="12">
        <f t="shared" si="3"/>
        <v>27818516</v>
      </c>
      <c r="R941" s="30">
        <v>2004.0</v>
      </c>
      <c r="S941" s="30">
        <v>4.8</v>
      </c>
    </row>
    <row r="942" ht="15.75" customHeight="1">
      <c r="A942" s="7" t="s">
        <v>3509</v>
      </c>
      <c r="B942" s="8" t="str">
        <f>IFERROR(__xludf.DUMMYFUNCTION("REGEXREPLACE(A942, ""[^0-9a-zA-Z -.'Ã]"","""")"),"FranÃois Ozon")</f>
        <v>FranÃois Ozon</v>
      </c>
      <c r="C942" s="9">
        <v>128.0</v>
      </c>
      <c r="D942" s="10">
        <v>3076425.0</v>
      </c>
      <c r="E942" s="9" t="s">
        <v>3510</v>
      </c>
      <c r="F942" s="9">
        <f t="shared" si="1"/>
        <v>4</v>
      </c>
      <c r="G942" s="9" t="s">
        <v>571</v>
      </c>
      <c r="H942" s="11" t="str">
        <f>IFERROR(__xludf.DUMMYFUNCTION("REGEXREPLACE(G942, ""[^0-9a-zA-Z .'Ã]"","""")"),"Catherine Deneuve")</f>
        <v>Catherine Deneuve</v>
      </c>
      <c r="I942" s="11" t="s">
        <v>3511</v>
      </c>
      <c r="J942" s="9">
        <v>23660.0</v>
      </c>
      <c r="K942" s="9" t="s">
        <v>3512</v>
      </c>
      <c r="L942" s="9">
        <v>162.0</v>
      </c>
      <c r="M942" s="9" t="s">
        <v>658</v>
      </c>
      <c r="N942" s="9" t="s">
        <v>608</v>
      </c>
      <c r="O942" s="10">
        <v>8000000.0</v>
      </c>
      <c r="P942" s="10">
        <f t="shared" si="2"/>
        <v>0</v>
      </c>
      <c r="Q942" s="12">
        <f t="shared" si="3"/>
        <v>4923575</v>
      </c>
      <c r="R942" s="9">
        <v>2002.0</v>
      </c>
      <c r="S942" s="9">
        <v>7.1</v>
      </c>
    </row>
    <row r="943" ht="15.75" customHeight="1">
      <c r="A943" s="17" t="s">
        <v>2997</v>
      </c>
      <c r="B943" s="8" t="str">
        <f>IFERROR(__xludf.DUMMYFUNCTION("REGEXREPLACE(A943, ""[^0-9a-zA-Z .'Ã]"","""")"),"Chris Columbus")</f>
        <v>Chris Columbus</v>
      </c>
      <c r="C943" s="18">
        <v>217.0</v>
      </c>
      <c r="D943" s="19">
        <v>8.876172E7</v>
      </c>
      <c r="E943" s="18" t="s">
        <v>1252</v>
      </c>
      <c r="F943" s="9">
        <f t="shared" si="1"/>
        <v>3</v>
      </c>
      <c r="G943" s="18" t="s">
        <v>2013</v>
      </c>
      <c r="H943" s="11" t="str">
        <f>IFERROR(__xludf.DUMMYFUNCTION("REGEXREPLACE(G943, ""[^0-9a-zA-Z .'Ã]"","""")"),"Logan Lerman")</f>
        <v>Logan Lerman</v>
      </c>
      <c r="I943" s="20" t="s">
        <v>3513</v>
      </c>
      <c r="J943" s="18">
        <v>141179.0</v>
      </c>
      <c r="K943" s="18" t="s">
        <v>3514</v>
      </c>
      <c r="L943" s="18">
        <v>419.0</v>
      </c>
      <c r="M943" s="18" t="s">
        <v>24</v>
      </c>
      <c r="N943" s="18" t="s">
        <v>130</v>
      </c>
      <c r="O943" s="19">
        <v>9.5E7</v>
      </c>
      <c r="P943" s="10">
        <f t="shared" si="2"/>
        <v>0</v>
      </c>
      <c r="Q943" s="12">
        <f t="shared" si="3"/>
        <v>6238280</v>
      </c>
      <c r="R943" s="18">
        <v>2010.0</v>
      </c>
      <c r="S943" s="18">
        <v>5.9</v>
      </c>
    </row>
    <row r="944" ht="15.75" customHeight="1">
      <c r="A944" s="7" t="s">
        <v>2331</v>
      </c>
      <c r="B944" s="8" t="str">
        <f>IFERROR(__xludf.DUMMYFUNCTION("REGEXREPLACE(A944, ""[^0-9a-zA-Z .'Ã]"","""")"),"Chris Koch")</f>
        <v>Chris Koch</v>
      </c>
      <c r="C944" s="9">
        <v>42.0</v>
      </c>
      <c r="D944" s="10">
        <v>6.0008303E7</v>
      </c>
      <c r="E944" s="9" t="s">
        <v>2707</v>
      </c>
      <c r="F944" s="9">
        <f t="shared" si="1"/>
        <v>3</v>
      </c>
      <c r="G944" s="9" t="s">
        <v>3515</v>
      </c>
      <c r="H944" s="11" t="str">
        <f>IFERROR(__xludf.DUMMYFUNCTION("REGEXREPLACE(G944, ""[^0-9a-zA-Z .'Ã]"","""")"),"Chris Elliott")</f>
        <v>Chris Elliott</v>
      </c>
      <c r="I944" s="11" t="s">
        <v>3516</v>
      </c>
      <c r="J944" s="9">
        <v>9285.0</v>
      </c>
      <c r="K944" s="9" t="s">
        <v>3517</v>
      </c>
      <c r="L944" s="9">
        <v>91.0</v>
      </c>
      <c r="M944" s="9" t="s">
        <v>24</v>
      </c>
      <c r="N944" s="9" t="s">
        <v>25</v>
      </c>
      <c r="O944" s="10">
        <v>1.3E7</v>
      </c>
      <c r="P944" s="10">
        <f t="shared" si="2"/>
        <v>47008303</v>
      </c>
      <c r="Q944" s="12">
        <f t="shared" si="3"/>
        <v>0</v>
      </c>
      <c r="R944" s="9">
        <v>2000.0</v>
      </c>
      <c r="S944" s="9">
        <v>4.9</v>
      </c>
    </row>
    <row r="945" ht="15.75" customHeight="1">
      <c r="A945" s="7" t="s">
        <v>73</v>
      </c>
      <c r="B945" s="8" t="str">
        <f>IFERROR(__xludf.DUMMYFUNCTION("REGEXREPLACE(A945, ""[^0-9a-zA-Z .'Ã]"","""")"),"Ridley Scott")</f>
        <v>Ridley Scott</v>
      </c>
      <c r="C945" s="9">
        <v>265.0</v>
      </c>
      <c r="D945" s="10">
        <v>1.87670866E8</v>
      </c>
      <c r="E945" s="9" t="s">
        <v>3256</v>
      </c>
      <c r="F945" s="9">
        <f t="shared" si="1"/>
        <v>3</v>
      </c>
      <c r="G945" s="9" t="s">
        <v>2785</v>
      </c>
      <c r="H945" s="11" t="str">
        <f>IFERROR(__xludf.DUMMYFUNCTION("REGEXREPLACE(G945, ""[^0-9a-zA-Z .'Ã]"","""")"),"Djimon Hounsou")</f>
        <v>Djimon Hounsou</v>
      </c>
      <c r="I945" s="11" t="s">
        <v>3518</v>
      </c>
      <c r="J945" s="9">
        <v>982637.0</v>
      </c>
      <c r="K945" s="9" t="s">
        <v>3519</v>
      </c>
      <c r="L945" s="9">
        <v>2368.0</v>
      </c>
      <c r="M945" s="9" t="s">
        <v>24</v>
      </c>
      <c r="N945" s="9" t="s">
        <v>25</v>
      </c>
      <c r="O945" s="10">
        <v>1.03E8</v>
      </c>
      <c r="P945" s="10">
        <f t="shared" si="2"/>
        <v>84670866</v>
      </c>
      <c r="Q945" s="12">
        <f t="shared" si="3"/>
        <v>0</v>
      </c>
      <c r="R945" s="9">
        <v>2000.0</v>
      </c>
      <c r="S945" s="9">
        <v>8.5</v>
      </c>
    </row>
    <row r="946" ht="15.75" customHeight="1">
      <c r="A946" s="7" t="s">
        <v>687</v>
      </c>
      <c r="B946" s="8" t="str">
        <f>IFERROR(__xludf.DUMMYFUNCTION("REGEXREPLACE(A946, ""[^0-9a-zA-Z .'Ã]"","""")"),"John Moore")</f>
        <v>John Moore</v>
      </c>
      <c r="C946" s="9">
        <v>114.0</v>
      </c>
      <c r="D946" s="10">
        <v>2.100918E7</v>
      </c>
      <c r="E946" s="9" t="s">
        <v>925</v>
      </c>
      <c r="F946" s="9">
        <f t="shared" si="1"/>
        <v>4</v>
      </c>
      <c r="G946" s="9" t="s">
        <v>45</v>
      </c>
      <c r="H946" s="11" t="str">
        <f>IFERROR(__xludf.DUMMYFUNCTION("REGEXREPLACE(G946, ""[^0-9a-zA-Z .'Ã]"","""")"),"Dennis Quaid")</f>
        <v>Dennis Quaid</v>
      </c>
      <c r="I946" s="11" t="s">
        <v>3520</v>
      </c>
      <c r="J946" s="9">
        <v>45815.0</v>
      </c>
      <c r="K946" s="9" t="s">
        <v>3521</v>
      </c>
      <c r="L946" s="9">
        <v>222.0</v>
      </c>
      <c r="M946" s="9" t="s">
        <v>24</v>
      </c>
      <c r="N946" s="9" t="s">
        <v>25</v>
      </c>
      <c r="O946" s="10">
        <v>4.5E7</v>
      </c>
      <c r="P946" s="10">
        <f t="shared" si="2"/>
        <v>0</v>
      </c>
      <c r="Q946" s="12">
        <f t="shared" si="3"/>
        <v>23990820</v>
      </c>
      <c r="R946" s="9">
        <v>2004.0</v>
      </c>
      <c r="S946" s="9">
        <v>6.1</v>
      </c>
    </row>
    <row r="947" ht="15.75" customHeight="1">
      <c r="A947" s="7" t="s">
        <v>3522</v>
      </c>
      <c r="B947" s="8" t="str">
        <f>IFERROR(__xludf.DUMMYFUNCTION("REGEXREPLACE(A947, ""[^0-9a-zA-Z .'Ã]"","""")"),"Peter Hyams")</f>
        <v>Peter Hyams</v>
      </c>
      <c r="C947" s="9">
        <v>113.0</v>
      </c>
      <c r="D947" s="10">
        <v>1891821.0</v>
      </c>
      <c r="E947" s="9" t="s">
        <v>3523</v>
      </c>
      <c r="F947" s="9">
        <f t="shared" si="1"/>
        <v>5</v>
      </c>
      <c r="G947" s="9" t="s">
        <v>3250</v>
      </c>
      <c r="H947" s="11" t="str">
        <f>IFERROR(__xludf.DUMMYFUNCTION("REGEXREPLACE(G947, ""[^0-9a-zA-Z .'Ã]"","""")"),"David Oyelowo")</f>
        <v>David Oyelowo</v>
      </c>
      <c r="I947" s="11" t="s">
        <v>3524</v>
      </c>
      <c r="J947" s="9">
        <v>16474.0</v>
      </c>
      <c r="K947" s="9" t="s">
        <v>3525</v>
      </c>
      <c r="L947" s="9">
        <v>301.0</v>
      </c>
      <c r="M947" s="9" t="s">
        <v>24</v>
      </c>
      <c r="N947" s="9" t="s">
        <v>130</v>
      </c>
      <c r="O947" s="10">
        <v>5.2E7</v>
      </c>
      <c r="P947" s="10">
        <f t="shared" si="2"/>
        <v>0</v>
      </c>
      <c r="Q947" s="12">
        <f t="shared" si="3"/>
        <v>50108179</v>
      </c>
      <c r="R947" s="9">
        <v>2005.0</v>
      </c>
      <c r="S947" s="9">
        <v>4.2</v>
      </c>
    </row>
    <row r="948" ht="15.75" customHeight="1">
      <c r="A948" s="7" t="s">
        <v>1682</v>
      </c>
      <c r="B948" s="8" t="str">
        <f>IFERROR(__xludf.DUMMYFUNCTION("REGEXREPLACE(A948, ""[^0-9a-zA-Z .'Ã]"","""")"),"Paul W.S. Anderson")</f>
        <v>Paul W.S. Anderson</v>
      </c>
      <c r="C948" s="9">
        <v>172.0</v>
      </c>
      <c r="D948" s="10">
        <v>2.661659E7</v>
      </c>
      <c r="E948" s="9" t="s">
        <v>1017</v>
      </c>
      <c r="F948" s="9">
        <f t="shared" si="1"/>
        <v>3</v>
      </c>
      <c r="G948" s="9" t="s">
        <v>3526</v>
      </c>
      <c r="H948" s="11" t="str">
        <f>IFERROR(__xludf.DUMMYFUNCTION("REGEXREPLACE(G948, ""[^0-9a-zA-Z .'Ã]"","""")"),"Sean Pertwee")</f>
        <v>Sean Pertwee</v>
      </c>
      <c r="I948" s="11" t="s">
        <v>3527</v>
      </c>
      <c r="J948" s="9">
        <v>120416.0</v>
      </c>
      <c r="K948" s="9" t="s">
        <v>3528</v>
      </c>
      <c r="L948" s="9">
        <v>857.0</v>
      </c>
      <c r="M948" s="9" t="s">
        <v>24</v>
      </c>
      <c r="N948" s="9" t="s">
        <v>130</v>
      </c>
      <c r="O948" s="10">
        <v>6.0E7</v>
      </c>
      <c r="P948" s="10">
        <f t="shared" si="2"/>
        <v>0</v>
      </c>
      <c r="Q948" s="12">
        <f t="shared" si="3"/>
        <v>33383410</v>
      </c>
      <c r="R948" s="9">
        <v>1997.0</v>
      </c>
      <c r="S948" s="9">
        <v>6.7</v>
      </c>
    </row>
    <row r="949" ht="15.75" customHeight="1">
      <c r="A949" s="21" t="s">
        <v>3529</v>
      </c>
      <c r="B949" s="8" t="str">
        <f>IFERROR(__xludf.DUMMYFUNCTION("REGEXREPLACE(A949, ""[^0-9a-zA-Z .'Ã]"","""")"),"Mark Rosman")</f>
        <v>Mark Rosman</v>
      </c>
      <c r="C949" s="22">
        <v>65.0</v>
      </c>
      <c r="D949" s="23">
        <v>1.6247775E7</v>
      </c>
      <c r="E949" s="22" t="s">
        <v>289</v>
      </c>
      <c r="F949" s="9">
        <f t="shared" si="1"/>
        <v>3</v>
      </c>
      <c r="G949" s="22" t="s">
        <v>3530</v>
      </c>
      <c r="H949" s="11" t="str">
        <f>IFERROR(__xludf.DUMMYFUNCTION("REGEXREPLACE(G949, ""[^0-9a-zA-Z .'Ã]"","""")"),"Ben Feldman")</f>
        <v>Ben Feldman</v>
      </c>
      <c r="I949" s="24" t="s">
        <v>3531</v>
      </c>
      <c r="J949" s="22">
        <v>23527.0</v>
      </c>
      <c r="K949" s="22" t="s">
        <v>3532</v>
      </c>
      <c r="L949" s="22">
        <v>104.0</v>
      </c>
      <c r="M949" s="22" t="s">
        <v>24</v>
      </c>
      <c r="N949" s="22" t="s">
        <v>25</v>
      </c>
      <c r="O949" s="23">
        <v>2.5E7</v>
      </c>
      <c r="P949" s="10">
        <f t="shared" si="2"/>
        <v>0</v>
      </c>
      <c r="Q949" s="12">
        <f t="shared" si="3"/>
        <v>8752225</v>
      </c>
      <c r="R949" s="22">
        <v>2005.0</v>
      </c>
      <c r="S949" s="22">
        <v>5.5</v>
      </c>
    </row>
    <row r="950" ht="15.75" customHeight="1">
      <c r="A950" s="17" t="s">
        <v>2505</v>
      </c>
      <c r="B950" s="8" t="str">
        <f>IFERROR(__xludf.DUMMYFUNCTION("REGEXREPLACE(A950, ""[^0-9a-zA-Z .'Ã]"","""")"),"Tony Scott")</f>
        <v>Tony Scott</v>
      </c>
      <c r="C950" s="18">
        <v>82.0</v>
      </c>
      <c r="D950" s="19">
        <v>9.14E7</v>
      </c>
      <c r="E950" s="18" t="s">
        <v>688</v>
      </c>
      <c r="F950" s="9">
        <f t="shared" si="1"/>
        <v>4</v>
      </c>
      <c r="G950" s="18" t="s">
        <v>70</v>
      </c>
      <c r="H950" s="11" t="str">
        <f>IFERROR(__xludf.DUMMYFUNCTION("REGEXREPLACE(G950, ""[^0-9a-zA-Z .'Ã]"","""")"),"Denzel Washington")</f>
        <v>Denzel Washington</v>
      </c>
      <c r="I950" s="20" t="s">
        <v>3533</v>
      </c>
      <c r="J950" s="18">
        <v>81026.0</v>
      </c>
      <c r="K950" s="18" t="s">
        <v>3534</v>
      </c>
      <c r="L950" s="18">
        <v>194.0</v>
      </c>
      <c r="M950" s="18" t="s">
        <v>24</v>
      </c>
      <c r="N950" s="18" t="s">
        <v>25</v>
      </c>
      <c r="O950" s="19">
        <v>5.3E7</v>
      </c>
      <c r="P950" s="10">
        <f t="shared" si="2"/>
        <v>38400000</v>
      </c>
      <c r="Q950" s="12">
        <f t="shared" si="3"/>
        <v>0</v>
      </c>
      <c r="R950" s="18">
        <v>1995.0</v>
      </c>
      <c r="S950" s="18">
        <v>7.3</v>
      </c>
    </row>
    <row r="951" ht="15.75" customHeight="1">
      <c r="A951" s="21" t="s">
        <v>3535</v>
      </c>
      <c r="B951" s="8" t="str">
        <f>IFERROR(__xludf.DUMMYFUNCTION("REGEXREPLACE(A951, ""[^0-9a-zA-Z .'Ã]"","""")"),"Sergey Bodrov")</f>
        <v>Sergey Bodrov</v>
      </c>
      <c r="C951" s="22">
        <v>175.0</v>
      </c>
      <c r="D951" s="23">
        <v>1.71769E7</v>
      </c>
      <c r="E951" s="22" t="s">
        <v>278</v>
      </c>
      <c r="F951" s="9">
        <f t="shared" si="1"/>
        <v>3</v>
      </c>
      <c r="G951" s="22" t="s">
        <v>1400</v>
      </c>
      <c r="H951" s="11" t="str">
        <f>IFERROR(__xludf.DUMMYFUNCTION("REGEXREPLACE(G951, ""[^0-9a-zA-Z .'Ã]"","""")"),"Jeff Bridges")</f>
        <v>Jeff Bridges</v>
      </c>
      <c r="I951" s="24" t="s">
        <v>3536</v>
      </c>
      <c r="J951" s="22">
        <v>54501.0</v>
      </c>
      <c r="K951" s="22" t="s">
        <v>3537</v>
      </c>
      <c r="L951" s="22">
        <v>154.0</v>
      </c>
      <c r="M951" s="22" t="s">
        <v>24</v>
      </c>
      <c r="N951" s="22" t="s">
        <v>25</v>
      </c>
      <c r="O951" s="23">
        <v>9.5E7</v>
      </c>
      <c r="P951" s="10">
        <f t="shared" si="2"/>
        <v>0</v>
      </c>
      <c r="Q951" s="12">
        <f t="shared" si="3"/>
        <v>77823100</v>
      </c>
      <c r="R951" s="22">
        <v>2014.0</v>
      </c>
      <c r="S951" s="22">
        <v>5.5</v>
      </c>
    </row>
    <row r="952" ht="15.75" customHeight="1">
      <c r="A952" s="25" t="s">
        <v>3538</v>
      </c>
      <c r="B952" s="8" t="str">
        <f>IFERROR(__xludf.DUMMYFUNCTION("REGEXREPLACE(A952, ""[^0-9a-zA-Z .'Ã]"","""")"),"Anand Tucker")</f>
        <v>Anand Tucker</v>
      </c>
      <c r="C952" s="26">
        <v>90.0</v>
      </c>
      <c r="D952" s="27">
        <v>1071240.0</v>
      </c>
      <c r="E952" s="26" t="s">
        <v>359</v>
      </c>
      <c r="F952" s="9">
        <f t="shared" si="1"/>
        <v>2</v>
      </c>
      <c r="G952" s="26" t="s">
        <v>542</v>
      </c>
      <c r="H952" s="11" t="str">
        <f>IFERROR(__xludf.DUMMYFUNCTION("REGEXREPLACE(G952, ""[^0-9a-zA-Z .'Ã]"","""")"),"Colin Firth")</f>
        <v>Colin Firth</v>
      </c>
      <c r="I952" s="28" t="s">
        <v>3539</v>
      </c>
      <c r="J952" s="26">
        <v>3571.0</v>
      </c>
      <c r="K952" s="26" t="s">
        <v>3540</v>
      </c>
      <c r="L952" s="26">
        <v>34.0</v>
      </c>
      <c r="M952" s="26" t="s">
        <v>24</v>
      </c>
      <c r="N952" s="26" t="s">
        <v>130</v>
      </c>
      <c r="O952" s="27">
        <v>8000000.0</v>
      </c>
      <c r="P952" s="10">
        <f t="shared" si="2"/>
        <v>0</v>
      </c>
      <c r="Q952" s="12">
        <f t="shared" si="3"/>
        <v>6928760</v>
      </c>
      <c r="R952" s="26">
        <v>2007.0</v>
      </c>
      <c r="S952" s="26">
        <v>6.9</v>
      </c>
    </row>
    <row r="953" ht="15.75" customHeight="1">
      <c r="A953" s="17" t="s">
        <v>3541</v>
      </c>
      <c r="B953" s="8" t="str">
        <f>IFERROR(__xludf.DUMMYFUNCTION("REGEXREPLACE(A953, ""[^0-9a-zA-Z .'Ã]"","""")"),"Steve Pink")</f>
        <v>Steve Pink</v>
      </c>
      <c r="C953" s="18">
        <v>107.0</v>
      </c>
      <c r="D953" s="19">
        <v>1.2282677E7</v>
      </c>
      <c r="E953" s="18" t="s">
        <v>3542</v>
      </c>
      <c r="F953" s="9">
        <f t="shared" si="1"/>
        <v>2</v>
      </c>
      <c r="G953" s="18" t="s">
        <v>2667</v>
      </c>
      <c r="H953" s="11" t="str">
        <f>IFERROR(__xludf.DUMMYFUNCTION("REGEXREPLACE(G953, ""[^0-9a-zA-Z .'Ã]"","""")"),"Adam Scott")</f>
        <v>Adam Scott</v>
      </c>
      <c r="I953" s="20" t="s">
        <v>3543</v>
      </c>
      <c r="J953" s="18">
        <v>28159.0</v>
      </c>
      <c r="K953" s="18" t="s">
        <v>3544</v>
      </c>
      <c r="L953" s="18">
        <v>96.0</v>
      </c>
      <c r="M953" s="18" t="s">
        <v>24</v>
      </c>
      <c r="N953" s="18" t="s">
        <v>25</v>
      </c>
      <c r="O953" s="19">
        <v>1.4E7</v>
      </c>
      <c r="P953" s="10">
        <f t="shared" si="2"/>
        <v>0</v>
      </c>
      <c r="Q953" s="12">
        <f t="shared" si="3"/>
        <v>1717323</v>
      </c>
      <c r="R953" s="18">
        <v>2015.0</v>
      </c>
      <c r="S953" s="18">
        <v>5.1</v>
      </c>
    </row>
    <row r="954" ht="15.75" customHeight="1">
      <c r="A954" s="13" t="s">
        <v>1346</v>
      </c>
      <c r="B954" s="8" t="str">
        <f>IFERROR(__xludf.DUMMYFUNCTION("REGEXREPLACE(A954, ""[^0-9a-zA-Z .'Ã]"","""")"),"Sam Raimi")</f>
        <v>Sam Raimi</v>
      </c>
      <c r="C954" s="14">
        <v>291.0</v>
      </c>
      <c r="D954" s="15">
        <v>4.03706375E8</v>
      </c>
      <c r="E954" s="14" t="s">
        <v>3545</v>
      </c>
      <c r="F954" s="9">
        <f t="shared" si="1"/>
        <v>4</v>
      </c>
      <c r="G954" s="14" t="s">
        <v>878</v>
      </c>
      <c r="H954" s="11" t="str">
        <f>IFERROR(__xludf.DUMMYFUNCTION("REGEXREPLACE(G954, ""[^0-9a-zA-Z .'Ã]"","""")"),"J.K. Simmons")</f>
        <v>J.K. Simmons</v>
      </c>
      <c r="I954" s="16" t="s">
        <v>3546</v>
      </c>
      <c r="J954" s="14">
        <v>544665.0</v>
      </c>
      <c r="K954" s="14" t="s">
        <v>3547</v>
      </c>
      <c r="L954" s="14">
        <v>2012.0</v>
      </c>
      <c r="M954" s="14" t="s">
        <v>24</v>
      </c>
      <c r="N954" s="14" t="s">
        <v>25</v>
      </c>
      <c r="O954" s="15">
        <v>1.39E8</v>
      </c>
      <c r="P954" s="10">
        <f t="shared" si="2"/>
        <v>264706375</v>
      </c>
      <c r="Q954" s="12">
        <f t="shared" si="3"/>
        <v>0</v>
      </c>
      <c r="R954" s="14">
        <v>2002.0</v>
      </c>
      <c r="S954" s="14">
        <v>7.3</v>
      </c>
    </row>
    <row r="955" ht="15.75" customHeight="1">
      <c r="A955" s="21" t="s">
        <v>3548</v>
      </c>
      <c r="B955" s="8" t="str">
        <f>IFERROR(__xludf.DUMMYFUNCTION("REGEXREPLACE(A955, ""[^0-9a-zA-Z -.'Ã]"","""")"),"Vondie Curtis-Hall")</f>
        <v>Vondie Curtis-Hall</v>
      </c>
      <c r="C955" s="22">
        <v>66.0</v>
      </c>
      <c r="D955" s="23">
        <v>4273372.0</v>
      </c>
      <c r="E955" s="22" t="s">
        <v>734</v>
      </c>
      <c r="F955" s="9">
        <f t="shared" si="1"/>
        <v>3</v>
      </c>
      <c r="G955" s="22" t="s">
        <v>3549</v>
      </c>
      <c r="H955" s="11" t="str">
        <f>IFERROR(__xludf.DUMMYFUNCTION("REGEXREPLACE(G955, ""[^0-9a-zA-Z .'Ã]"","""")"),"Mariah Carey")</f>
        <v>Mariah Carey</v>
      </c>
      <c r="I955" s="24" t="s">
        <v>3550</v>
      </c>
      <c r="J955" s="22">
        <v>19412.0</v>
      </c>
      <c r="K955" s="22" t="s">
        <v>3551</v>
      </c>
      <c r="L955" s="22">
        <v>308.0</v>
      </c>
      <c r="M955" s="22" t="s">
        <v>24</v>
      </c>
      <c r="N955" s="22" t="s">
        <v>25</v>
      </c>
      <c r="O955" s="23">
        <v>2.2E7</v>
      </c>
      <c r="P955" s="10">
        <f t="shared" si="2"/>
        <v>0</v>
      </c>
      <c r="Q955" s="12">
        <f t="shared" si="3"/>
        <v>17726628</v>
      </c>
      <c r="R955" s="22">
        <v>2001.0</v>
      </c>
      <c r="S955" s="22">
        <v>2.1</v>
      </c>
    </row>
    <row r="956" ht="15.75" customHeight="1">
      <c r="A956" s="17" t="s">
        <v>491</v>
      </c>
      <c r="B956" s="8" t="str">
        <f>IFERROR(__xludf.DUMMYFUNCTION("REGEXREPLACE(A956, ""[^0-9a-zA-Z .'Ã]"","""")"),"Chuck Russell")</f>
        <v>Chuck Russell</v>
      </c>
      <c r="C956" s="18">
        <v>131.0</v>
      </c>
      <c r="D956" s="19">
        <v>4.47932E7</v>
      </c>
      <c r="E956" s="18" t="s">
        <v>1033</v>
      </c>
      <c r="F956" s="9">
        <f t="shared" si="1"/>
        <v>4</v>
      </c>
      <c r="G956" s="18" t="s">
        <v>3552</v>
      </c>
      <c r="H956" s="11" t="str">
        <f>IFERROR(__xludf.DUMMYFUNCTION("REGEXREPLACE(G956, ""[^0-9a-zA-Z .'Ã]"","""")"),"John Saxon")</f>
        <v>John Saxon</v>
      </c>
      <c r="I956" s="20" t="s">
        <v>3553</v>
      </c>
      <c r="J956" s="18">
        <v>49820.0</v>
      </c>
      <c r="K956" s="18" t="s">
        <v>3554</v>
      </c>
      <c r="L956" s="18">
        <v>311.0</v>
      </c>
      <c r="M956" s="18" t="s">
        <v>24</v>
      </c>
      <c r="N956" s="18" t="s">
        <v>25</v>
      </c>
      <c r="O956" s="19">
        <v>4500000.0</v>
      </c>
      <c r="P956" s="10">
        <f t="shared" si="2"/>
        <v>40293200</v>
      </c>
      <c r="Q956" s="12">
        <f t="shared" si="3"/>
        <v>0</v>
      </c>
      <c r="R956" s="18">
        <v>1987.0</v>
      </c>
      <c r="S956" s="18">
        <v>6.6</v>
      </c>
    </row>
    <row r="957" ht="15.75" customHeight="1">
      <c r="A957" s="25" t="s">
        <v>3181</v>
      </c>
      <c r="B957" s="8" t="str">
        <f>IFERROR(__xludf.DUMMYFUNCTION("REGEXREPLACE(A957, ""[^0-9a-zA-Z .'Ã]"","""")"),"Guy Ritchie")</f>
        <v>Guy Ritchie</v>
      </c>
      <c r="C957" s="26">
        <v>71.0</v>
      </c>
      <c r="D957" s="27">
        <v>598645.0</v>
      </c>
      <c r="E957" s="26" t="s">
        <v>89</v>
      </c>
      <c r="F957" s="9">
        <f t="shared" si="1"/>
        <v>2</v>
      </c>
      <c r="G957" s="26" t="s">
        <v>3555</v>
      </c>
      <c r="H957" s="11" t="str">
        <f>IFERROR(__xludf.DUMMYFUNCTION("REGEXREPLACE(G957, ""[^0-9a-zA-Z .'Ã]"","""")"),"Bruce Greenwood")</f>
        <v>Bruce Greenwood</v>
      </c>
      <c r="I957" s="28" t="s">
        <v>3556</v>
      </c>
      <c r="J957" s="26">
        <v>13145.0</v>
      </c>
      <c r="K957" s="26" t="s">
        <v>3557</v>
      </c>
      <c r="L957" s="26">
        <v>215.0</v>
      </c>
      <c r="M957" s="26" t="s">
        <v>24</v>
      </c>
      <c r="N957" s="26" t="s">
        <v>130</v>
      </c>
      <c r="O957" s="27">
        <v>1.0E7</v>
      </c>
      <c r="P957" s="10">
        <f t="shared" si="2"/>
        <v>0</v>
      </c>
      <c r="Q957" s="12">
        <f t="shared" si="3"/>
        <v>9401355</v>
      </c>
      <c r="R957" s="26">
        <v>2002.0</v>
      </c>
      <c r="S957" s="26">
        <v>3.6</v>
      </c>
    </row>
    <row r="958" ht="15.75" customHeight="1">
      <c r="A958" s="25" t="s">
        <v>1902</v>
      </c>
      <c r="B958" s="8" t="str">
        <f>IFERROR(__xludf.DUMMYFUNCTION("REGEXREPLACE(A958, ""[^0-9a-zA-Z .'Ã]"","""")"),"Tom Dey")</f>
        <v>Tom Dey</v>
      </c>
      <c r="C958" s="26">
        <v>98.0</v>
      </c>
      <c r="D958" s="27">
        <v>3.3643461E7</v>
      </c>
      <c r="E958" s="26" t="s">
        <v>857</v>
      </c>
      <c r="F958" s="9">
        <f t="shared" si="1"/>
        <v>2</v>
      </c>
      <c r="G958" s="26" t="s">
        <v>497</v>
      </c>
      <c r="H958" s="11" t="str">
        <f>IFERROR(__xludf.DUMMYFUNCTION("REGEXREPLACE(G958, ""[^0-9a-zA-Z .'Ã]"","""")"),"Emma Stone")</f>
        <v>Emma Stone</v>
      </c>
      <c r="I958" s="28" t="s">
        <v>3558</v>
      </c>
      <c r="J958" s="26">
        <v>11257.0</v>
      </c>
      <c r="K958" s="26" t="s">
        <v>3559</v>
      </c>
      <c r="L958" s="26">
        <v>65.0</v>
      </c>
      <c r="M958" s="26" t="s">
        <v>24</v>
      </c>
      <c r="N958" s="26" t="s">
        <v>25</v>
      </c>
      <c r="O958" s="27">
        <v>5.0E7</v>
      </c>
      <c r="P958" s="10">
        <f t="shared" si="2"/>
        <v>0</v>
      </c>
      <c r="Q958" s="12">
        <f t="shared" si="3"/>
        <v>16356539</v>
      </c>
      <c r="R958" s="26">
        <v>2010.0</v>
      </c>
      <c r="S958" s="26">
        <v>4.2</v>
      </c>
    </row>
    <row r="959" ht="15.75" customHeight="1">
      <c r="A959" s="17" t="s">
        <v>3560</v>
      </c>
      <c r="B959" s="8" t="str">
        <f>IFERROR(__xludf.DUMMYFUNCTION("REGEXREPLACE(A959, ""[^0-9a-zA-Z .'Ã]"","""")"),"Sam Weisman")</f>
        <v>Sam Weisman</v>
      </c>
      <c r="C959" s="18">
        <v>75.0</v>
      </c>
      <c r="D959" s="19">
        <v>2.2734486E7</v>
      </c>
      <c r="E959" s="18" t="s">
        <v>137</v>
      </c>
      <c r="F959" s="9">
        <f t="shared" si="1"/>
        <v>1</v>
      </c>
      <c r="G959" s="18" t="s">
        <v>3561</v>
      </c>
      <c r="H959" s="11" t="str">
        <f>IFERROR(__xludf.DUMMYFUNCTION("REGEXREPLACE(G959, ""[^0-9a-zA-Z .'Ã]"","""")"),"Kevin Grevioux")</f>
        <v>Kevin Grevioux</v>
      </c>
      <c r="I959" s="20" t="s">
        <v>3562</v>
      </c>
      <c r="J959" s="18">
        <v>11815.0</v>
      </c>
      <c r="K959" s="18" t="s">
        <v>3563</v>
      </c>
      <c r="L959" s="18">
        <v>117.0</v>
      </c>
      <c r="M959" s="18" t="s">
        <v>24</v>
      </c>
      <c r="N959" s="18" t="s">
        <v>25</v>
      </c>
      <c r="O959" s="19">
        <v>1.7E7</v>
      </c>
      <c r="P959" s="10">
        <f t="shared" si="2"/>
        <v>5734486</v>
      </c>
      <c r="Q959" s="12">
        <f t="shared" si="3"/>
        <v>0</v>
      </c>
      <c r="R959" s="18">
        <v>2003.0</v>
      </c>
      <c r="S959" s="18">
        <v>5.6</v>
      </c>
    </row>
    <row r="960" ht="15.75" customHeight="1">
      <c r="A960" s="21" t="s">
        <v>1142</v>
      </c>
      <c r="B960" s="8" t="str">
        <f>IFERROR(__xludf.DUMMYFUNCTION("REGEXREPLACE(A960, ""[^0-9a-zA-Z .'Ã]"","""")"),"David Twohy")</f>
        <v>David Twohy</v>
      </c>
      <c r="C960" s="22">
        <v>160.0</v>
      </c>
      <c r="D960" s="23">
        <v>1.548354E7</v>
      </c>
      <c r="E960" s="22" t="s">
        <v>3564</v>
      </c>
      <c r="F960" s="9">
        <f t="shared" si="1"/>
        <v>3</v>
      </c>
      <c r="G960" s="22" t="s">
        <v>1439</v>
      </c>
      <c r="H960" s="11" t="str">
        <f>IFERROR(__xludf.DUMMYFUNCTION("REGEXREPLACE(G960, ""[^0-9a-zA-Z .'Ã]"","""")"),"Chris Hemsworth")</f>
        <v>Chris Hemsworth</v>
      </c>
      <c r="I960" s="24" t="s">
        <v>3565</v>
      </c>
      <c r="J960" s="22">
        <v>56338.0</v>
      </c>
      <c r="K960" s="22" t="s">
        <v>3566</v>
      </c>
      <c r="L960" s="22">
        <v>215.0</v>
      </c>
      <c r="M960" s="22" t="s">
        <v>24</v>
      </c>
      <c r="N960" s="22" t="s">
        <v>25</v>
      </c>
      <c r="O960" s="23">
        <v>1.4E7</v>
      </c>
      <c r="P960" s="10">
        <f t="shared" si="2"/>
        <v>1483540</v>
      </c>
      <c r="Q960" s="12">
        <f t="shared" si="3"/>
        <v>0</v>
      </c>
      <c r="R960" s="22">
        <v>2009.0</v>
      </c>
      <c r="S960" s="22">
        <v>6.5</v>
      </c>
    </row>
    <row r="961" ht="15.75" customHeight="1">
      <c r="A961" s="7" t="s">
        <v>3567</v>
      </c>
      <c r="B961" s="8" t="str">
        <f>IFERROR(__xludf.DUMMYFUNCTION("REGEXREPLACE(A961, ""[^0-9a-zA-Z .'Ã]"","""")"),"Mike Mills")</f>
        <v>Mike Mills</v>
      </c>
      <c r="C961" s="9">
        <v>114.0</v>
      </c>
      <c r="D961" s="10">
        <v>1325073.0</v>
      </c>
      <c r="E961" s="9" t="s">
        <v>454</v>
      </c>
      <c r="F961" s="9">
        <f t="shared" si="1"/>
        <v>2</v>
      </c>
      <c r="G961" s="9" t="s">
        <v>580</v>
      </c>
      <c r="H961" s="11" t="str">
        <f>IFERROR(__xludf.DUMMYFUNCTION("REGEXREPLACE(G961, ""[^0-9a-zA-Z .'Ã]"","""")"),"Kelli Garner")</f>
        <v>Kelli Garner</v>
      </c>
      <c r="I961" s="11" t="s">
        <v>3568</v>
      </c>
      <c r="J961" s="9">
        <v>18762.0</v>
      </c>
      <c r="K961" s="9" t="s">
        <v>3569</v>
      </c>
      <c r="L961" s="9">
        <v>91.0</v>
      </c>
      <c r="M961" s="9" t="s">
        <v>24</v>
      </c>
      <c r="N961" s="9" t="s">
        <v>25</v>
      </c>
      <c r="O961" s="10">
        <v>4000000.0</v>
      </c>
      <c r="P961" s="10">
        <f t="shared" si="2"/>
        <v>0</v>
      </c>
      <c r="Q961" s="12">
        <f t="shared" si="3"/>
        <v>2674927</v>
      </c>
      <c r="R961" s="9">
        <v>2005.0</v>
      </c>
      <c r="S961" s="9">
        <v>6.6</v>
      </c>
    </row>
    <row r="962" ht="15.75" customHeight="1">
      <c r="A962" s="7" t="s">
        <v>3570</v>
      </c>
      <c r="B962" s="8" t="str">
        <f>IFERROR(__xludf.DUMMYFUNCTION("REGEXREPLACE(A962, ""[^0-9a-zA-Z .'Ã]"","""")"),"Larry Clark")</f>
        <v>Larry Clark</v>
      </c>
      <c r="C962" s="9">
        <v>71.0</v>
      </c>
      <c r="D962" s="10">
        <v>7417210.0</v>
      </c>
      <c r="E962" s="9" t="s">
        <v>103</v>
      </c>
      <c r="F962" s="9">
        <f t="shared" si="1"/>
        <v>1</v>
      </c>
      <c r="G962" s="9" t="s">
        <v>3571</v>
      </c>
      <c r="H962" s="11" t="str">
        <f>IFERROR(__xludf.DUMMYFUNCTION("REGEXREPLACE(G962, ""[^0-9a-zA-Z .'Ã]"","""")"),"Rosario Dawson")</f>
        <v>Rosario Dawson</v>
      </c>
      <c r="I962" s="11" t="s">
        <v>3572</v>
      </c>
      <c r="J962" s="9">
        <v>59041.0</v>
      </c>
      <c r="K962" s="9" t="s">
        <v>3573</v>
      </c>
      <c r="L962" s="9">
        <v>408.0</v>
      </c>
      <c r="M962" s="9" t="s">
        <v>24</v>
      </c>
      <c r="N962" s="9" t="s">
        <v>25</v>
      </c>
      <c r="O962" s="10">
        <v>1500000.0</v>
      </c>
      <c r="P962" s="10">
        <f t="shared" si="2"/>
        <v>5917210</v>
      </c>
      <c r="Q962" s="12">
        <f t="shared" si="3"/>
        <v>0</v>
      </c>
      <c r="R962" s="9">
        <v>1995.0</v>
      </c>
      <c r="S962" s="9">
        <v>7.0</v>
      </c>
    </row>
    <row r="963" ht="15.75" customHeight="1">
      <c r="A963" s="29" t="s">
        <v>536</v>
      </c>
      <c r="B963" s="8" t="str">
        <f>IFERROR(__xludf.DUMMYFUNCTION("REGEXREPLACE(A963, ""[^0-9a-zA-Z .'Ã]"","""")"),"Robert Zemeckis")</f>
        <v>Robert Zemeckis</v>
      </c>
      <c r="C963" s="30">
        <v>111.0</v>
      </c>
      <c r="D963" s="31">
        <v>8.7666629E7</v>
      </c>
      <c r="E963" s="30" t="s">
        <v>3574</v>
      </c>
      <c r="F963" s="9">
        <f t="shared" si="1"/>
        <v>4</v>
      </c>
      <c r="G963" s="30" t="s">
        <v>3575</v>
      </c>
      <c r="H963" s="11" t="str">
        <f>IFERROR(__xludf.DUMMYFUNCTION("REGEXREPLACE(G963, ""[^0-9a-zA-Z .'Ã]"","""")"),"Lea Thompson")</f>
        <v>Lea Thompson</v>
      </c>
      <c r="I963" s="32" t="s">
        <v>3576</v>
      </c>
      <c r="J963" s="30">
        <v>283480.0</v>
      </c>
      <c r="K963" s="30" t="s">
        <v>3577</v>
      </c>
      <c r="L963" s="30">
        <v>263.0</v>
      </c>
      <c r="M963" s="30" t="s">
        <v>24</v>
      </c>
      <c r="N963" s="30" t="s">
        <v>25</v>
      </c>
      <c r="O963" s="31">
        <v>4.0E7</v>
      </c>
      <c r="P963" s="10">
        <f t="shared" si="2"/>
        <v>47666629</v>
      </c>
      <c r="Q963" s="12">
        <f t="shared" si="3"/>
        <v>0</v>
      </c>
      <c r="R963" s="30">
        <v>1990.0</v>
      </c>
      <c r="S963" s="30">
        <v>7.4</v>
      </c>
    </row>
    <row r="964" ht="15.75" customHeight="1">
      <c r="A964" s="17" t="s">
        <v>635</v>
      </c>
      <c r="B964" s="8" t="str">
        <f>IFERROR(__xludf.DUMMYFUNCTION("REGEXREPLACE(A964, ""[^0-9a-zA-Z .'Ã]"","""")"),"Steven Spielberg")</f>
        <v>Steven Spielberg</v>
      </c>
      <c r="C964" s="18">
        <v>470.0</v>
      </c>
      <c r="D964" s="19">
        <v>3.17011114E8</v>
      </c>
      <c r="E964" s="18" t="s">
        <v>278</v>
      </c>
      <c r="F964" s="9">
        <f t="shared" si="1"/>
        <v>3</v>
      </c>
      <c r="G964" s="18" t="s">
        <v>637</v>
      </c>
      <c r="H964" s="11" t="str">
        <f>IFERROR(__xludf.DUMMYFUNCTION("REGEXREPLACE(G964, ""[^0-9a-zA-Z .'Ã]"","""")"),"Harrison Ford")</f>
        <v>Harrison Ford</v>
      </c>
      <c r="I964" s="20" t="s">
        <v>3578</v>
      </c>
      <c r="J964" s="18">
        <v>333847.0</v>
      </c>
      <c r="K964" s="18" t="s">
        <v>3579</v>
      </c>
      <c r="L964" s="18">
        <v>2054.0</v>
      </c>
      <c r="M964" s="18" t="s">
        <v>24</v>
      </c>
      <c r="N964" s="18" t="s">
        <v>25</v>
      </c>
      <c r="O964" s="19">
        <v>1.85E8</v>
      </c>
      <c r="P964" s="10">
        <f t="shared" si="2"/>
        <v>132011114</v>
      </c>
      <c r="Q964" s="12">
        <f t="shared" si="3"/>
        <v>0</v>
      </c>
      <c r="R964" s="18">
        <v>2008.0</v>
      </c>
      <c r="S964" s="18">
        <v>6.2</v>
      </c>
    </row>
    <row r="965" ht="15.75" customHeight="1">
      <c r="A965" s="7" t="s">
        <v>2618</v>
      </c>
      <c r="B965" s="8" t="str">
        <f>IFERROR(__xludf.DUMMYFUNCTION("REGEXREPLACE(A965, ""[^0-9a-zA-Z .'Ã]"","""")"),"Jonathan Demme")</f>
        <v>Jonathan Demme</v>
      </c>
      <c r="C965" s="9">
        <v>209.0</v>
      </c>
      <c r="D965" s="10">
        <v>6.5948711E7</v>
      </c>
      <c r="E965" s="9" t="s">
        <v>1592</v>
      </c>
      <c r="F965" s="9">
        <f t="shared" si="1"/>
        <v>4</v>
      </c>
      <c r="G965" s="9" t="s">
        <v>70</v>
      </c>
      <c r="H965" s="11" t="str">
        <f>IFERROR(__xludf.DUMMYFUNCTION("REGEXREPLACE(G965, ""[^0-9a-zA-Z .'Ã]"","""")"),"Denzel Washington")</f>
        <v>Denzel Washington</v>
      </c>
      <c r="I965" s="11" t="s">
        <v>3580</v>
      </c>
      <c r="J965" s="9">
        <v>86422.0</v>
      </c>
      <c r="K965" s="9" t="s">
        <v>3581</v>
      </c>
      <c r="L965" s="9">
        <v>363.0</v>
      </c>
      <c r="M965" s="9" t="s">
        <v>24</v>
      </c>
      <c r="N965" s="9" t="s">
        <v>25</v>
      </c>
      <c r="O965" s="10">
        <v>8.0E7</v>
      </c>
      <c r="P965" s="10">
        <f t="shared" si="2"/>
        <v>0</v>
      </c>
      <c r="Q965" s="12">
        <f t="shared" si="3"/>
        <v>14051289</v>
      </c>
      <c r="R965" s="9">
        <v>2004.0</v>
      </c>
      <c r="S965" s="9">
        <v>6.6</v>
      </c>
    </row>
    <row r="966" ht="15.75" customHeight="1">
      <c r="A966" s="7" t="s">
        <v>3582</v>
      </c>
      <c r="B966" s="8" t="str">
        <f>IFERROR(__xludf.DUMMYFUNCTION("REGEXREPLACE(A966, ""[^0-9a-zA-Z .'Ã]"","""")"),"Jake Schreier")</f>
        <v>Jake Schreier</v>
      </c>
      <c r="C966" s="9">
        <v>252.0</v>
      </c>
      <c r="D966" s="10">
        <v>3325638.0</v>
      </c>
      <c r="E966" s="9" t="s">
        <v>3583</v>
      </c>
      <c r="F966" s="9">
        <f t="shared" si="1"/>
        <v>4</v>
      </c>
      <c r="G966" s="9" t="s">
        <v>2174</v>
      </c>
      <c r="H966" s="11" t="str">
        <f>IFERROR(__xludf.DUMMYFUNCTION("REGEXREPLACE(G966, ""[^0-9a-zA-Z .'Ã]"","""")"),"Frank Langella")</f>
        <v>Frank Langella</v>
      </c>
      <c r="I966" s="11" t="s">
        <v>3584</v>
      </c>
      <c r="J966" s="9">
        <v>52509.0</v>
      </c>
      <c r="K966" s="9" t="s">
        <v>3585</v>
      </c>
      <c r="L966" s="9">
        <v>84.0</v>
      </c>
      <c r="M966" s="9" t="s">
        <v>24</v>
      </c>
      <c r="N966" s="9" t="s">
        <v>25</v>
      </c>
      <c r="O966" s="10">
        <v>2500000.0</v>
      </c>
      <c r="P966" s="10">
        <f t="shared" si="2"/>
        <v>825638</v>
      </c>
      <c r="Q966" s="12">
        <f t="shared" si="3"/>
        <v>0</v>
      </c>
      <c r="R966" s="9">
        <v>2012.0</v>
      </c>
      <c r="S966" s="9">
        <v>7.1</v>
      </c>
    </row>
    <row r="967" ht="15.75" customHeight="1">
      <c r="A967" s="21" t="s">
        <v>3586</v>
      </c>
      <c r="B967" s="8" t="str">
        <f>IFERROR(__xludf.DUMMYFUNCTION("REGEXREPLACE(A967, ""[^0-9a-zA-Z .'Ã]"","""")"),"Chris Noonan")</f>
        <v>Chris Noonan</v>
      </c>
      <c r="C967" s="22">
        <v>79.0</v>
      </c>
      <c r="D967" s="23">
        <v>6.66E7</v>
      </c>
      <c r="E967" s="22" t="s">
        <v>1486</v>
      </c>
      <c r="F967" s="9">
        <f t="shared" si="1"/>
        <v>3</v>
      </c>
      <c r="G967" s="22" t="s">
        <v>3587</v>
      </c>
      <c r="H967" s="11" t="str">
        <f>IFERROR(__xludf.DUMMYFUNCTION("REGEXREPLACE(G967, ""[^0-9a-zA-Z .'Ã]"","""")"),"Miriam Margolyes")</f>
        <v>Miriam Margolyes</v>
      </c>
      <c r="I967" s="24" t="s">
        <v>3588</v>
      </c>
      <c r="J967" s="22">
        <v>94435.0</v>
      </c>
      <c r="K967" s="22" t="s">
        <v>3589</v>
      </c>
      <c r="L967" s="22">
        <v>182.0</v>
      </c>
      <c r="M967" s="22" t="s">
        <v>24</v>
      </c>
      <c r="N967" s="22" t="s">
        <v>146</v>
      </c>
      <c r="O967" s="23">
        <v>3.0E7</v>
      </c>
      <c r="P967" s="10">
        <f t="shared" si="2"/>
        <v>36600000</v>
      </c>
      <c r="Q967" s="12">
        <f t="shared" si="3"/>
        <v>0</v>
      </c>
      <c r="R967" s="22">
        <v>1995.0</v>
      </c>
      <c r="S967" s="22">
        <v>6.8</v>
      </c>
    </row>
    <row r="968" ht="15.75" customHeight="1">
      <c r="A968" s="17" t="s">
        <v>3590</v>
      </c>
      <c r="B968" s="8" t="str">
        <f>IFERROR(__xludf.DUMMYFUNCTION("REGEXREPLACE(A968, ""[^0-9a-zA-Z .'Ã]"","""")"),"Gary Hardwick")</f>
        <v>Gary Hardwick</v>
      </c>
      <c r="C968" s="18">
        <v>52.0</v>
      </c>
      <c r="D968" s="19">
        <v>2.7457409E7</v>
      </c>
      <c r="E968" s="18" t="s">
        <v>454</v>
      </c>
      <c r="F968" s="9">
        <f t="shared" si="1"/>
        <v>2</v>
      </c>
      <c r="G968" s="18" t="s">
        <v>3591</v>
      </c>
      <c r="H968" s="11" t="str">
        <f>IFERROR(__xludf.DUMMYFUNCTION("REGEXREPLACE(G968, ""[^0-9a-zA-Z .'Ã]"","""")"),"Julie Benz")</f>
        <v>Julie Benz</v>
      </c>
      <c r="I968" s="20" t="s">
        <v>3592</v>
      </c>
      <c r="J968" s="18">
        <v>3198.0</v>
      </c>
      <c r="K968" s="18" t="s">
        <v>3593</v>
      </c>
      <c r="L968" s="18">
        <v>43.0</v>
      </c>
      <c r="M968" s="18" t="s">
        <v>24</v>
      </c>
      <c r="N968" s="18" t="s">
        <v>25</v>
      </c>
      <c r="O968" s="19">
        <v>6000000.0</v>
      </c>
      <c r="P968" s="10">
        <f t="shared" si="2"/>
        <v>21457409</v>
      </c>
      <c r="Q968" s="12">
        <f t="shared" si="3"/>
        <v>0</v>
      </c>
      <c r="R968" s="18">
        <v>2001.0</v>
      </c>
      <c r="S968" s="18">
        <v>6.3</v>
      </c>
    </row>
    <row r="969" ht="15.75" customHeight="1">
      <c r="A969" s="7" t="s">
        <v>368</v>
      </c>
      <c r="B969" s="8" t="str">
        <f>IFERROR(__xludf.DUMMYFUNCTION("REGEXREPLACE(A969, ""[^0-9a-zA-Z .'Ã]"","""")"),"Jon Turteltaub")</f>
        <v>Jon Turteltaub</v>
      </c>
      <c r="C969" s="9">
        <v>222.0</v>
      </c>
      <c r="D969" s="10">
        <v>6.3910583E7</v>
      </c>
      <c r="E969" s="9" t="s">
        <v>89</v>
      </c>
      <c r="F969" s="9">
        <f t="shared" si="1"/>
        <v>2</v>
      </c>
      <c r="G969" s="9" t="s">
        <v>883</v>
      </c>
      <c r="H969" s="11" t="str">
        <f>IFERROR(__xludf.DUMMYFUNCTION("REGEXREPLACE(G969, ""[^0-9a-zA-Z .'Ã]"","""")"),"Robert De Niro")</f>
        <v>Robert De Niro</v>
      </c>
      <c r="I969" s="11" t="s">
        <v>3594</v>
      </c>
      <c r="J969" s="9">
        <v>106755.0</v>
      </c>
      <c r="K969" s="9" t="s">
        <v>3595</v>
      </c>
      <c r="L969" s="9">
        <v>173.0</v>
      </c>
      <c r="M969" s="9" t="s">
        <v>24</v>
      </c>
      <c r="N969" s="9" t="s">
        <v>25</v>
      </c>
      <c r="O969" s="10">
        <v>2.8E7</v>
      </c>
      <c r="P969" s="10">
        <f t="shared" si="2"/>
        <v>35910583</v>
      </c>
      <c r="Q969" s="12">
        <f t="shared" si="3"/>
        <v>0</v>
      </c>
      <c r="R969" s="9">
        <v>2013.0</v>
      </c>
      <c r="S969" s="9">
        <v>6.6</v>
      </c>
    </row>
    <row r="970" ht="15.75" customHeight="1">
      <c r="A970" s="13" t="s">
        <v>3596</v>
      </c>
      <c r="B970" s="8" t="str">
        <f>IFERROR(__xludf.DUMMYFUNCTION("REGEXREPLACE(A970, ""[^0-9a-zA-Z .'Ã]"","""")"),"Susanna White")</f>
        <v>Susanna White</v>
      </c>
      <c r="C970" s="14">
        <v>97.0</v>
      </c>
      <c r="D970" s="15">
        <v>2.899545E7</v>
      </c>
      <c r="E970" s="14" t="s">
        <v>514</v>
      </c>
      <c r="F970" s="9">
        <f t="shared" si="1"/>
        <v>3</v>
      </c>
      <c r="G970" s="14" t="s">
        <v>3597</v>
      </c>
      <c r="H970" s="11" t="str">
        <f>IFERROR(__xludf.DUMMYFUNCTION("REGEXREPLACE(G970, ""[^0-9a-zA-Z .'Ã]"","""")"),"Daniel Mays")</f>
        <v>Daniel Mays</v>
      </c>
      <c r="I970" s="16" t="s">
        <v>3598</v>
      </c>
      <c r="J970" s="14">
        <v>19230.0</v>
      </c>
      <c r="K970" s="14" t="s">
        <v>3599</v>
      </c>
      <c r="L970" s="14">
        <v>59.0</v>
      </c>
      <c r="M970" s="14" t="s">
        <v>24</v>
      </c>
      <c r="N970" s="14" t="s">
        <v>130</v>
      </c>
      <c r="O970" s="15">
        <v>3.5E7</v>
      </c>
      <c r="P970" s="10">
        <f t="shared" si="2"/>
        <v>0</v>
      </c>
      <c r="Q970" s="12">
        <f t="shared" si="3"/>
        <v>6004550</v>
      </c>
      <c r="R970" s="14">
        <v>2010.0</v>
      </c>
      <c r="S970" s="14">
        <v>6.1</v>
      </c>
    </row>
    <row r="971" ht="15.75" customHeight="1">
      <c r="A971" s="7" t="s">
        <v>3600</v>
      </c>
      <c r="B971" s="8" t="str">
        <f>IFERROR(__xludf.DUMMYFUNCTION("REGEXREPLACE(A971, ""[^0-9a-zA-Z .'Ã]"","""")"),"Alan Rudolph")</f>
        <v>Alan Rudolph</v>
      </c>
      <c r="C971" s="9">
        <v>42.0</v>
      </c>
      <c r="D971" s="10">
        <v>175370.0</v>
      </c>
      <c r="E971" s="9" t="s">
        <v>137</v>
      </c>
      <c r="F971" s="9">
        <f t="shared" si="1"/>
        <v>1</v>
      </c>
      <c r="G971" s="9" t="s">
        <v>55</v>
      </c>
      <c r="H971" s="11" t="str">
        <f>IFERROR(__xludf.DUMMYFUNCTION("REGEXREPLACE(G971, ""[^0-9a-zA-Z .'Ã]"","""")"),"Bruce Willis")</f>
        <v>Bruce Willis</v>
      </c>
      <c r="I971" s="11" t="s">
        <v>3601</v>
      </c>
      <c r="J971" s="9">
        <v>6884.0</v>
      </c>
      <c r="K971" s="9" t="s">
        <v>3602</v>
      </c>
      <c r="L971" s="9">
        <v>133.0</v>
      </c>
      <c r="M971" s="9" t="s">
        <v>24</v>
      </c>
      <c r="N971" s="9" t="s">
        <v>25</v>
      </c>
      <c r="O971" s="10">
        <v>1.2E7</v>
      </c>
      <c r="P971" s="10">
        <f t="shared" si="2"/>
        <v>0</v>
      </c>
      <c r="Q971" s="12">
        <f t="shared" si="3"/>
        <v>11824630</v>
      </c>
      <c r="R971" s="9">
        <v>1999.0</v>
      </c>
      <c r="S971" s="9">
        <v>4.6</v>
      </c>
    </row>
    <row r="972" ht="15.75" customHeight="1">
      <c r="A972" s="7" t="s">
        <v>2626</v>
      </c>
      <c r="B972" s="8" t="str">
        <f>IFERROR(__xludf.DUMMYFUNCTION("REGEXREPLACE(A972, ""[^0-9a-zA-Z .'Ã]"","""")"),"Shekhar Kapur")</f>
        <v>Shekhar Kapur</v>
      </c>
      <c r="C972" s="9">
        <v>202.0</v>
      </c>
      <c r="D972" s="10">
        <v>1.6264475E7</v>
      </c>
      <c r="E972" s="9" t="s">
        <v>3603</v>
      </c>
      <c r="F972" s="9">
        <f t="shared" si="1"/>
        <v>4</v>
      </c>
      <c r="G972" s="9" t="s">
        <v>3604</v>
      </c>
      <c r="H972" s="11" t="str">
        <f>IFERROR(__xludf.DUMMYFUNCTION("REGEXREPLACE(G972, ""[^0-9a-zA-Z .'Ã]"","""")"),"Eddie Redmayne")</f>
        <v>Eddie Redmayne</v>
      </c>
      <c r="I972" s="11" t="s">
        <v>3605</v>
      </c>
      <c r="J972" s="9">
        <v>54787.0</v>
      </c>
      <c r="K972" s="9" t="s">
        <v>3606</v>
      </c>
      <c r="L972" s="9">
        <v>216.0</v>
      </c>
      <c r="M972" s="9" t="s">
        <v>24</v>
      </c>
      <c r="N972" s="9" t="s">
        <v>130</v>
      </c>
      <c r="O972" s="10">
        <v>5.5E7</v>
      </c>
      <c r="P972" s="10">
        <f t="shared" si="2"/>
        <v>0</v>
      </c>
      <c r="Q972" s="12">
        <f t="shared" si="3"/>
        <v>38735525</v>
      </c>
      <c r="R972" s="9">
        <v>2007.0</v>
      </c>
      <c r="S972" s="9">
        <v>6.9</v>
      </c>
    </row>
    <row r="973" ht="15.75" customHeight="1">
      <c r="A973" s="29" t="s">
        <v>3607</v>
      </c>
      <c r="B973" s="8" t="str">
        <f>IFERROR(__xludf.DUMMYFUNCTION("REGEXREPLACE(A973, ""[^0-9a-zA-Z .'Ã]"","""")"),"Lajos Koltai")</f>
        <v>Lajos Koltai</v>
      </c>
      <c r="C973" s="30">
        <v>73.0</v>
      </c>
      <c r="D973" s="31">
        <v>195888.0</v>
      </c>
      <c r="E973" s="30" t="s">
        <v>3427</v>
      </c>
      <c r="F973" s="9">
        <f t="shared" si="1"/>
        <v>3</v>
      </c>
      <c r="G973" s="30" t="s">
        <v>3608</v>
      </c>
      <c r="H973" s="11" t="str">
        <f>IFERROR(__xludf.DUMMYFUNCTION("REGEXREPLACE(G973, ""[^0-9a-zA-Z .'Ã]"","""")"),"Marcell Nagy")</f>
        <v>Marcell Nagy</v>
      </c>
      <c r="I973" s="32" t="s">
        <v>3609</v>
      </c>
      <c r="J973" s="30">
        <v>5603.0</v>
      </c>
      <c r="K973" s="30" t="s">
        <v>3610</v>
      </c>
      <c r="L973" s="30">
        <v>45.0</v>
      </c>
      <c r="M973" s="30" t="s">
        <v>3611</v>
      </c>
      <c r="N973" s="30" t="s">
        <v>3612</v>
      </c>
      <c r="O973" s="31">
        <v>2.5E9</v>
      </c>
      <c r="P973" s="10">
        <f t="shared" si="2"/>
        <v>0</v>
      </c>
      <c r="Q973" s="12">
        <f t="shared" si="3"/>
        <v>2499804112</v>
      </c>
      <c r="R973" s="30">
        <v>2005.0</v>
      </c>
      <c r="S973" s="30">
        <v>7.1</v>
      </c>
    </row>
    <row r="974" ht="15.75" customHeight="1">
      <c r="A974" s="7" t="s">
        <v>536</v>
      </c>
      <c r="B974" s="8" t="str">
        <f>IFERROR(__xludf.DUMMYFUNCTION("REGEXREPLACE(A974, ""[^0-9a-zA-Z .'Ã]"","""")"),"Robert Zemeckis")</f>
        <v>Robert Zemeckis</v>
      </c>
      <c r="C974" s="9">
        <v>221.0</v>
      </c>
      <c r="D974" s="10">
        <v>2.33630478E8</v>
      </c>
      <c r="E974" s="9" t="s">
        <v>1989</v>
      </c>
      <c r="F974" s="9">
        <f t="shared" si="1"/>
        <v>3</v>
      </c>
      <c r="G974" s="9" t="s">
        <v>461</v>
      </c>
      <c r="H974" s="11" t="str">
        <f>IFERROR(__xludf.DUMMYFUNCTION("REGEXREPLACE(G974, ""[^0-9a-zA-Z .'Ã]"","""")"),"Tom Hanks")</f>
        <v>Tom Hanks</v>
      </c>
      <c r="I974" s="11" t="s">
        <v>3613</v>
      </c>
      <c r="J974" s="9">
        <v>394317.0</v>
      </c>
      <c r="K974" s="9" t="s">
        <v>3614</v>
      </c>
      <c r="L974" s="9">
        <v>1051.0</v>
      </c>
      <c r="M974" s="9" t="s">
        <v>24</v>
      </c>
      <c r="N974" s="9" t="s">
        <v>25</v>
      </c>
      <c r="O974" s="10">
        <v>9.0E7</v>
      </c>
      <c r="P974" s="10">
        <f t="shared" si="2"/>
        <v>143630478</v>
      </c>
      <c r="Q974" s="12">
        <f t="shared" si="3"/>
        <v>0</v>
      </c>
      <c r="R974" s="9">
        <v>2000.0</v>
      </c>
      <c r="S974" s="9">
        <v>7.7</v>
      </c>
    </row>
    <row r="975" ht="15.75" customHeight="1">
      <c r="A975" s="17" t="s">
        <v>2855</v>
      </c>
      <c r="B975" s="8" t="str">
        <f>IFERROR(__xludf.DUMMYFUNCTION("REGEXREPLACE(A975, ""[^0-9a-zA-Z .'Ã]"","""")"),"Pete Travis")</f>
        <v>Pete Travis</v>
      </c>
      <c r="C975" s="18">
        <v>235.0</v>
      </c>
      <c r="D975" s="19">
        <v>7.2266306E7</v>
      </c>
      <c r="E975" s="18" t="s">
        <v>435</v>
      </c>
      <c r="F975" s="9">
        <f t="shared" si="1"/>
        <v>4</v>
      </c>
      <c r="G975" s="18" t="s">
        <v>45</v>
      </c>
      <c r="H975" s="11" t="str">
        <f>IFERROR(__xludf.DUMMYFUNCTION("REGEXREPLACE(G975, ""[^0-9a-zA-Z .'Ã]"","""")"),"Dennis Quaid")</f>
        <v>Dennis Quaid</v>
      </c>
      <c r="I975" s="20" t="s">
        <v>3615</v>
      </c>
      <c r="J975" s="18">
        <v>127528.0</v>
      </c>
      <c r="K975" s="18" t="s">
        <v>3616</v>
      </c>
      <c r="L975" s="18">
        <v>422.0</v>
      </c>
      <c r="M975" s="18" t="s">
        <v>24</v>
      </c>
      <c r="N975" s="18" t="s">
        <v>25</v>
      </c>
      <c r="O975" s="19">
        <v>4.0E7</v>
      </c>
      <c r="P975" s="10">
        <f t="shared" si="2"/>
        <v>32266306</v>
      </c>
      <c r="Q975" s="12">
        <f t="shared" si="3"/>
        <v>0</v>
      </c>
      <c r="R975" s="18">
        <v>2008.0</v>
      </c>
      <c r="S975" s="18">
        <v>6.6</v>
      </c>
    </row>
    <row r="976" ht="15.75" customHeight="1">
      <c r="A976" s="21" t="s">
        <v>179</v>
      </c>
      <c r="B976" s="8" t="str">
        <f>IFERROR(__xludf.DUMMYFUNCTION("REGEXREPLACE(A976, ""[^0-9a-zA-Z .'Ã]"","""")"),"Tim Burton")</f>
        <v>Tim Burton</v>
      </c>
      <c r="C976" s="22">
        <v>230.0</v>
      </c>
      <c r="D976" s="23">
        <v>1.8001174E8</v>
      </c>
      <c r="E976" s="22" t="s">
        <v>794</v>
      </c>
      <c r="F976" s="9">
        <f t="shared" si="1"/>
        <v>4</v>
      </c>
      <c r="G976" s="22" t="s">
        <v>143</v>
      </c>
      <c r="H976" s="11" t="str">
        <f>IFERROR(__xludf.DUMMYFUNCTION("REGEXREPLACE(G976, ""[^0-9a-zA-Z .'Ã]"","""")"),"CaryHiroyuki Tagawa")</f>
        <v>CaryHiroyuki Tagawa</v>
      </c>
      <c r="I976" s="24" t="s">
        <v>3617</v>
      </c>
      <c r="J976" s="22">
        <v>177729.0</v>
      </c>
      <c r="K976" s="22" t="s">
        <v>3618</v>
      </c>
      <c r="L976" s="22">
        <v>1368.0</v>
      </c>
      <c r="M976" s="22" t="s">
        <v>24</v>
      </c>
      <c r="N976" s="22" t="s">
        <v>25</v>
      </c>
      <c r="O976" s="23">
        <v>1.0E8</v>
      </c>
      <c r="P976" s="10">
        <f t="shared" si="2"/>
        <v>80011740</v>
      </c>
      <c r="Q976" s="12">
        <f t="shared" si="3"/>
        <v>0</v>
      </c>
      <c r="R976" s="22">
        <v>2001.0</v>
      </c>
      <c r="S976" s="22">
        <v>5.7</v>
      </c>
    </row>
    <row r="977" ht="15.75" customHeight="1">
      <c r="A977" s="17" t="s">
        <v>3619</v>
      </c>
      <c r="B977" s="8" t="str">
        <f>IFERROR(__xludf.DUMMYFUNCTION("REGEXREPLACE(A977, ""[^0-9a-zA-Z .'Ã]"","""")"),"Dario Argento")</f>
        <v>Dario Argento</v>
      </c>
      <c r="C977" s="18">
        <v>76.0</v>
      </c>
      <c r="D977" s="19">
        <v>349618.0</v>
      </c>
      <c r="E977" s="18" t="s">
        <v>148</v>
      </c>
      <c r="F977" s="9">
        <f t="shared" si="1"/>
        <v>1</v>
      </c>
      <c r="G977" s="18" t="s">
        <v>1646</v>
      </c>
      <c r="H977" s="11" t="str">
        <f>IFERROR(__xludf.DUMMYFUNCTION("REGEXREPLACE(G977, ""[^0-9a-zA-Z .'Ã]"","""")"),"John Amos")</f>
        <v>John Amos</v>
      </c>
      <c r="I977" s="20" t="s">
        <v>3620</v>
      </c>
      <c r="J977" s="18">
        <v>4302.0</v>
      </c>
      <c r="K977" s="18" t="s">
        <v>3621</v>
      </c>
      <c r="L977" s="18">
        <v>45.0</v>
      </c>
      <c r="M977" s="18" t="s">
        <v>24</v>
      </c>
      <c r="N977" s="18" t="s">
        <v>42</v>
      </c>
      <c r="O977" s="19">
        <v>9000000.0</v>
      </c>
      <c r="P977" s="10">
        <f t="shared" si="2"/>
        <v>0</v>
      </c>
      <c r="Q977" s="12">
        <f t="shared" si="3"/>
        <v>8650382</v>
      </c>
      <c r="R977" s="18">
        <v>1990.0</v>
      </c>
      <c r="S977" s="18">
        <v>6.1</v>
      </c>
    </row>
    <row r="978" ht="15.75" customHeight="1">
      <c r="A978" s="17" t="s">
        <v>513</v>
      </c>
      <c r="B978" s="8" t="str">
        <f>IFERROR(__xludf.DUMMYFUNCTION("REGEXREPLACE(A978, ""[^0-9a-zA-Z .'Ã]"","""")"),"Mark Waters")</f>
        <v>Mark Waters</v>
      </c>
      <c r="C978" s="18">
        <v>198.0</v>
      </c>
      <c r="D978" s="19">
        <v>7.1148699E7</v>
      </c>
      <c r="E978" s="18" t="s">
        <v>1252</v>
      </c>
      <c r="F978" s="9">
        <f t="shared" si="1"/>
        <v>3</v>
      </c>
      <c r="G978" s="18" t="s">
        <v>3622</v>
      </c>
      <c r="H978" s="11" t="str">
        <f>IFERROR(__xludf.DUMMYFUNCTION("REGEXREPLACE(G978, ""[^0-9a-zA-Z .'Ã]"","""")"),"Martin Short")</f>
        <v>Martin Short</v>
      </c>
      <c r="I978" s="20" t="s">
        <v>3623</v>
      </c>
      <c r="J978" s="18">
        <v>68935.0</v>
      </c>
      <c r="K978" s="18" t="s">
        <v>3624</v>
      </c>
      <c r="L978" s="18">
        <v>125.0</v>
      </c>
      <c r="M978" s="18" t="s">
        <v>24</v>
      </c>
      <c r="N978" s="18" t="s">
        <v>25</v>
      </c>
      <c r="O978" s="19">
        <v>9.0E7</v>
      </c>
      <c r="P978" s="10">
        <f t="shared" si="2"/>
        <v>0</v>
      </c>
      <c r="Q978" s="12">
        <f t="shared" si="3"/>
        <v>18851301</v>
      </c>
      <c r="R978" s="18">
        <v>2008.0</v>
      </c>
      <c r="S978" s="18">
        <v>6.6</v>
      </c>
    </row>
    <row r="979" ht="15.75" customHeight="1">
      <c r="A979" s="29" t="s">
        <v>3625</v>
      </c>
      <c r="B979" s="8" t="str">
        <f>IFERROR(__xludf.DUMMYFUNCTION("REGEXREPLACE(A979, ""[^0-9a-zA-Z .'Ã]"","""")"),"Frank Darabont")</f>
        <v>Frank Darabont</v>
      </c>
      <c r="C979" s="30">
        <v>128.0</v>
      </c>
      <c r="D979" s="31">
        <v>2.7796042E7</v>
      </c>
      <c r="E979" s="30" t="s">
        <v>232</v>
      </c>
      <c r="F979" s="9">
        <f t="shared" si="1"/>
        <v>2</v>
      </c>
      <c r="G979" s="30" t="s">
        <v>3626</v>
      </c>
      <c r="H979" s="11" t="str">
        <f>IFERROR(__xludf.DUMMYFUNCTION("REGEXREPLACE(G979, ""[^0-9a-zA-Z .'Ã]"","""")"),"Martin Landau")</f>
        <v>Martin Landau</v>
      </c>
      <c r="I979" s="32" t="s">
        <v>3627</v>
      </c>
      <c r="J979" s="30">
        <v>45031.0</v>
      </c>
      <c r="K979" s="30" t="s">
        <v>3628</v>
      </c>
      <c r="L979" s="30">
        <v>376.0</v>
      </c>
      <c r="M979" s="30" t="s">
        <v>24</v>
      </c>
      <c r="N979" s="30" t="s">
        <v>25</v>
      </c>
      <c r="O979" s="31">
        <v>7.2E7</v>
      </c>
      <c r="P979" s="10">
        <f t="shared" si="2"/>
        <v>0</v>
      </c>
      <c r="Q979" s="12">
        <f t="shared" si="3"/>
        <v>44203958</v>
      </c>
      <c r="R979" s="30">
        <v>2001.0</v>
      </c>
      <c r="S979" s="30">
        <v>6.9</v>
      </c>
    </row>
    <row r="980" ht="15.75" customHeight="1">
      <c r="A980" s="17" t="s">
        <v>3629</v>
      </c>
      <c r="B980" s="8" t="str">
        <f>IFERROR(__xludf.DUMMYFUNCTION("REGEXREPLACE(A980, ""[^0-9a-zA-Z -.'Ã]"","""")"),"Jean-Jacques Annaud")</f>
        <v>Jean-Jacques Annaud</v>
      </c>
      <c r="C980" s="18">
        <v>187.0</v>
      </c>
      <c r="D980" s="19">
        <v>5.1396781E7</v>
      </c>
      <c r="E980" s="18" t="s">
        <v>74</v>
      </c>
      <c r="F980" s="9">
        <f t="shared" si="1"/>
        <v>3</v>
      </c>
      <c r="G980" s="18" t="s">
        <v>597</v>
      </c>
      <c r="H980" s="11" t="str">
        <f>IFERROR(__xludf.DUMMYFUNCTION("REGEXREPLACE(G980, ""[^0-9a-zA-Z .'Ã]"","""")"),"Bob Hoskins")</f>
        <v>Bob Hoskins</v>
      </c>
      <c r="I980" s="20" t="s">
        <v>3630</v>
      </c>
      <c r="J980" s="18">
        <v>188887.0</v>
      </c>
      <c r="K980" s="18" t="s">
        <v>3631</v>
      </c>
      <c r="L980" s="18">
        <v>662.0</v>
      </c>
      <c r="M980" s="18" t="s">
        <v>24</v>
      </c>
      <c r="N980" s="18" t="s">
        <v>25</v>
      </c>
      <c r="O980" s="19">
        <v>6.8E7</v>
      </c>
      <c r="P980" s="10">
        <f t="shared" si="2"/>
        <v>0</v>
      </c>
      <c r="Q980" s="12">
        <f t="shared" si="3"/>
        <v>16603219</v>
      </c>
      <c r="R980" s="18">
        <v>2001.0</v>
      </c>
      <c r="S980" s="18">
        <v>7.6</v>
      </c>
    </row>
    <row r="981" ht="15.75" customHeight="1">
      <c r="A981" s="7" t="s">
        <v>3632</v>
      </c>
      <c r="B981" s="8" t="str">
        <f>IFERROR(__xludf.DUMMYFUNCTION("REGEXREPLACE(A981, ""[^0-9a-zA-Z .'Ã]"","""")"),"Jonas Elmer")</f>
        <v>Jonas Elmer</v>
      </c>
      <c r="C981" s="9">
        <v>121.0</v>
      </c>
      <c r="D981" s="10">
        <v>1.6699684E7</v>
      </c>
      <c r="E981" s="9" t="s">
        <v>89</v>
      </c>
      <c r="F981" s="9">
        <f t="shared" si="1"/>
        <v>2</v>
      </c>
      <c r="G981" s="9" t="s">
        <v>878</v>
      </c>
      <c r="H981" s="11" t="str">
        <f>IFERROR(__xludf.DUMMYFUNCTION("REGEXREPLACE(G981, ""[^0-9a-zA-Z .'Ã]"","""")"),"J.K. Simmons")</f>
        <v>J.K. Simmons</v>
      </c>
      <c r="I981" s="11" t="s">
        <v>3633</v>
      </c>
      <c r="J981" s="9">
        <v>17461.0</v>
      </c>
      <c r="K981" s="9" t="s">
        <v>3634</v>
      </c>
      <c r="L981" s="9">
        <v>78.0</v>
      </c>
      <c r="M981" s="9" t="s">
        <v>24</v>
      </c>
      <c r="N981" s="9" t="s">
        <v>25</v>
      </c>
      <c r="O981" s="10">
        <v>8000000.0</v>
      </c>
      <c r="P981" s="10">
        <f t="shared" si="2"/>
        <v>8699684</v>
      </c>
      <c r="Q981" s="12">
        <f t="shared" si="3"/>
        <v>0</v>
      </c>
      <c r="R981" s="9">
        <v>2009.0</v>
      </c>
      <c r="S981" s="9">
        <v>5.6</v>
      </c>
    </row>
    <row r="982" ht="15.75" customHeight="1">
      <c r="A982" s="21" t="s">
        <v>3635</v>
      </c>
      <c r="B982" s="8" t="str">
        <f>IFERROR(__xludf.DUMMYFUNCTION("REGEXREPLACE(A982, ""[^0-9a-zA-Z .'Ã]"","""")"),"Mike Disa")</f>
        <v>Mike Disa</v>
      </c>
      <c r="C982" s="22">
        <v>77.0</v>
      </c>
      <c r="D982" s="23">
        <v>1.0134754E7</v>
      </c>
      <c r="E982" s="22" t="s">
        <v>3503</v>
      </c>
      <c r="F982" s="9">
        <f t="shared" si="1"/>
        <v>3</v>
      </c>
      <c r="G982" s="22" t="s">
        <v>2653</v>
      </c>
      <c r="H982" s="11" t="str">
        <f>IFERROR(__xludf.DUMMYFUNCTION("REGEXREPLACE(G982, ""[^0-9a-zA-Z .'Ã]"","""")"),"Amy Poehler")</f>
        <v>Amy Poehler</v>
      </c>
      <c r="I982" s="24" t="s">
        <v>3636</v>
      </c>
      <c r="J982" s="22">
        <v>9682.0</v>
      </c>
      <c r="K982" s="22" t="s">
        <v>3637</v>
      </c>
      <c r="L982" s="22">
        <v>38.0</v>
      </c>
      <c r="M982" s="22" t="s">
        <v>24</v>
      </c>
      <c r="N982" s="22" t="s">
        <v>25</v>
      </c>
      <c r="O982" s="23">
        <v>3.0E7</v>
      </c>
      <c r="P982" s="10">
        <f t="shared" si="2"/>
        <v>0</v>
      </c>
      <c r="Q982" s="12">
        <f t="shared" si="3"/>
        <v>19865246</v>
      </c>
      <c r="R982" s="22">
        <v>2011.0</v>
      </c>
      <c r="S982" s="22">
        <v>4.8</v>
      </c>
    </row>
    <row r="983" ht="15.75" customHeight="1">
      <c r="A983" s="17" t="s">
        <v>73</v>
      </c>
      <c r="B983" s="8" t="str">
        <f>IFERROR(__xludf.DUMMYFUNCTION("REGEXREPLACE(A983, ""[^0-9a-zA-Z .'Ã]"","""")"),"Ridley Scott")</f>
        <v>Ridley Scott</v>
      </c>
      <c r="C983" s="18">
        <v>300.0</v>
      </c>
      <c r="D983" s="19">
        <v>1.3012762E8</v>
      </c>
      <c r="E983" s="18" t="s">
        <v>1774</v>
      </c>
      <c r="F983" s="9">
        <f t="shared" si="1"/>
        <v>3</v>
      </c>
      <c r="G983" s="18" t="s">
        <v>70</v>
      </c>
      <c r="H983" s="11" t="str">
        <f>IFERROR(__xludf.DUMMYFUNCTION("REGEXREPLACE(G983, ""[^0-9a-zA-Z .'Ã]"","""")"),"Denzel Washington")</f>
        <v>Denzel Washington</v>
      </c>
      <c r="I983" s="20" t="s">
        <v>3638</v>
      </c>
      <c r="J983" s="18">
        <v>324671.0</v>
      </c>
      <c r="K983" s="18" t="s">
        <v>3639</v>
      </c>
      <c r="L983" s="18">
        <v>458.0</v>
      </c>
      <c r="M983" s="18" t="s">
        <v>24</v>
      </c>
      <c r="N983" s="18" t="s">
        <v>25</v>
      </c>
      <c r="O983" s="19">
        <v>1.0E8</v>
      </c>
      <c r="P983" s="10">
        <f t="shared" si="2"/>
        <v>30127620</v>
      </c>
      <c r="Q983" s="12">
        <f t="shared" si="3"/>
        <v>0</v>
      </c>
      <c r="R983" s="18">
        <v>2007.0</v>
      </c>
      <c r="S983" s="18">
        <v>7.8</v>
      </c>
    </row>
    <row r="984" ht="15.75" customHeight="1">
      <c r="A984" s="21" t="s">
        <v>3311</v>
      </c>
      <c r="B984" s="8" t="str">
        <f>IFERROR(__xludf.DUMMYFUNCTION("REGEXREPLACE(A984, ""[^0-9a-zA-Z .'Ã]"","""")"),"Jimmy Hayward")</f>
        <v>Jimmy Hayward</v>
      </c>
      <c r="C984" s="22">
        <v>178.0</v>
      </c>
      <c r="D984" s="23">
        <v>1.0539414E7</v>
      </c>
      <c r="E984" s="22" t="s">
        <v>3640</v>
      </c>
      <c r="F984" s="9">
        <f t="shared" si="1"/>
        <v>5</v>
      </c>
      <c r="G984" s="22" t="s">
        <v>432</v>
      </c>
      <c r="H984" s="11" t="str">
        <f>IFERROR(__xludf.DUMMYFUNCTION("REGEXREPLACE(G984, ""[^0-9a-zA-Z .'Ã]"","""")"),"Michael Fassbender")</f>
        <v>Michael Fassbender</v>
      </c>
      <c r="I984" s="24" t="s">
        <v>3641</v>
      </c>
      <c r="J984" s="22">
        <v>45729.0</v>
      </c>
      <c r="K984" s="22" t="s">
        <v>3642</v>
      </c>
      <c r="L984" s="22">
        <v>176.0</v>
      </c>
      <c r="M984" s="22" t="s">
        <v>24</v>
      </c>
      <c r="N984" s="22" t="s">
        <v>25</v>
      </c>
      <c r="O984" s="23">
        <v>4.7E7</v>
      </c>
      <c r="P984" s="10">
        <f t="shared" si="2"/>
        <v>0</v>
      </c>
      <c r="Q984" s="12">
        <f t="shared" si="3"/>
        <v>36460586</v>
      </c>
      <c r="R984" s="22">
        <v>2010.0</v>
      </c>
      <c r="S984" s="22">
        <v>4.7</v>
      </c>
    </row>
    <row r="985" ht="15.75" customHeight="1">
      <c r="A985" s="29" t="s">
        <v>1320</v>
      </c>
      <c r="B985" s="8" t="str">
        <f>IFERROR(__xludf.DUMMYFUNCTION("REGEXREPLACE(A985, ""[^0-9a-zA-Z .'Ã]"","""")"),"Tobe Hooper")</f>
        <v>Tobe Hooper</v>
      </c>
      <c r="C985" s="30">
        <v>223.0</v>
      </c>
      <c r="D985" s="31">
        <v>7.66E7</v>
      </c>
      <c r="E985" s="30" t="s">
        <v>1235</v>
      </c>
      <c r="F985" s="9">
        <f t="shared" si="1"/>
        <v>2</v>
      </c>
      <c r="G985" s="30" t="s">
        <v>3643</v>
      </c>
      <c r="H985" s="11" t="str">
        <f>IFERROR(__xludf.DUMMYFUNCTION("REGEXREPLACE(G985, ""[^0-9a-zA-Z .'Ã]"","""")"),"Heather O'Rourke")</f>
        <v>Heather O'Rourke</v>
      </c>
      <c r="I985" s="32" t="s">
        <v>3644</v>
      </c>
      <c r="J985" s="30">
        <v>105446.0</v>
      </c>
      <c r="K985" s="30" t="s">
        <v>3645</v>
      </c>
      <c r="L985" s="30">
        <v>321.0</v>
      </c>
      <c r="M985" s="30" t="s">
        <v>24</v>
      </c>
      <c r="N985" s="30" t="s">
        <v>25</v>
      </c>
      <c r="O985" s="31">
        <v>1.07E7</v>
      </c>
      <c r="P985" s="10">
        <f t="shared" si="2"/>
        <v>65900000</v>
      </c>
      <c r="Q985" s="12">
        <f t="shared" si="3"/>
        <v>0</v>
      </c>
      <c r="R985" s="30">
        <v>1982.0</v>
      </c>
      <c r="S985" s="30">
        <v>7.4</v>
      </c>
    </row>
    <row r="986" ht="15.75" customHeight="1">
      <c r="A986" s="7" t="s">
        <v>1523</v>
      </c>
      <c r="B986" s="8" t="str">
        <f>IFERROR(__xludf.DUMMYFUNCTION("REGEXREPLACE(A986, ""[^0-9a-zA-Z .'Ã]"","""")"),"Paul Haggis")</f>
        <v>Paul Haggis</v>
      </c>
      <c r="C986" s="9">
        <v>287.0</v>
      </c>
      <c r="D986" s="10">
        <v>5.4557348E7</v>
      </c>
      <c r="E986" s="9" t="s">
        <v>113</v>
      </c>
      <c r="F986" s="9">
        <f t="shared" si="1"/>
        <v>3</v>
      </c>
      <c r="G986" s="9" t="s">
        <v>590</v>
      </c>
      <c r="H986" s="11" t="str">
        <f>IFERROR(__xludf.DUMMYFUNCTION("REGEXREPLACE(G986, ""[^0-9a-zA-Z .'Ã]"","""")"),"Don Cheadle")</f>
        <v>Don Cheadle</v>
      </c>
      <c r="I986" s="11" t="s">
        <v>3646</v>
      </c>
      <c r="J986" s="9">
        <v>361169.0</v>
      </c>
      <c r="K986" s="9" t="s">
        <v>3647</v>
      </c>
      <c r="L986" s="9">
        <v>1624.0</v>
      </c>
      <c r="M986" s="9" t="s">
        <v>24</v>
      </c>
      <c r="N986" s="9" t="s">
        <v>173</v>
      </c>
      <c r="O986" s="10">
        <v>6500000.0</v>
      </c>
      <c r="P986" s="10">
        <f t="shared" si="2"/>
        <v>48057348</v>
      </c>
      <c r="Q986" s="12">
        <f t="shared" si="3"/>
        <v>0</v>
      </c>
      <c r="R986" s="9">
        <v>2004.0</v>
      </c>
      <c r="S986" s="9">
        <v>7.9</v>
      </c>
    </row>
    <row r="987" ht="15.75" customHeight="1">
      <c r="A987" s="13" t="s">
        <v>896</v>
      </c>
      <c r="B987" s="8" t="str">
        <f>IFERROR(__xludf.DUMMYFUNCTION("REGEXREPLACE(A987, ""[^0-9a-zA-Z .'Ã]"","""")"),"Kevin Smith")</f>
        <v>Kevin Smith</v>
      </c>
      <c r="C987" s="14">
        <v>254.0</v>
      </c>
      <c r="D987" s="15">
        <v>1821983.0</v>
      </c>
      <c r="E987" s="14" t="s">
        <v>3648</v>
      </c>
      <c r="F987" s="9">
        <f t="shared" si="1"/>
        <v>3</v>
      </c>
      <c r="G987" s="14" t="s">
        <v>85</v>
      </c>
      <c r="H987" s="11" t="str">
        <f>IFERROR(__xludf.DUMMYFUNCTION("REGEXREPLACE(G987, ""[^0-9a-zA-Z .'Ã]"","""")"),"Johnny Depp")</f>
        <v>Johnny Depp</v>
      </c>
      <c r="I987" s="16" t="s">
        <v>3649</v>
      </c>
      <c r="J987" s="14">
        <v>31089.0</v>
      </c>
      <c r="K987" s="14" t="s">
        <v>3650</v>
      </c>
      <c r="L987" s="14">
        <v>261.0</v>
      </c>
      <c r="M987" s="14" t="s">
        <v>24</v>
      </c>
      <c r="N987" s="14" t="s">
        <v>25</v>
      </c>
      <c r="O987" s="15">
        <v>3000000.0</v>
      </c>
      <c r="P987" s="10">
        <f t="shared" si="2"/>
        <v>0</v>
      </c>
      <c r="Q987" s="12">
        <f t="shared" si="3"/>
        <v>1178017</v>
      </c>
      <c r="R987" s="14">
        <v>2014.0</v>
      </c>
      <c r="S987" s="14">
        <v>5.4</v>
      </c>
    </row>
    <row r="988" ht="15.75" customHeight="1">
      <c r="A988" s="21" t="s">
        <v>3651</v>
      </c>
      <c r="B988" s="8" t="str">
        <f>IFERROR(__xludf.DUMMYFUNCTION("REGEXREPLACE(A988, ""[^0-9a-zA-Z .'Ã]"","""")"),"Uwe Boll")</f>
        <v>Uwe Boll</v>
      </c>
      <c r="C988" s="22">
        <v>140.0</v>
      </c>
      <c r="D988" s="23">
        <v>4535117.0</v>
      </c>
      <c r="E988" s="22" t="s">
        <v>3652</v>
      </c>
      <c r="F988" s="9">
        <f t="shared" si="1"/>
        <v>4</v>
      </c>
      <c r="G988" s="22" t="s">
        <v>815</v>
      </c>
      <c r="H988" s="11" t="str">
        <f>IFERROR(__xludf.DUMMYFUNCTION("REGEXREPLACE(G988, ""[^0-9a-zA-Z .'Ã]"","""")"),"Jason Statham")</f>
        <v>Jason Statham</v>
      </c>
      <c r="I988" s="24" t="s">
        <v>3653</v>
      </c>
      <c r="J988" s="22">
        <v>38398.0</v>
      </c>
      <c r="K988" s="22" t="s">
        <v>3654</v>
      </c>
      <c r="L988" s="22">
        <v>368.0</v>
      </c>
      <c r="M988" s="22" t="s">
        <v>24</v>
      </c>
      <c r="N988" s="22" t="s">
        <v>173</v>
      </c>
      <c r="O988" s="23">
        <v>6.0E7</v>
      </c>
      <c r="P988" s="10">
        <f t="shared" si="2"/>
        <v>0</v>
      </c>
      <c r="Q988" s="12">
        <f t="shared" si="3"/>
        <v>55464883</v>
      </c>
      <c r="R988" s="22">
        <v>2007.0</v>
      </c>
      <c r="S988" s="22">
        <v>3.8</v>
      </c>
    </row>
    <row r="989" ht="15.75" customHeight="1">
      <c r="A989" s="17" t="s">
        <v>147</v>
      </c>
      <c r="B989" s="8" t="str">
        <f>IFERROR(__xludf.DUMMYFUNCTION("REGEXREPLACE(A989, ""[^0-9a-zA-Z .'Ã]"","""")"),"Wes Craven")</f>
        <v>Wes Craven</v>
      </c>
      <c r="C989" s="18">
        <v>195.0</v>
      </c>
      <c r="D989" s="19">
        <v>1.01334374E8</v>
      </c>
      <c r="E989" s="18" t="s">
        <v>565</v>
      </c>
      <c r="F989" s="9">
        <f t="shared" si="1"/>
        <v>2</v>
      </c>
      <c r="G989" s="18" t="s">
        <v>3499</v>
      </c>
      <c r="H989" s="11" t="str">
        <f>IFERROR(__xludf.DUMMYFUNCTION("REGEXREPLACE(G989, ""[^0-9a-zA-Z .'Ã]"","""")"),"Omar Epps")</f>
        <v>Omar Epps</v>
      </c>
      <c r="I989" s="20" t="s">
        <v>3655</v>
      </c>
      <c r="J989" s="18">
        <v>124941.0</v>
      </c>
      <c r="K989" s="18" t="s">
        <v>3656</v>
      </c>
      <c r="L989" s="18">
        <v>488.0</v>
      </c>
      <c r="M989" s="18" t="s">
        <v>24</v>
      </c>
      <c r="N989" s="18" t="s">
        <v>25</v>
      </c>
      <c r="O989" s="19">
        <v>2.4E7</v>
      </c>
      <c r="P989" s="10">
        <f t="shared" si="2"/>
        <v>77334374</v>
      </c>
      <c r="Q989" s="12">
        <f t="shared" si="3"/>
        <v>0</v>
      </c>
      <c r="R989" s="18">
        <v>1997.0</v>
      </c>
      <c r="S989" s="18">
        <v>6.1</v>
      </c>
    </row>
    <row r="990" ht="15.75" customHeight="1">
      <c r="A990" s="25" t="s">
        <v>413</v>
      </c>
      <c r="B990" s="8" t="str">
        <f>IFERROR(__xludf.DUMMYFUNCTION("REGEXREPLACE(A990, ""[^0-9a-zA-Z .'Ã]"","""")"),"Joe Dante")</f>
        <v>Joe Dante</v>
      </c>
      <c r="C990" s="26">
        <v>100.0</v>
      </c>
      <c r="D990" s="27">
        <v>5.3955614E7</v>
      </c>
      <c r="E990" s="26" t="s">
        <v>3305</v>
      </c>
      <c r="F990" s="9">
        <f t="shared" si="1"/>
        <v>5</v>
      </c>
      <c r="G990" s="26" t="s">
        <v>951</v>
      </c>
      <c r="H990" s="11" t="str">
        <f>IFERROR(__xludf.DUMMYFUNCTION("REGEXREPLACE(G990, ""[^0-9a-zA-Z .'Ã]"","""")"),"Kirsten Dunst")</f>
        <v>Kirsten Dunst</v>
      </c>
      <c r="I990" s="28" t="s">
        <v>3657</v>
      </c>
      <c r="J990" s="26">
        <v>77415.0</v>
      </c>
      <c r="K990" s="26" t="s">
        <v>3658</v>
      </c>
      <c r="L990" s="26">
        <v>139.0</v>
      </c>
      <c r="M990" s="26" t="s">
        <v>24</v>
      </c>
      <c r="N990" s="26" t="s">
        <v>25</v>
      </c>
      <c r="O990" s="27">
        <v>4.0E7</v>
      </c>
      <c r="P990" s="10">
        <f t="shared" si="2"/>
        <v>13955614</v>
      </c>
      <c r="Q990" s="12">
        <f t="shared" si="3"/>
        <v>0</v>
      </c>
      <c r="R990" s="26">
        <v>1998.0</v>
      </c>
      <c r="S990" s="26">
        <v>6.1</v>
      </c>
    </row>
    <row r="991" ht="15.75" customHeight="1">
      <c r="A991" s="13" t="s">
        <v>335</v>
      </c>
      <c r="B991" s="8" t="str">
        <f>IFERROR(__xludf.DUMMYFUNCTION("REGEXREPLACE(A991, ""[^0-9a-zA-Z .'Ã]"","""")"),"George Clooney")</f>
        <v>George Clooney</v>
      </c>
      <c r="C991" s="14">
        <v>371.0</v>
      </c>
      <c r="D991" s="15">
        <v>7.803162E7</v>
      </c>
      <c r="E991" s="14" t="s">
        <v>679</v>
      </c>
      <c r="F991" s="9">
        <f t="shared" si="1"/>
        <v>2</v>
      </c>
      <c r="G991" s="14" t="s">
        <v>470</v>
      </c>
      <c r="H991" s="11" t="str">
        <f>IFERROR(__xludf.DUMMYFUNCTION("REGEXREPLACE(G991, ""[^0-9a-zA-Z .'Ã]"","""")"),"Bill Murray")</f>
        <v>Bill Murray</v>
      </c>
      <c r="I991" s="16" t="s">
        <v>3659</v>
      </c>
      <c r="J991" s="14">
        <v>102248.0</v>
      </c>
      <c r="K991" s="14" t="s">
        <v>3660</v>
      </c>
      <c r="L991" s="14">
        <v>403.0</v>
      </c>
      <c r="M991" s="14" t="s">
        <v>24</v>
      </c>
      <c r="N991" s="14" t="s">
        <v>25</v>
      </c>
      <c r="O991" s="15">
        <v>7.0E7</v>
      </c>
      <c r="P991" s="10">
        <f t="shared" si="2"/>
        <v>8031620</v>
      </c>
      <c r="Q991" s="12">
        <f t="shared" si="3"/>
        <v>0</v>
      </c>
      <c r="R991" s="14">
        <v>2014.0</v>
      </c>
      <c r="S991" s="14">
        <v>6.1</v>
      </c>
    </row>
    <row r="992" ht="15.75" customHeight="1">
      <c r="A992" s="7" t="s">
        <v>465</v>
      </c>
      <c r="B992" s="8" t="str">
        <f>IFERROR(__xludf.DUMMYFUNCTION("REGEXREPLACE(A992, ""[^0-9a-zA-Z .'Ã]"","""")"),"Richard Loncraine")</f>
        <v>Richard Loncraine</v>
      </c>
      <c r="C992" s="9">
        <v>56.0</v>
      </c>
      <c r="D992" s="10">
        <v>2600000.0</v>
      </c>
      <c r="E992" s="9" t="s">
        <v>679</v>
      </c>
      <c r="F992" s="9">
        <f t="shared" si="1"/>
        <v>2</v>
      </c>
      <c r="G992" s="9" t="s">
        <v>327</v>
      </c>
      <c r="H992" s="11" t="str">
        <f>IFERROR(__xludf.DUMMYFUNCTION("REGEXREPLACE(G992, ""[^0-9a-zA-Z .'Ã]"","""")"),"Robert Downey Jr.")</f>
        <v>Robert Downey Jr.</v>
      </c>
      <c r="I992" s="11" t="s">
        <v>3661</v>
      </c>
      <c r="J992" s="9">
        <v>11612.0</v>
      </c>
      <c r="K992" s="9" t="s">
        <v>3662</v>
      </c>
      <c r="L992" s="9">
        <v>88.0</v>
      </c>
      <c r="M992" s="9" t="s">
        <v>24</v>
      </c>
      <c r="N992" s="9" t="s">
        <v>130</v>
      </c>
      <c r="O992" s="10">
        <v>6000000.0</v>
      </c>
      <c r="P992" s="10">
        <f t="shared" si="2"/>
        <v>0</v>
      </c>
      <c r="Q992" s="12">
        <f t="shared" si="3"/>
        <v>3400000</v>
      </c>
      <c r="R992" s="9">
        <v>1995.0</v>
      </c>
      <c r="S992" s="9">
        <v>7.5</v>
      </c>
    </row>
    <row r="993" ht="15.75" customHeight="1">
      <c r="A993" s="21" t="s">
        <v>3663</v>
      </c>
      <c r="B993" s="8" t="str">
        <f>IFERROR(__xludf.DUMMYFUNCTION("REGEXREPLACE(A993, ""[^0-9a-zA-Z .'Ã]"","""")"),"Niki Caro")</f>
        <v>Niki Caro</v>
      </c>
      <c r="C993" s="22">
        <v>113.0</v>
      </c>
      <c r="D993" s="23">
        <v>4.4469602E7</v>
      </c>
      <c r="E993" s="22" t="s">
        <v>1124</v>
      </c>
      <c r="F993" s="9">
        <f t="shared" si="1"/>
        <v>3</v>
      </c>
      <c r="G993" s="22" t="s">
        <v>3664</v>
      </c>
      <c r="H993" s="11" t="str">
        <f>IFERROR(__xludf.DUMMYFUNCTION("REGEXREPLACE(G993, ""[^0-9a-zA-Z .'Ã]"","""")"),"Morgan Saylor")</f>
        <v>Morgan Saylor</v>
      </c>
      <c r="I993" s="24" t="s">
        <v>3665</v>
      </c>
      <c r="J993" s="22">
        <v>23480.0</v>
      </c>
      <c r="K993" s="22" t="s">
        <v>3666</v>
      </c>
      <c r="L993" s="22">
        <v>83.0</v>
      </c>
      <c r="M993" s="22" t="s">
        <v>24</v>
      </c>
      <c r="N993" s="22" t="s">
        <v>25</v>
      </c>
      <c r="O993" s="23">
        <v>1.7E7</v>
      </c>
      <c r="P993" s="10">
        <f t="shared" si="2"/>
        <v>27469602</v>
      </c>
      <c r="Q993" s="12">
        <f t="shared" si="3"/>
        <v>0</v>
      </c>
      <c r="R993" s="22">
        <v>2015.0</v>
      </c>
      <c r="S993" s="22">
        <v>7.4</v>
      </c>
    </row>
    <row r="994" ht="15.75" customHeight="1">
      <c r="A994" s="29" t="s">
        <v>3667</v>
      </c>
      <c r="B994" s="8" t="str">
        <f>IFERROR(__xludf.DUMMYFUNCTION("REGEXREPLACE(A994, ""[^0-9a-zA-Z .'Ã]"","""")"),"Fernando Meirelles")</f>
        <v>Fernando Meirelles</v>
      </c>
      <c r="C994" s="30">
        <v>229.0</v>
      </c>
      <c r="D994" s="31">
        <v>3073392.0</v>
      </c>
      <c r="E994" s="30" t="s">
        <v>1592</v>
      </c>
      <c r="F994" s="9">
        <f t="shared" si="1"/>
        <v>4</v>
      </c>
      <c r="G994" s="30" t="s">
        <v>3668</v>
      </c>
      <c r="H994" s="11" t="str">
        <f>IFERROR(__xludf.DUMMYFUNCTION("REGEXREPLACE(G994, ""[^0-9a-zA-Z .'Ã]"","""")"),"Don McKellar")</f>
        <v>Don McKellar</v>
      </c>
      <c r="I994" s="32" t="s">
        <v>3669</v>
      </c>
      <c r="J994" s="30">
        <v>59462.0</v>
      </c>
      <c r="K994" s="30" t="s">
        <v>3670</v>
      </c>
      <c r="L994" s="30">
        <v>300.0</v>
      </c>
      <c r="M994" s="30" t="s">
        <v>24</v>
      </c>
      <c r="N994" s="30" t="s">
        <v>624</v>
      </c>
      <c r="O994" s="31">
        <v>2.5E7</v>
      </c>
      <c r="P994" s="10">
        <f t="shared" si="2"/>
        <v>0</v>
      </c>
      <c r="Q994" s="12">
        <f t="shared" si="3"/>
        <v>21926608</v>
      </c>
      <c r="R994" s="30">
        <v>2008.0</v>
      </c>
      <c r="S994" s="30">
        <v>6.6</v>
      </c>
    </row>
    <row r="995" ht="15.75" customHeight="1">
      <c r="A995" s="21" t="s">
        <v>2023</v>
      </c>
      <c r="B995" s="8" t="str">
        <f>IFERROR(__xludf.DUMMYFUNCTION("REGEXREPLACE(A995, ""[^0-9a-zA-Z .'Ã]"","""")"),"John Waters")</f>
        <v>John Waters</v>
      </c>
      <c r="C995" s="22">
        <v>52.0</v>
      </c>
      <c r="D995" s="23">
        <v>7881335.0</v>
      </c>
      <c r="E995" s="22" t="s">
        <v>589</v>
      </c>
      <c r="F995" s="9">
        <f t="shared" si="1"/>
        <v>3</v>
      </c>
      <c r="G995" s="22" t="s">
        <v>3671</v>
      </c>
      <c r="H995" s="11" t="str">
        <f>IFERROR(__xludf.DUMMYFUNCTION("REGEXREPLACE(G995, ""[^0-9a-zA-Z .'Ã]"","""")"),"Kathleen Turner")</f>
        <v>Kathleen Turner</v>
      </c>
      <c r="I995" s="24" t="s">
        <v>3672</v>
      </c>
      <c r="J995" s="22">
        <v>21212.0</v>
      </c>
      <c r="K995" s="22" t="s">
        <v>3673</v>
      </c>
      <c r="L995" s="22">
        <v>107.0</v>
      </c>
      <c r="M995" s="22" t="s">
        <v>24</v>
      </c>
      <c r="N995" s="22" t="s">
        <v>25</v>
      </c>
      <c r="O995" s="23">
        <v>1.3E7</v>
      </c>
      <c r="P995" s="10">
        <f t="shared" si="2"/>
        <v>0</v>
      </c>
      <c r="Q995" s="12">
        <f t="shared" si="3"/>
        <v>5118665</v>
      </c>
      <c r="R995" s="22">
        <v>1994.0</v>
      </c>
      <c r="S995" s="22">
        <v>6.7</v>
      </c>
    </row>
    <row r="996" ht="15.75" customHeight="1">
      <c r="A996" s="17" t="s">
        <v>3674</v>
      </c>
      <c r="B996" s="8" t="str">
        <f>IFERROR(__xludf.DUMMYFUNCTION("REGEXREPLACE(A996, ""[^0-9a-zA-Z .'Ã]"","""")"),"Michael Tiddes")</f>
        <v>Michael Tiddes</v>
      </c>
      <c r="C996" s="18">
        <v>129.0</v>
      </c>
      <c r="D996" s="19">
        <v>4.0041683E7</v>
      </c>
      <c r="E996" s="18" t="s">
        <v>615</v>
      </c>
      <c r="F996" s="9">
        <f t="shared" si="1"/>
        <v>2</v>
      </c>
      <c r="G996" s="18" t="s">
        <v>3675</v>
      </c>
      <c r="H996" s="11" t="str">
        <f>IFERROR(__xludf.DUMMYFUNCTION("REGEXREPLACE(G996, ""[^0-9a-zA-Z .'Ã]"","""")"),"Essence Atkins")</f>
        <v>Essence Atkins</v>
      </c>
      <c r="I996" s="20" t="s">
        <v>3676</v>
      </c>
      <c r="J996" s="18">
        <v>34620.0</v>
      </c>
      <c r="K996" s="18" t="s">
        <v>3677</v>
      </c>
      <c r="L996" s="18">
        <v>107.0</v>
      </c>
      <c r="M996" s="18" t="s">
        <v>24</v>
      </c>
      <c r="N996" s="18" t="s">
        <v>25</v>
      </c>
      <c r="O996" s="19">
        <v>2500000.0</v>
      </c>
      <c r="P996" s="10">
        <f t="shared" si="2"/>
        <v>37541683</v>
      </c>
      <c r="Q996" s="12">
        <f t="shared" si="3"/>
        <v>0</v>
      </c>
      <c r="R996" s="18">
        <v>2013.0</v>
      </c>
      <c r="S996" s="18">
        <v>5.1</v>
      </c>
    </row>
    <row r="997" ht="15.75" customHeight="1">
      <c r="A997" s="29" t="s">
        <v>2467</v>
      </c>
      <c r="B997" s="8" t="str">
        <f>IFERROR(__xludf.DUMMYFUNCTION("REGEXREPLACE(A997, ""[^0-9a-zA-Z .'Ã]"","""")"),"Richard Lester")</f>
        <v>Richard Lester</v>
      </c>
      <c r="C997" s="30">
        <v>121.0</v>
      </c>
      <c r="D997" s="31">
        <v>1.082E8</v>
      </c>
      <c r="E997" s="30" t="s">
        <v>3678</v>
      </c>
      <c r="F997" s="9">
        <f t="shared" si="1"/>
        <v>4</v>
      </c>
      <c r="G997" s="30" t="s">
        <v>3679</v>
      </c>
      <c r="H997" s="11" t="str">
        <f>IFERROR(__xludf.DUMMYFUNCTION("REGEXREPLACE(G997, ""[^0-9a-zA-Z .'Ã]"","""")"),"Margot Kidder")</f>
        <v>Margot Kidder</v>
      </c>
      <c r="I997" s="32" t="s">
        <v>3680</v>
      </c>
      <c r="J997" s="30">
        <v>76331.0</v>
      </c>
      <c r="K997" s="30" t="s">
        <v>3681</v>
      </c>
      <c r="L997" s="30">
        <v>269.0</v>
      </c>
      <c r="M997" s="30" t="s">
        <v>24</v>
      </c>
      <c r="N997" s="30" t="s">
        <v>25</v>
      </c>
      <c r="O997" s="31">
        <v>5.4E7</v>
      </c>
      <c r="P997" s="10">
        <f t="shared" si="2"/>
        <v>54200000</v>
      </c>
      <c r="Q997" s="12">
        <f t="shared" si="3"/>
        <v>0</v>
      </c>
      <c r="R997" s="30">
        <v>1980.0</v>
      </c>
      <c r="S997" s="30">
        <v>6.8</v>
      </c>
    </row>
    <row r="998" ht="15.75" customHeight="1">
      <c r="A998" s="7" t="s">
        <v>3682</v>
      </c>
      <c r="B998" s="8" t="str">
        <f>IFERROR(__xludf.DUMMYFUNCTION("REGEXREPLACE(A998, ""[^0-9a-zA-Z .'Ã]"","""")"),"Benedikt Erlingsson")</f>
        <v>Benedikt Erlingsson</v>
      </c>
      <c r="C998" s="9">
        <v>66.0</v>
      </c>
      <c r="D998" s="10">
        <v>11835.0</v>
      </c>
      <c r="E998" s="9" t="s">
        <v>159</v>
      </c>
      <c r="F998" s="9">
        <f t="shared" si="1"/>
        <v>3</v>
      </c>
      <c r="G998" s="9" t="s">
        <v>3683</v>
      </c>
      <c r="H998" s="11" t="str">
        <f>IFERROR(__xludf.DUMMYFUNCTION("REGEXREPLACE(G998, ""[^0-9a-zA-Z .'Ã]"","""")"),"Ingvar Eggert SigurÃsson")</f>
        <v>Ingvar Eggert SigurÃsson</v>
      </c>
      <c r="I998" s="11" t="s">
        <v>3684</v>
      </c>
      <c r="J998" s="9">
        <v>1920.0</v>
      </c>
      <c r="K998" s="9" t="s">
        <v>3685</v>
      </c>
      <c r="L998" s="9">
        <v>7.0</v>
      </c>
      <c r="M998" s="9" t="s">
        <v>3686</v>
      </c>
      <c r="N998" s="9" t="s">
        <v>3233</v>
      </c>
      <c r="O998" s="10">
        <v>1.0E7</v>
      </c>
      <c r="P998" s="10">
        <f t="shared" si="2"/>
        <v>0</v>
      </c>
      <c r="Q998" s="12">
        <f t="shared" si="3"/>
        <v>9988165</v>
      </c>
      <c r="R998" s="9">
        <v>2013.0</v>
      </c>
      <c r="S998" s="9">
        <v>6.9</v>
      </c>
    </row>
    <row r="999" ht="15.75" customHeight="1">
      <c r="A999" s="13" t="s">
        <v>3687</v>
      </c>
      <c r="B999" s="8" t="str">
        <f>IFERROR(__xludf.DUMMYFUNCTION("REGEXREPLACE(A999, ""[^0-9a-zA-Z .'Ã]"","""")"),"Ben Falcone")</f>
        <v>Ben Falcone</v>
      </c>
      <c r="C999" s="14">
        <v>148.0</v>
      </c>
      <c r="D999" s="15">
        <v>8.4518155E7</v>
      </c>
      <c r="E999" s="14" t="s">
        <v>137</v>
      </c>
      <c r="F999" s="9">
        <f t="shared" si="1"/>
        <v>1</v>
      </c>
      <c r="G999" s="14" t="s">
        <v>3688</v>
      </c>
      <c r="H999" s="11" t="str">
        <f>IFERROR(__xludf.DUMMYFUNCTION("REGEXREPLACE(G999, ""[^0-9a-zA-Z .'Ã]"","""")"),"Gary Cole")</f>
        <v>Gary Cole</v>
      </c>
      <c r="I999" s="16" t="s">
        <v>3689</v>
      </c>
      <c r="J999" s="14">
        <v>35965.0</v>
      </c>
      <c r="K999" s="14" t="s">
        <v>3690</v>
      </c>
      <c r="L999" s="14">
        <v>144.0</v>
      </c>
      <c r="M999" s="14" t="s">
        <v>24</v>
      </c>
      <c r="N999" s="14" t="s">
        <v>25</v>
      </c>
      <c r="O999" s="15">
        <v>2.0E7</v>
      </c>
      <c r="P999" s="10">
        <f t="shared" si="2"/>
        <v>64518155</v>
      </c>
      <c r="Q999" s="12">
        <f t="shared" si="3"/>
        <v>0</v>
      </c>
      <c r="R999" s="14">
        <v>2014.0</v>
      </c>
      <c r="S999" s="14">
        <v>4.9</v>
      </c>
    </row>
    <row r="1000" ht="15.75" customHeight="1">
      <c r="A1000" s="17" t="s">
        <v>3691</v>
      </c>
      <c r="B1000" s="8" t="str">
        <f>IFERROR(__xludf.DUMMYFUNCTION("REGEXREPLACE(A1000, ""[^0-9a-zA-Z .'Ã]"","""")"),"Mark Dindal")</f>
        <v>Mark Dindal</v>
      </c>
      <c r="C1000" s="18">
        <v>141.0</v>
      </c>
      <c r="D1000" s="19">
        <v>8.9296573E7</v>
      </c>
      <c r="E1000" s="18" t="s">
        <v>301</v>
      </c>
      <c r="F1000" s="9">
        <f t="shared" si="1"/>
        <v>5</v>
      </c>
      <c r="G1000" s="18" t="s">
        <v>3692</v>
      </c>
      <c r="H1000" s="11" t="str">
        <f>IFERROR(__xludf.DUMMYFUNCTION("REGEXREPLACE(G1000, ""[^0-9a-zA-Z .'Ã]"","""")"),"Eartha Kitt")</f>
        <v>Eartha Kitt</v>
      </c>
      <c r="I1000" s="20" t="s">
        <v>3693</v>
      </c>
      <c r="J1000" s="18">
        <v>128285.0</v>
      </c>
      <c r="K1000" s="18" t="s">
        <v>3694</v>
      </c>
      <c r="L1000" s="18">
        <v>297.0</v>
      </c>
      <c r="M1000" s="18" t="s">
        <v>24</v>
      </c>
      <c r="N1000" s="18" t="s">
        <v>25</v>
      </c>
      <c r="O1000" s="19">
        <v>1.0E8</v>
      </c>
      <c r="P1000" s="10">
        <f t="shared" si="2"/>
        <v>0</v>
      </c>
      <c r="Q1000" s="12">
        <f t="shared" si="3"/>
        <v>10703427</v>
      </c>
      <c r="R1000" s="18">
        <v>2000.0</v>
      </c>
      <c r="S1000" s="18">
        <v>7.3</v>
      </c>
    </row>
    <row r="1001" ht="15.75" customHeight="1">
      <c r="A1001" s="7" t="s">
        <v>2623</v>
      </c>
      <c r="B1001" s="8" t="str">
        <f>IFERROR(__xludf.DUMMYFUNCTION("REGEXREPLACE(A1001, ""[^0-9a-zA-Z .'Ã]"","""")"),"Alex Proyas")</f>
        <v>Alex Proyas</v>
      </c>
      <c r="C1001" s="9">
        <v>279.0</v>
      </c>
      <c r="D1001" s="10">
        <v>7.9948113E7</v>
      </c>
      <c r="E1001" s="9" t="s">
        <v>1592</v>
      </c>
      <c r="F1001" s="9">
        <f t="shared" si="1"/>
        <v>4</v>
      </c>
      <c r="G1001" s="9" t="s">
        <v>458</v>
      </c>
      <c r="H1001" s="11" t="str">
        <f>IFERROR(__xludf.DUMMYFUNCTION("REGEXREPLACE(G1001, ""[^0-9a-zA-Z .'Ã]"","""")"),"Nicolas Cage")</f>
        <v>Nicolas Cage</v>
      </c>
      <c r="I1001" s="11" t="s">
        <v>3695</v>
      </c>
      <c r="J1001" s="9">
        <v>186879.0</v>
      </c>
      <c r="K1001" s="9" t="s">
        <v>3696</v>
      </c>
      <c r="L1001" s="9">
        <v>791.0</v>
      </c>
      <c r="M1001" s="9" t="s">
        <v>24</v>
      </c>
      <c r="N1001" s="9" t="s">
        <v>25</v>
      </c>
      <c r="O1001" s="10">
        <v>5.0E7</v>
      </c>
      <c r="P1001" s="10">
        <f t="shared" si="2"/>
        <v>29948113</v>
      </c>
      <c r="Q1001" s="12">
        <f t="shared" si="3"/>
        <v>0</v>
      </c>
      <c r="R1001" s="9">
        <v>2009.0</v>
      </c>
      <c r="S1001" s="9">
        <v>6.2</v>
      </c>
    </row>
    <row r="1002" ht="15.75" customHeight="1">
      <c r="A1002" s="7" t="s">
        <v>552</v>
      </c>
      <c r="B1002" s="8" t="str">
        <f>IFERROR(__xludf.DUMMYFUNCTION("REGEXREPLACE(A1002, ""[^0-9a-zA-Z .'Ã]"","""")"),"Cameron Crowe")</f>
        <v>Cameron Crowe</v>
      </c>
      <c r="C1002" s="9">
        <v>109.0</v>
      </c>
      <c r="D1002" s="10">
        <v>1.53620822E8</v>
      </c>
      <c r="E1002" s="9" t="s">
        <v>1038</v>
      </c>
      <c r="F1002" s="9">
        <f t="shared" si="1"/>
        <v>4</v>
      </c>
      <c r="G1002" s="9" t="s">
        <v>220</v>
      </c>
      <c r="H1002" s="11" t="str">
        <f>IFERROR(__xludf.DUMMYFUNCTION("REGEXREPLACE(G1002, ""[^0-9a-zA-Z .'Ã]"","""")"),"Tom Cruise")</f>
        <v>Tom Cruise</v>
      </c>
      <c r="I1002" s="11" t="s">
        <v>3697</v>
      </c>
      <c r="J1002" s="9">
        <v>189923.0</v>
      </c>
      <c r="K1002" s="9" t="s">
        <v>3698</v>
      </c>
      <c r="L1002" s="9">
        <v>318.0</v>
      </c>
      <c r="M1002" s="9" t="s">
        <v>24</v>
      </c>
      <c r="N1002" s="9" t="s">
        <v>25</v>
      </c>
      <c r="O1002" s="10">
        <v>5.0E7</v>
      </c>
      <c r="P1002" s="10">
        <f t="shared" si="2"/>
        <v>103620822</v>
      </c>
      <c r="Q1002" s="12">
        <f t="shared" si="3"/>
        <v>0</v>
      </c>
      <c r="R1002" s="9">
        <v>1996.0</v>
      </c>
      <c r="S1002" s="9">
        <v>7.3</v>
      </c>
    </row>
    <row r="1003" ht="15.75" customHeight="1">
      <c r="A1003" s="25" t="s">
        <v>3699</v>
      </c>
      <c r="B1003" s="8" t="str">
        <f>IFERROR(__xludf.DUMMYFUNCTION("REGEXREPLACE(A1003, ""[^0-9a-zA-Z .'Ã]"","""")"),"Jake Paltrow")</f>
        <v>Jake Paltrow</v>
      </c>
      <c r="C1003" s="26">
        <v>50.0</v>
      </c>
      <c r="D1003" s="27">
        <v>20380.0</v>
      </c>
      <c r="E1003" s="26" t="s">
        <v>3700</v>
      </c>
      <c r="F1003" s="9">
        <f t="shared" si="1"/>
        <v>5</v>
      </c>
      <c r="G1003" s="26" t="s">
        <v>3701</v>
      </c>
      <c r="H1003" s="11" t="str">
        <f>IFERROR(__xludf.DUMMYFUNCTION("REGEXREPLACE(G1003, ""[^0-9a-zA-Z .'Ã]"","""")"),"Stephen Graham")</f>
        <v>Stephen Graham</v>
      </c>
      <c r="I1003" s="28" t="s">
        <v>3702</v>
      </c>
      <c r="J1003" s="26">
        <v>7519.0</v>
      </c>
      <c r="K1003" s="26" t="s">
        <v>3703</v>
      </c>
      <c r="L1003" s="26">
        <v>39.0</v>
      </c>
      <c r="M1003" s="26" t="s">
        <v>24</v>
      </c>
      <c r="N1003" s="26" t="s">
        <v>25</v>
      </c>
      <c r="O1003" s="27">
        <v>1.5E7</v>
      </c>
      <c r="P1003" s="10">
        <f t="shared" si="2"/>
        <v>0</v>
      </c>
      <c r="Q1003" s="12">
        <f t="shared" si="3"/>
        <v>14979620</v>
      </c>
      <c r="R1003" s="26">
        <v>2007.0</v>
      </c>
      <c r="S1003" s="26">
        <v>5.9</v>
      </c>
    </row>
    <row r="1004" ht="15.75" customHeight="1">
      <c r="A1004" s="17" t="s">
        <v>3704</v>
      </c>
      <c r="B1004" s="8" t="str">
        <f>IFERROR(__xludf.DUMMYFUNCTION("REGEXREPLACE(A1004, ""[^0-9a-zA-Z .'Ã]"","""")"),"Damien Chazelle")</f>
        <v>Damien Chazelle</v>
      </c>
      <c r="C1004" s="18">
        <v>535.0</v>
      </c>
      <c r="D1004" s="19">
        <v>1.3092E7</v>
      </c>
      <c r="E1004" s="18" t="s">
        <v>418</v>
      </c>
      <c r="F1004" s="9">
        <f t="shared" si="1"/>
        <v>2</v>
      </c>
      <c r="G1004" s="18" t="s">
        <v>878</v>
      </c>
      <c r="H1004" s="11" t="str">
        <f>IFERROR(__xludf.DUMMYFUNCTION("REGEXREPLACE(G1004, ""[^0-9a-zA-Z .'Ã]"","""")"),"J.K. Simmons")</f>
        <v>J.K. Simmons</v>
      </c>
      <c r="I1004" s="20" t="s">
        <v>3705</v>
      </c>
      <c r="J1004" s="18">
        <v>399138.0</v>
      </c>
      <c r="K1004" s="18" t="s">
        <v>3706</v>
      </c>
      <c r="L1004" s="18">
        <v>731.0</v>
      </c>
      <c r="M1004" s="18" t="s">
        <v>24</v>
      </c>
      <c r="N1004" s="18" t="s">
        <v>25</v>
      </c>
      <c r="O1004" s="19">
        <v>3300000.0</v>
      </c>
      <c r="P1004" s="10">
        <f t="shared" si="2"/>
        <v>9792000</v>
      </c>
      <c r="Q1004" s="12">
        <f t="shared" si="3"/>
        <v>0</v>
      </c>
      <c r="R1004" s="18">
        <v>2014.0</v>
      </c>
      <c r="S1004" s="18">
        <v>8.5</v>
      </c>
    </row>
    <row r="1005" ht="15.75" customHeight="1">
      <c r="A1005" s="7" t="s">
        <v>3707</v>
      </c>
      <c r="B1005" s="8" t="str">
        <f>IFERROR(__xludf.DUMMYFUNCTION("REGEXREPLACE(A1005, ""[^0-9a-zA-Z .'Ã]"","""")"),"Eli Roth")</f>
        <v>Eli Roth</v>
      </c>
      <c r="C1005" s="9">
        <v>252.0</v>
      </c>
      <c r="D1005" s="10">
        <v>1.7544812E7</v>
      </c>
      <c r="E1005" s="9" t="s">
        <v>148</v>
      </c>
      <c r="F1005" s="9">
        <f t="shared" si="1"/>
        <v>1</v>
      </c>
      <c r="G1005" s="9" t="s">
        <v>3708</v>
      </c>
      <c r="H1005" s="11" t="str">
        <f>IFERROR(__xludf.DUMMYFUNCTION("REGEXREPLACE(G1005, ""[^0-9a-zA-Z .'Ã]"","""")"),"Jay Hernandez")</f>
        <v>Jay Hernandez</v>
      </c>
      <c r="I1005" s="11" t="s">
        <v>3709</v>
      </c>
      <c r="J1005" s="9">
        <v>69989.0</v>
      </c>
      <c r="K1005" s="9" t="s">
        <v>3710</v>
      </c>
      <c r="L1005" s="9">
        <v>384.0</v>
      </c>
      <c r="M1005" s="9" t="s">
        <v>24</v>
      </c>
      <c r="N1005" s="9" t="s">
        <v>25</v>
      </c>
      <c r="O1005" s="10">
        <v>1.0E7</v>
      </c>
      <c r="P1005" s="10">
        <f t="shared" si="2"/>
        <v>7544812</v>
      </c>
      <c r="Q1005" s="12">
        <f t="shared" si="3"/>
        <v>0</v>
      </c>
      <c r="R1005" s="9">
        <v>2007.0</v>
      </c>
      <c r="S1005" s="9">
        <v>5.4</v>
      </c>
    </row>
    <row r="1006" ht="15.75" customHeight="1">
      <c r="A1006" s="17" t="s">
        <v>3711</v>
      </c>
      <c r="B1006" s="8" t="str">
        <f>IFERROR(__xludf.DUMMYFUNCTION("REGEXREPLACE(A1006, ""[^0-9a-zA-Z .'Ã]"","""")"),"Martin Brest")</f>
        <v>Martin Brest</v>
      </c>
      <c r="C1006" s="18">
        <v>98.0</v>
      </c>
      <c r="D1006" s="19">
        <v>4.4606335E7</v>
      </c>
      <c r="E1006" s="18" t="s">
        <v>3253</v>
      </c>
      <c r="F1006" s="9">
        <f t="shared" si="1"/>
        <v>3</v>
      </c>
      <c r="G1006" s="18" t="s">
        <v>237</v>
      </c>
      <c r="H1006" s="11" t="str">
        <f>IFERROR(__xludf.DUMMYFUNCTION("REGEXREPLACE(G1006, ""[^0-9a-zA-Z .'Ã]"","""")"),"Anthony Hopkins")</f>
        <v>Anthony Hopkins</v>
      </c>
      <c r="I1006" s="20" t="s">
        <v>3712</v>
      </c>
      <c r="J1006" s="18">
        <v>169023.0</v>
      </c>
      <c r="K1006" s="18" t="s">
        <v>3713</v>
      </c>
      <c r="L1006" s="18">
        <v>703.0</v>
      </c>
      <c r="M1006" s="18" t="s">
        <v>24</v>
      </c>
      <c r="N1006" s="18" t="s">
        <v>25</v>
      </c>
      <c r="O1006" s="19">
        <v>9.0E7</v>
      </c>
      <c r="P1006" s="10">
        <f t="shared" si="2"/>
        <v>0</v>
      </c>
      <c r="Q1006" s="12">
        <f t="shared" si="3"/>
        <v>45393665</v>
      </c>
      <c r="R1006" s="18">
        <v>1998.0</v>
      </c>
      <c r="S1006" s="18">
        <v>7.1</v>
      </c>
    </row>
    <row r="1007" ht="15.75" customHeight="1">
      <c r="A1007" s="7" t="s">
        <v>2356</v>
      </c>
      <c r="B1007" s="8" t="str">
        <f>IFERROR(__xludf.DUMMYFUNCTION("REGEXREPLACE(A1007, ""[^0-9a-zA-Z .'Ã]"","""")"),"Robert Schwentke")</f>
        <v>Robert Schwentke</v>
      </c>
      <c r="C1007" s="9">
        <v>263.0</v>
      </c>
      <c r="D1007" s="10">
        <v>1.29995817E8</v>
      </c>
      <c r="E1007" s="9" t="s">
        <v>1317</v>
      </c>
      <c r="F1007" s="9">
        <f t="shared" si="1"/>
        <v>3</v>
      </c>
      <c r="G1007" s="9" t="s">
        <v>777</v>
      </c>
      <c r="H1007" s="11" t="str">
        <f>IFERROR(__xludf.DUMMYFUNCTION("REGEXREPLACE(G1007, ""[^0-9a-zA-Z .'Ã]"","""")"),"Kate Winslet")</f>
        <v>Kate Winslet</v>
      </c>
      <c r="I1007" s="11" t="s">
        <v>3714</v>
      </c>
      <c r="J1007" s="9">
        <v>154621.0</v>
      </c>
      <c r="K1007" s="9" t="s">
        <v>3715</v>
      </c>
      <c r="L1007" s="9">
        <v>258.0</v>
      </c>
      <c r="M1007" s="9" t="s">
        <v>24</v>
      </c>
      <c r="N1007" s="9" t="s">
        <v>25</v>
      </c>
      <c r="O1007" s="10">
        <v>1.1E8</v>
      </c>
      <c r="P1007" s="10">
        <f t="shared" si="2"/>
        <v>19995817</v>
      </c>
      <c r="Q1007" s="12">
        <f t="shared" si="3"/>
        <v>0</v>
      </c>
      <c r="R1007" s="9">
        <v>2015.0</v>
      </c>
      <c r="S1007" s="9">
        <v>6.3</v>
      </c>
    </row>
    <row r="1008" ht="15.75" customHeight="1">
      <c r="A1008" s="21" t="s">
        <v>3716</v>
      </c>
      <c r="B1008" s="8" t="str">
        <f>IFERROR(__xludf.DUMMYFUNCTION("REGEXREPLACE(A1008, ""[^0-9a-zA-Z .'Ã]"","""")"),"Miguel Arteta")</f>
        <v>Miguel Arteta</v>
      </c>
      <c r="C1008" s="22">
        <v>119.0</v>
      </c>
      <c r="D1008" s="23">
        <v>6.6950483E7</v>
      </c>
      <c r="E1008" s="22" t="s">
        <v>857</v>
      </c>
      <c r="F1008" s="9">
        <f t="shared" si="1"/>
        <v>2</v>
      </c>
      <c r="G1008" s="22" t="s">
        <v>2548</v>
      </c>
      <c r="H1008" s="11" t="str">
        <f>IFERROR(__xludf.DUMMYFUNCTION("REGEXREPLACE(G1008, ""[^0-9a-zA-Z .'Ã]"","""")"),"Bella Thorne")</f>
        <v>Bella Thorne</v>
      </c>
      <c r="I1008" s="24" t="s">
        <v>3717</v>
      </c>
      <c r="J1008" s="22">
        <v>29738.0</v>
      </c>
      <c r="K1008" s="22" t="s">
        <v>3718</v>
      </c>
      <c r="L1008" s="22">
        <v>85.0</v>
      </c>
      <c r="M1008" s="22" t="s">
        <v>24</v>
      </c>
      <c r="N1008" s="22" t="s">
        <v>25</v>
      </c>
      <c r="O1008" s="23">
        <v>2.8E7</v>
      </c>
      <c r="P1008" s="10">
        <f t="shared" si="2"/>
        <v>38950483</v>
      </c>
      <c r="Q1008" s="12">
        <f t="shared" si="3"/>
        <v>0</v>
      </c>
      <c r="R1008" s="22">
        <v>2014.0</v>
      </c>
      <c r="S1008" s="22">
        <v>6.2</v>
      </c>
    </row>
    <row r="1009" ht="15.75" customHeight="1">
      <c r="A1009" s="17" t="s">
        <v>3719</v>
      </c>
      <c r="B1009" s="8" t="str">
        <f>IFERROR(__xludf.DUMMYFUNCTION("REGEXREPLACE(A1009, ""[^0-9a-zA-Z .'Ã]"","""")"),"Francesca Gregorini")</f>
        <v>Francesca Gregorini</v>
      </c>
      <c r="C1009" s="18">
        <v>21.0</v>
      </c>
      <c r="D1009" s="19">
        <v>5005.0</v>
      </c>
      <c r="E1009" s="18" t="s">
        <v>103</v>
      </c>
      <c r="F1009" s="9">
        <f t="shared" si="1"/>
        <v>1</v>
      </c>
      <c r="G1009" s="18" t="s">
        <v>3720</v>
      </c>
      <c r="H1009" s="11" t="str">
        <f>IFERROR(__xludf.DUMMYFUNCTION("REGEXREPLACE(G1009, ""[^0-9a-zA-Z .'Ã]"","""")"),"Tom Everett Scott")</f>
        <v>Tom Everett Scott</v>
      </c>
      <c r="I1009" s="20" t="s">
        <v>3721</v>
      </c>
      <c r="J1009" s="18">
        <v>2280.0</v>
      </c>
      <c r="K1009" s="18" t="s">
        <v>3722</v>
      </c>
      <c r="L1009" s="18">
        <v>14.0</v>
      </c>
      <c r="M1009" s="18" t="s">
        <v>24</v>
      </c>
      <c r="N1009" s="18" t="s">
        <v>25</v>
      </c>
      <c r="O1009" s="19">
        <v>3000000.0</v>
      </c>
      <c r="P1009" s="10">
        <f t="shared" si="2"/>
        <v>0</v>
      </c>
      <c r="Q1009" s="12">
        <f t="shared" si="3"/>
        <v>2994995</v>
      </c>
      <c r="R1009" s="18">
        <v>2009.0</v>
      </c>
      <c r="S1009" s="18">
        <v>5.9</v>
      </c>
    </row>
    <row r="1010" ht="15.75" customHeight="1">
      <c r="A1010" s="7" t="s">
        <v>3723</v>
      </c>
      <c r="B1010" s="8" t="str">
        <f>IFERROR(__xludf.DUMMYFUNCTION("REGEXREPLACE(A1010, ""[^0-9a-zA-Z .'Ã]"","""")"),"Carroll Ballard")</f>
        <v>Carroll Ballard</v>
      </c>
      <c r="C1010" s="9">
        <v>38.0</v>
      </c>
      <c r="D1010" s="10">
        <v>860002.0</v>
      </c>
      <c r="E1010" s="9" t="s">
        <v>1676</v>
      </c>
      <c r="F1010" s="9">
        <f t="shared" si="1"/>
        <v>3</v>
      </c>
      <c r="G1010" s="9" t="s">
        <v>3724</v>
      </c>
      <c r="H1010" s="11" t="str">
        <f>IFERROR(__xludf.DUMMYFUNCTION("REGEXREPLACE(G1010, ""[^0-9a-zA-Z .'Ã]"","""")"),"Eamonn Walker")</f>
        <v>Eamonn Walker</v>
      </c>
      <c r="I1010" s="11" t="s">
        <v>3725</v>
      </c>
      <c r="J1010" s="9">
        <v>6454.0</v>
      </c>
      <c r="K1010" s="9" t="s">
        <v>3726</v>
      </c>
      <c r="L1010" s="9">
        <v>43.0</v>
      </c>
      <c r="M1010" s="9" t="s">
        <v>24</v>
      </c>
      <c r="N1010" s="9" t="s">
        <v>25</v>
      </c>
      <c r="O1010" s="10">
        <v>1.2E7</v>
      </c>
      <c r="P1010" s="10">
        <f t="shared" si="2"/>
        <v>0</v>
      </c>
      <c r="Q1010" s="12">
        <f t="shared" si="3"/>
        <v>11139998</v>
      </c>
      <c r="R1010" s="9">
        <v>2005.0</v>
      </c>
      <c r="S1010" s="9">
        <v>7.3</v>
      </c>
    </row>
    <row r="1011" ht="15.75" customHeight="1">
      <c r="A1011" s="7" t="s">
        <v>3727</v>
      </c>
      <c r="B1011" s="8" t="str">
        <f>IFERROR(__xludf.DUMMYFUNCTION("REGEXREPLACE(A1011, ""[^0-9a-zA-Z .'Ã]"","""")"),"Andrew Douglas")</f>
        <v>Andrew Douglas</v>
      </c>
      <c r="C1011" s="9">
        <v>220.0</v>
      </c>
      <c r="D1011" s="10">
        <v>6.4255243E7</v>
      </c>
      <c r="E1011" s="9" t="s">
        <v>2384</v>
      </c>
      <c r="F1011" s="9">
        <f t="shared" si="1"/>
        <v>4</v>
      </c>
      <c r="G1011" s="9" t="s">
        <v>466</v>
      </c>
      <c r="H1011" s="11" t="str">
        <f>IFERROR(__xludf.DUMMYFUNCTION("REGEXREPLACE(G1011, ""[^0-9a-zA-Z .'Ã]"","""")"),"Jimmy Bennett")</f>
        <v>Jimmy Bennett</v>
      </c>
      <c r="I1011" s="11" t="s">
        <v>3728</v>
      </c>
      <c r="J1011" s="9">
        <v>80903.0</v>
      </c>
      <c r="K1011" s="9" t="s">
        <v>3729</v>
      </c>
      <c r="L1011" s="9">
        <v>518.0</v>
      </c>
      <c r="M1011" s="9" t="s">
        <v>24</v>
      </c>
      <c r="N1011" s="9" t="s">
        <v>25</v>
      </c>
      <c r="O1011" s="10">
        <v>1.9E7</v>
      </c>
      <c r="P1011" s="10">
        <f t="shared" si="2"/>
        <v>45255243</v>
      </c>
      <c r="Q1011" s="12">
        <f t="shared" si="3"/>
        <v>0</v>
      </c>
      <c r="R1011" s="9">
        <v>2005.0</v>
      </c>
      <c r="S1011" s="9">
        <v>6.0</v>
      </c>
    </row>
    <row r="1012" ht="15.75" customHeight="1">
      <c r="A1012" s="13" t="s">
        <v>3730</v>
      </c>
      <c r="B1012" s="8" t="str">
        <f>IFERROR(__xludf.DUMMYFUNCTION("REGEXREPLACE(A1012, ""[^0-9a-zA-Z .'Ã]"","""")"),"Kevin Donovan")</f>
        <v>Kevin Donovan</v>
      </c>
      <c r="C1012" s="14">
        <v>81.0</v>
      </c>
      <c r="D1012" s="15">
        <v>5.0189179E7</v>
      </c>
      <c r="E1012" s="14" t="s">
        <v>1704</v>
      </c>
      <c r="F1012" s="9">
        <f t="shared" si="1"/>
        <v>3</v>
      </c>
      <c r="G1012" s="14" t="s">
        <v>3731</v>
      </c>
      <c r="H1012" s="11" t="str">
        <f>IFERROR(__xludf.DUMMYFUNCTION("REGEXREPLACE(G1012, ""[^0-9a-zA-Z .'Ã]"","""")"),"Romany Malco")</f>
        <v>Romany Malco</v>
      </c>
      <c r="I1012" s="16" t="s">
        <v>3732</v>
      </c>
      <c r="J1012" s="14">
        <v>61966.0</v>
      </c>
      <c r="K1012" s="14" t="s">
        <v>3733</v>
      </c>
      <c r="L1012" s="14">
        <v>207.0</v>
      </c>
      <c r="M1012" s="14" t="s">
        <v>24</v>
      </c>
      <c r="N1012" s="14" t="s">
        <v>25</v>
      </c>
      <c r="O1012" s="15">
        <v>6.0E7</v>
      </c>
      <c r="P1012" s="10">
        <f t="shared" si="2"/>
        <v>0</v>
      </c>
      <c r="Q1012" s="12">
        <f t="shared" si="3"/>
        <v>9810821</v>
      </c>
      <c r="R1012" s="14">
        <v>2002.0</v>
      </c>
      <c r="S1012" s="14">
        <v>5.3</v>
      </c>
    </row>
    <row r="1013" ht="15.75" customHeight="1">
      <c r="A1013" s="7" t="s">
        <v>2275</v>
      </c>
      <c r="B1013" s="8" t="str">
        <f>IFERROR(__xludf.DUMMYFUNCTION("REGEXREPLACE(A1013, ""[^0-9a-zA-Z .'Ã]"","""")"),"John Lasseter")</f>
        <v>John Lasseter</v>
      </c>
      <c r="C1013" s="9">
        <v>166.0</v>
      </c>
      <c r="D1013" s="10">
        <v>1.91796233E8</v>
      </c>
      <c r="E1013" s="9" t="s">
        <v>301</v>
      </c>
      <c r="F1013" s="9">
        <f t="shared" si="1"/>
        <v>5</v>
      </c>
      <c r="G1013" s="9" t="s">
        <v>461</v>
      </c>
      <c r="H1013" s="11" t="str">
        <f>IFERROR(__xludf.DUMMYFUNCTION("REGEXREPLACE(G1013, ""[^0-9a-zA-Z .'Ã]"","""")"),"Tom Hanks")</f>
        <v>Tom Hanks</v>
      </c>
      <c r="I1013" s="11" t="s">
        <v>3734</v>
      </c>
      <c r="J1013" s="9">
        <v>623757.0</v>
      </c>
      <c r="K1013" s="9" t="s">
        <v>3735</v>
      </c>
      <c r="L1013" s="9">
        <v>391.0</v>
      </c>
      <c r="M1013" s="9" t="s">
        <v>24</v>
      </c>
      <c r="N1013" s="9" t="s">
        <v>25</v>
      </c>
      <c r="O1013" s="10">
        <v>3.0E7</v>
      </c>
      <c r="P1013" s="10">
        <f t="shared" si="2"/>
        <v>161796233</v>
      </c>
      <c r="Q1013" s="12">
        <f t="shared" si="3"/>
        <v>0</v>
      </c>
      <c r="R1013" s="9">
        <v>1995.0</v>
      </c>
      <c r="S1013" s="9">
        <v>8.3</v>
      </c>
    </row>
    <row r="1014" ht="15.75" customHeight="1">
      <c r="A1014" s="7" t="s">
        <v>3736</v>
      </c>
      <c r="B1014" s="8" t="str">
        <f>IFERROR(__xludf.DUMMYFUNCTION("REGEXREPLACE(A1014, ""[^0-9a-zA-Z .'Ã]"","""")"),"Damian Nieman")</f>
        <v>Damian Nieman</v>
      </c>
      <c r="C1014" s="9">
        <v>25.0</v>
      </c>
      <c r="D1014" s="10">
        <v>10696.0</v>
      </c>
      <c r="E1014" s="9" t="s">
        <v>316</v>
      </c>
      <c r="F1014" s="9">
        <f t="shared" si="1"/>
        <v>2</v>
      </c>
      <c r="G1014" s="9" t="s">
        <v>3737</v>
      </c>
      <c r="H1014" s="11" t="str">
        <f>IFERROR(__xludf.DUMMYFUNCTION("REGEXREPLACE(G1014, ""[^0-9a-zA-Z .'Ã]"","""")"),"Glenn Plummer")</f>
        <v>Glenn Plummer</v>
      </c>
      <c r="I1014" s="11" t="s">
        <v>3738</v>
      </c>
      <c r="J1014" s="9">
        <v>10771.0</v>
      </c>
      <c r="K1014" s="9" t="s">
        <v>3739</v>
      </c>
      <c r="L1014" s="9">
        <v>65.0</v>
      </c>
      <c r="M1014" s="9" t="s">
        <v>24</v>
      </c>
      <c r="N1014" s="9" t="s">
        <v>25</v>
      </c>
      <c r="O1014" s="10">
        <v>6800000.0</v>
      </c>
      <c r="P1014" s="10">
        <f t="shared" si="2"/>
        <v>0</v>
      </c>
      <c r="Q1014" s="12">
        <f t="shared" si="3"/>
        <v>6789304</v>
      </c>
      <c r="R1014" s="9">
        <v>2003.0</v>
      </c>
      <c r="S1014" s="9">
        <v>6.4</v>
      </c>
    </row>
    <row r="1015" ht="15.75" customHeight="1">
      <c r="A1015" s="21" t="s">
        <v>3740</v>
      </c>
      <c r="B1015" s="8" t="str">
        <f>IFERROR(__xludf.DUMMYFUNCTION("REGEXREPLACE(A1015, ""[^0-9a-zA-Z .'Ã]"","""")"),"Sam Mendes")</f>
        <v>Sam Mendes</v>
      </c>
      <c r="C1015" s="22">
        <v>750.0</v>
      </c>
      <c r="D1015" s="23">
        <v>3.04360277E8</v>
      </c>
      <c r="E1015" s="22" t="s">
        <v>474</v>
      </c>
      <c r="F1015" s="9">
        <f t="shared" si="1"/>
        <v>3</v>
      </c>
      <c r="G1015" s="22" t="s">
        <v>3741</v>
      </c>
      <c r="H1015" s="11" t="str">
        <f>IFERROR(__xludf.DUMMYFUNCTION("REGEXREPLACE(G1015, ""[^0-9a-zA-Z .'Ã]"","""")"),"Albert Finney")</f>
        <v>Albert Finney</v>
      </c>
      <c r="I1015" s="24" t="s">
        <v>3742</v>
      </c>
      <c r="J1015" s="22">
        <v>522030.0</v>
      </c>
      <c r="K1015" s="22" t="s">
        <v>3743</v>
      </c>
      <c r="L1015" s="22">
        <v>1498.0</v>
      </c>
      <c r="M1015" s="22" t="s">
        <v>24</v>
      </c>
      <c r="N1015" s="22" t="s">
        <v>130</v>
      </c>
      <c r="O1015" s="23">
        <v>2.0E8</v>
      </c>
      <c r="P1015" s="10">
        <f t="shared" si="2"/>
        <v>104360277</v>
      </c>
      <c r="Q1015" s="12">
        <f t="shared" si="3"/>
        <v>0</v>
      </c>
      <c r="R1015" s="22">
        <v>2012.0</v>
      </c>
      <c r="S1015" s="22">
        <v>7.8</v>
      </c>
    </row>
    <row r="1016" ht="15.75" customHeight="1">
      <c r="A1016" s="25" t="s">
        <v>53</v>
      </c>
      <c r="B1016" s="8" t="str">
        <f>IFERROR(__xludf.DUMMYFUNCTION("REGEXREPLACE(A1016, ""[^0-9a-zA-Z .'Ã]"","""")"),"Quentin Tarantino")</f>
        <v>Quentin Tarantino</v>
      </c>
      <c r="C1016" s="26">
        <v>304.0</v>
      </c>
      <c r="D1016" s="27">
        <v>6.620792E7</v>
      </c>
      <c r="E1016" s="26" t="s">
        <v>501</v>
      </c>
      <c r="F1016" s="9">
        <f t="shared" si="1"/>
        <v>4</v>
      </c>
      <c r="G1016" s="26" t="s">
        <v>165</v>
      </c>
      <c r="H1016" s="11" t="str">
        <f>IFERROR(__xludf.DUMMYFUNCTION("REGEXREPLACE(G1016, ""[^0-9a-zA-Z .'Ã]"","""")"),"Vivica A. Fox")</f>
        <v>Vivica A. Fox</v>
      </c>
      <c r="I1016" s="28" t="s">
        <v>3744</v>
      </c>
      <c r="J1016" s="26">
        <v>512749.0</v>
      </c>
      <c r="K1016" s="26" t="s">
        <v>3745</v>
      </c>
      <c r="L1016" s="26">
        <v>935.0</v>
      </c>
      <c r="M1016" s="26" t="s">
        <v>24</v>
      </c>
      <c r="N1016" s="26" t="s">
        <v>25</v>
      </c>
      <c r="O1016" s="27">
        <v>3.0E7</v>
      </c>
      <c r="P1016" s="10">
        <f t="shared" si="2"/>
        <v>36207920</v>
      </c>
      <c r="Q1016" s="12">
        <f t="shared" si="3"/>
        <v>0</v>
      </c>
      <c r="R1016" s="26">
        <v>2004.0</v>
      </c>
      <c r="S1016" s="26">
        <v>8.0</v>
      </c>
    </row>
    <row r="1017" ht="15.75" customHeight="1">
      <c r="A1017" s="7" t="s">
        <v>3746</v>
      </c>
      <c r="B1017" s="8" t="str">
        <f>IFERROR(__xludf.DUMMYFUNCTION("REGEXREPLACE(A1017, ""[^0-9a-zA-Z .'Ã]"","""")"),"Anurag Basu")</f>
        <v>Anurag Basu</v>
      </c>
      <c r="C1017" s="9">
        <v>41.0</v>
      </c>
      <c r="D1017" s="10">
        <v>1602466.0</v>
      </c>
      <c r="E1017" s="9" t="s">
        <v>3747</v>
      </c>
      <c r="F1017" s="9">
        <f t="shared" si="1"/>
        <v>4</v>
      </c>
      <c r="G1017" s="9" t="s">
        <v>3748</v>
      </c>
      <c r="H1017" s="11" t="str">
        <f>IFERROR(__xludf.DUMMYFUNCTION("REGEXREPLACE(G1017, ""[^0-9a-zA-Z .'Ã]"","""")"),"BÃrbara Mori")</f>
        <v>BÃrbara Mori</v>
      </c>
      <c r="I1017" s="11" t="s">
        <v>3749</v>
      </c>
      <c r="J1017" s="9">
        <v>9673.0</v>
      </c>
      <c r="K1017" s="9" t="s">
        <v>3750</v>
      </c>
      <c r="L1017" s="9">
        <v>106.0</v>
      </c>
      <c r="M1017" s="9" t="s">
        <v>24</v>
      </c>
      <c r="N1017" s="9" t="s">
        <v>671</v>
      </c>
      <c r="O1017" s="10">
        <v>6.0E8</v>
      </c>
      <c r="P1017" s="10">
        <f t="shared" si="2"/>
        <v>0</v>
      </c>
      <c r="Q1017" s="12">
        <f t="shared" si="3"/>
        <v>598397534</v>
      </c>
      <c r="R1017" s="9">
        <v>2010.0</v>
      </c>
      <c r="S1017" s="9">
        <v>6.0</v>
      </c>
    </row>
    <row r="1018" ht="15.75" customHeight="1">
      <c r="A1018" s="7" t="s">
        <v>3751</v>
      </c>
      <c r="B1018" s="8" t="str">
        <f>IFERROR(__xludf.DUMMYFUNCTION("REGEXREPLACE(A1018, ""[^0-9a-zA-Z .'Ã]"","""")"),"Billy Wilder")</f>
        <v>Billy Wilder</v>
      </c>
      <c r="C1018" s="9">
        <v>181.0</v>
      </c>
      <c r="D1018" s="10">
        <v>2.5E7</v>
      </c>
      <c r="E1018" s="9" t="s">
        <v>2047</v>
      </c>
      <c r="F1018" s="9">
        <f t="shared" si="1"/>
        <v>3</v>
      </c>
      <c r="G1018" s="9" t="s">
        <v>3752</v>
      </c>
      <c r="H1018" s="11" t="str">
        <f>IFERROR(__xludf.DUMMYFUNCTION("REGEXREPLACE(G1018, ""[^0-9a-zA-Z .'Ã]"","""")"),"Nehemiah Persoff")</f>
        <v>Nehemiah Persoff</v>
      </c>
      <c r="I1018" s="11" t="s">
        <v>3753</v>
      </c>
      <c r="J1018" s="9">
        <v>175196.0</v>
      </c>
      <c r="K1018" s="9" t="s">
        <v>3754</v>
      </c>
      <c r="L1018" s="9">
        <v>350.0</v>
      </c>
      <c r="M1018" s="9" t="s">
        <v>24</v>
      </c>
      <c r="N1018" s="9" t="s">
        <v>25</v>
      </c>
      <c r="O1018" s="10">
        <v>2883848.0</v>
      </c>
      <c r="P1018" s="10">
        <f t="shared" si="2"/>
        <v>22116152</v>
      </c>
      <c r="Q1018" s="12">
        <f t="shared" si="3"/>
        <v>0</v>
      </c>
      <c r="R1018" s="9">
        <v>1959.0</v>
      </c>
      <c r="S1018" s="9">
        <v>8.3</v>
      </c>
    </row>
    <row r="1019" ht="15.75" customHeight="1">
      <c r="A1019" s="25" t="s">
        <v>1549</v>
      </c>
      <c r="B1019" s="8" t="str">
        <f>IFERROR(__xludf.DUMMYFUNCTION("REGEXREPLACE(A1019, ""[^0-9a-zA-Z .'Ã]"","""")"),"Richard Glatzer")</f>
        <v>Richard Glatzer</v>
      </c>
      <c r="C1019" s="26">
        <v>309.0</v>
      </c>
      <c r="D1019" s="27">
        <v>1.86564E7</v>
      </c>
      <c r="E1019" s="26" t="s">
        <v>103</v>
      </c>
      <c r="F1019" s="9">
        <f t="shared" si="1"/>
        <v>1</v>
      </c>
      <c r="G1019" s="26" t="s">
        <v>1969</v>
      </c>
      <c r="H1019" s="11" t="str">
        <f>IFERROR(__xludf.DUMMYFUNCTION("REGEXREPLACE(G1019, ""[^0-9a-zA-Z .'Ã]"","""")"),"Kristen Stewart")</f>
        <v>Kristen Stewart</v>
      </c>
      <c r="I1019" s="28" t="s">
        <v>3755</v>
      </c>
      <c r="J1019" s="26">
        <v>86077.0</v>
      </c>
      <c r="K1019" s="26" t="s">
        <v>3756</v>
      </c>
      <c r="L1019" s="26">
        <v>195.0</v>
      </c>
      <c r="M1019" s="26" t="s">
        <v>24</v>
      </c>
      <c r="N1019" s="26" t="s">
        <v>25</v>
      </c>
      <c r="O1019" s="27">
        <v>5000000.0</v>
      </c>
      <c r="P1019" s="10">
        <f t="shared" si="2"/>
        <v>13656400</v>
      </c>
      <c r="Q1019" s="12">
        <f t="shared" si="3"/>
        <v>0</v>
      </c>
      <c r="R1019" s="26">
        <v>2014.0</v>
      </c>
      <c r="S1019" s="26">
        <v>7.5</v>
      </c>
    </row>
    <row r="1020" ht="15.75" customHeight="1">
      <c r="A1020" s="17" t="s">
        <v>513</v>
      </c>
      <c r="B1020" s="8" t="str">
        <f>IFERROR(__xludf.DUMMYFUNCTION("REGEXREPLACE(A1020, ""[^0-9a-zA-Z .'Ã]"","""")"),"Mark Waters")</f>
        <v>Mark Waters</v>
      </c>
      <c r="C1020" s="18">
        <v>159.0</v>
      </c>
      <c r="D1020" s="19">
        <v>8.6049418E7</v>
      </c>
      <c r="E1020" s="18" t="s">
        <v>137</v>
      </c>
      <c r="F1020" s="9">
        <f t="shared" si="1"/>
        <v>1</v>
      </c>
      <c r="G1020" s="18" t="s">
        <v>3367</v>
      </c>
      <c r="H1020" s="11" t="str">
        <f>IFERROR(__xludf.DUMMYFUNCTION("REGEXREPLACE(G1020, ""[^0-9a-zA-Z .'Ã]"","""")"),"Tina Fey")</f>
        <v>Tina Fey</v>
      </c>
      <c r="I1020" s="20" t="s">
        <v>3757</v>
      </c>
      <c r="J1020" s="18">
        <v>245989.0</v>
      </c>
      <c r="K1020" s="18" t="s">
        <v>3758</v>
      </c>
      <c r="L1020" s="18">
        <v>554.0</v>
      </c>
      <c r="M1020" s="18" t="s">
        <v>24</v>
      </c>
      <c r="N1020" s="18" t="s">
        <v>25</v>
      </c>
      <c r="O1020" s="19">
        <v>1.7E7</v>
      </c>
      <c r="P1020" s="10">
        <f t="shared" si="2"/>
        <v>69049418</v>
      </c>
      <c r="Q1020" s="12">
        <f t="shared" si="3"/>
        <v>0</v>
      </c>
      <c r="R1020" s="18">
        <v>2004.0</v>
      </c>
      <c r="S1020" s="18">
        <v>7.0</v>
      </c>
    </row>
    <row r="1021" ht="15.75" customHeight="1">
      <c r="A1021" s="7" t="s">
        <v>3759</v>
      </c>
      <c r="B1021" s="8" t="str">
        <f>IFERROR(__xludf.DUMMYFUNCTION("REGEXREPLACE(A1021, ""[^0-9a-zA-Z .'Ã]"","""")"),"Robert Butler")</f>
        <v>Robert Butler</v>
      </c>
      <c r="C1021" s="9">
        <v>44.0</v>
      </c>
      <c r="D1021" s="10">
        <v>1.1466088E7</v>
      </c>
      <c r="E1021" s="9" t="s">
        <v>1096</v>
      </c>
      <c r="F1021" s="9">
        <f t="shared" si="1"/>
        <v>2</v>
      </c>
      <c r="G1021" s="9" t="s">
        <v>1973</v>
      </c>
      <c r="H1021" s="11" t="str">
        <f>IFERROR(__xludf.DUMMYFUNCTION("REGEXREPLACE(G1021, ""[^0-9a-zA-Z .'Ã]"","""")"),"Hector Elizondo")</f>
        <v>Hector Elizondo</v>
      </c>
      <c r="I1021" s="11" t="s">
        <v>3760</v>
      </c>
      <c r="J1021" s="9">
        <v>8983.0</v>
      </c>
      <c r="K1021" s="9" t="s">
        <v>3761</v>
      </c>
      <c r="L1021" s="9">
        <v>84.0</v>
      </c>
      <c r="M1021" s="9" t="s">
        <v>24</v>
      </c>
      <c r="N1021" s="9" t="s">
        <v>25</v>
      </c>
      <c r="O1021" s="10">
        <v>7.1E7</v>
      </c>
      <c r="P1021" s="10">
        <f t="shared" si="2"/>
        <v>0</v>
      </c>
      <c r="Q1021" s="12">
        <f t="shared" si="3"/>
        <v>59533912</v>
      </c>
      <c r="R1021" s="9">
        <v>1997.0</v>
      </c>
      <c r="S1021" s="9">
        <v>4.7</v>
      </c>
    </row>
    <row r="1022" ht="15.75" customHeight="1">
      <c r="A1022" s="17" t="s">
        <v>3762</v>
      </c>
      <c r="B1022" s="8" t="str">
        <f>IFERROR(__xludf.DUMMYFUNCTION("REGEXREPLACE(A1022, ""[^0-9a-zA-Z .'Ã]"","""")"),"John Stockwell")</f>
        <v>John Stockwell</v>
      </c>
      <c r="C1022" s="18">
        <v>84.0</v>
      </c>
      <c r="D1022" s="19">
        <v>1.6929123E7</v>
      </c>
      <c r="E1022" s="18" t="s">
        <v>232</v>
      </c>
      <c r="F1022" s="9">
        <f t="shared" si="1"/>
        <v>2</v>
      </c>
      <c r="G1022" s="18" t="s">
        <v>951</v>
      </c>
      <c r="H1022" s="11" t="str">
        <f>IFERROR(__xludf.DUMMYFUNCTION("REGEXREPLACE(G1022, ""[^0-9a-zA-Z .'Ã]"","""")"),"Kirsten Dunst")</f>
        <v>Kirsten Dunst</v>
      </c>
      <c r="I1022" s="20" t="s">
        <v>3763</v>
      </c>
      <c r="J1022" s="18">
        <v>21406.0</v>
      </c>
      <c r="K1022" s="18" t="s">
        <v>3764</v>
      </c>
      <c r="L1022" s="18">
        <v>169.0</v>
      </c>
      <c r="M1022" s="18" t="s">
        <v>24</v>
      </c>
      <c r="N1022" s="18" t="s">
        <v>25</v>
      </c>
      <c r="O1022" s="19">
        <v>1.4E7</v>
      </c>
      <c r="P1022" s="10">
        <f t="shared" si="2"/>
        <v>2929123</v>
      </c>
      <c r="Q1022" s="12">
        <f t="shared" si="3"/>
        <v>0</v>
      </c>
      <c r="R1022" s="18">
        <v>2001.0</v>
      </c>
      <c r="S1022" s="18">
        <v>6.5</v>
      </c>
    </row>
    <row r="1023" ht="15.75" customHeight="1">
      <c r="A1023" s="21" t="s">
        <v>53</v>
      </c>
      <c r="B1023" s="8" t="str">
        <f>IFERROR(__xludf.DUMMYFUNCTION("REGEXREPLACE(A1023, ""[^0-9a-zA-Z .'Ã]"","""")"),"Quentin Tarantino")</f>
        <v>Quentin Tarantino</v>
      </c>
      <c r="C1023" s="22">
        <v>765.0</v>
      </c>
      <c r="D1023" s="23">
        <v>1.62804648E8</v>
      </c>
      <c r="E1023" s="22" t="s">
        <v>3765</v>
      </c>
      <c r="F1023" s="9">
        <f t="shared" si="1"/>
        <v>2</v>
      </c>
      <c r="G1023" s="22" t="s">
        <v>1351</v>
      </c>
      <c r="H1023" s="11" t="str">
        <f>IFERROR(__xludf.DUMMYFUNCTION("REGEXREPLACE(G1023, ""[^0-9a-zA-Z .'Ã]"","""")"),"Leonardo DiCaprio")</f>
        <v>Leonardo DiCaprio</v>
      </c>
      <c r="I1023" s="24" t="s">
        <v>3766</v>
      </c>
      <c r="J1023" s="22">
        <v>955174.0</v>
      </c>
      <c r="K1023" s="22" t="s">
        <v>3767</v>
      </c>
      <c r="L1023" s="22">
        <v>1193.0</v>
      </c>
      <c r="M1023" s="22" t="s">
        <v>24</v>
      </c>
      <c r="N1023" s="22" t="s">
        <v>25</v>
      </c>
      <c r="O1023" s="23">
        <v>1.0E8</v>
      </c>
      <c r="P1023" s="10">
        <f t="shared" si="2"/>
        <v>62804648</v>
      </c>
      <c r="Q1023" s="12">
        <f t="shared" si="3"/>
        <v>0</v>
      </c>
      <c r="R1023" s="22">
        <v>2012.0</v>
      </c>
      <c r="S1023" s="22">
        <v>8.5</v>
      </c>
    </row>
    <row r="1024" ht="15.75" customHeight="1">
      <c r="A1024" s="7" t="s">
        <v>3768</v>
      </c>
      <c r="B1024" s="8" t="str">
        <f>IFERROR(__xludf.DUMMYFUNCTION("REGEXREPLACE(A1024, ""[^0-9a-zA-Z .'Ã]"","""")"),"Peter Hedges")</f>
        <v>Peter Hedges</v>
      </c>
      <c r="C1024" s="9">
        <v>131.0</v>
      </c>
      <c r="D1024" s="10">
        <v>2360184.0</v>
      </c>
      <c r="E1024" s="9" t="s">
        <v>454</v>
      </c>
      <c r="F1024" s="9">
        <f t="shared" si="1"/>
        <v>2</v>
      </c>
      <c r="G1024" s="9" t="s">
        <v>109</v>
      </c>
      <c r="H1024" s="11" t="str">
        <f>IFERROR(__xludf.DUMMYFUNCTION("REGEXREPLACE(G1024, ""[^0-9a-zA-Z .'Ã]"","""")"),"Oliver Platt")</f>
        <v>Oliver Platt</v>
      </c>
      <c r="I1024" s="11" t="s">
        <v>3769</v>
      </c>
      <c r="J1024" s="9">
        <v>18035.0</v>
      </c>
      <c r="K1024" s="9" t="s">
        <v>3770</v>
      </c>
      <c r="L1024" s="9">
        <v>177.0</v>
      </c>
      <c r="M1024" s="9" t="s">
        <v>24</v>
      </c>
      <c r="N1024" s="9" t="s">
        <v>25</v>
      </c>
      <c r="O1024" s="10">
        <v>300000.0</v>
      </c>
      <c r="P1024" s="10">
        <f t="shared" si="2"/>
        <v>2060184</v>
      </c>
      <c r="Q1024" s="12">
        <f t="shared" si="3"/>
        <v>0</v>
      </c>
      <c r="R1024" s="9">
        <v>2003.0</v>
      </c>
      <c r="S1024" s="9">
        <v>7.1</v>
      </c>
    </row>
    <row r="1025" ht="15.75" customHeight="1">
      <c r="A1025" s="7" t="s">
        <v>3771</v>
      </c>
      <c r="B1025" s="8" t="str">
        <f>IFERROR(__xludf.DUMMYFUNCTION("REGEXREPLACE(A1025, ""[^0-9a-zA-Z .'Ã]"","""")"),"Brendan Malloy")</f>
        <v>Brendan Malloy</v>
      </c>
      <c r="C1025" s="9">
        <v>37.0</v>
      </c>
      <c r="D1025" s="10">
        <v>1.3903262E7</v>
      </c>
      <c r="E1025" s="9" t="s">
        <v>3398</v>
      </c>
      <c r="F1025" s="9">
        <f t="shared" si="1"/>
        <v>2</v>
      </c>
      <c r="G1025" s="9" t="s">
        <v>3772</v>
      </c>
      <c r="H1025" s="11" t="str">
        <f>IFERROR(__xludf.DUMMYFUNCTION("REGEXREPLACE(G1025, ""[^0-9a-zA-Z .'Ã]"","""")"),"Lee Majors")</f>
        <v>Lee Majors</v>
      </c>
      <c r="I1025" s="11" t="s">
        <v>3773</v>
      </c>
      <c r="J1025" s="9">
        <v>14656.0</v>
      </c>
      <c r="K1025" s="9" t="s">
        <v>3774</v>
      </c>
      <c r="L1025" s="9">
        <v>90.0</v>
      </c>
      <c r="M1025" s="9" t="s">
        <v>24</v>
      </c>
      <c r="N1025" s="9" t="s">
        <v>25</v>
      </c>
      <c r="O1025" s="10">
        <v>1.1E7</v>
      </c>
      <c r="P1025" s="10">
        <f t="shared" si="2"/>
        <v>2903262</v>
      </c>
      <c r="Q1025" s="12">
        <f t="shared" si="3"/>
        <v>0</v>
      </c>
      <c r="R1025" s="9">
        <v>2001.0</v>
      </c>
      <c r="S1025" s="9">
        <v>6.3</v>
      </c>
    </row>
    <row r="1026" ht="15.75" customHeight="1">
      <c r="A1026" s="7" t="s">
        <v>3467</v>
      </c>
      <c r="B1026" s="8" t="str">
        <f>IFERROR(__xludf.DUMMYFUNCTION("REGEXREPLACE(A1026, ""[^0-9a-zA-Z -.'Ã]"","""")"),"Lasse HallstrÃm")</f>
        <v>Lasse HallstrÃm</v>
      </c>
      <c r="C1026" s="9">
        <v>152.0</v>
      </c>
      <c r="D1026" s="10">
        <v>7.130976E7</v>
      </c>
      <c r="E1026" s="9" t="s">
        <v>232</v>
      </c>
      <c r="F1026" s="9">
        <f t="shared" si="1"/>
        <v>2</v>
      </c>
      <c r="G1026" s="9" t="s">
        <v>228</v>
      </c>
      <c r="H1026" s="11" t="str">
        <f>IFERROR(__xludf.DUMMYFUNCTION("REGEXREPLACE(G1026, ""[^0-9a-zA-Z .'Ã]"","""")"),"Lena Olin")</f>
        <v>Lena Olin</v>
      </c>
      <c r="I1026" s="11" t="s">
        <v>3775</v>
      </c>
      <c r="J1026" s="9">
        <v>150308.0</v>
      </c>
      <c r="K1026" s="9" t="s">
        <v>3776</v>
      </c>
      <c r="L1026" s="9">
        <v>498.0</v>
      </c>
      <c r="M1026" s="9" t="s">
        <v>24</v>
      </c>
      <c r="N1026" s="9" t="s">
        <v>130</v>
      </c>
      <c r="O1026" s="10">
        <v>2.5E7</v>
      </c>
      <c r="P1026" s="10">
        <f t="shared" si="2"/>
        <v>46309760</v>
      </c>
      <c r="Q1026" s="12">
        <f t="shared" si="3"/>
        <v>0</v>
      </c>
      <c r="R1026" s="9">
        <v>2000.0</v>
      </c>
      <c r="S1026" s="9">
        <v>7.3</v>
      </c>
    </row>
    <row r="1027" ht="15.75" customHeight="1">
      <c r="A1027" s="29" t="s">
        <v>1454</v>
      </c>
      <c r="B1027" s="8" t="str">
        <f>IFERROR(__xludf.DUMMYFUNCTION("REGEXREPLACE(A1027, ""[^0-9a-zA-Z .'Ã]"","""")"),"Tom Shadyac")</f>
        <v>Tom Shadyac</v>
      </c>
      <c r="C1027" s="30">
        <v>117.0</v>
      </c>
      <c r="D1027" s="31">
        <v>3.0063805E7</v>
      </c>
      <c r="E1027" s="30" t="s">
        <v>3777</v>
      </c>
      <c r="F1027" s="9">
        <f t="shared" si="1"/>
        <v>5</v>
      </c>
      <c r="G1027" s="30" t="s">
        <v>3778</v>
      </c>
      <c r="H1027" s="11" t="str">
        <f>IFERROR(__xludf.DUMMYFUNCTION("REGEXREPLACE(G1027, ""[^0-9a-zA-Z .'Ã]"","""")"),"Joe Morton")</f>
        <v>Joe Morton</v>
      </c>
      <c r="I1027" s="32" t="s">
        <v>3779</v>
      </c>
      <c r="J1027" s="30">
        <v>31788.0</v>
      </c>
      <c r="K1027" s="30" t="s">
        <v>3780</v>
      </c>
      <c r="L1027" s="30">
        <v>243.0</v>
      </c>
      <c r="M1027" s="30" t="s">
        <v>24</v>
      </c>
      <c r="N1027" s="30" t="s">
        <v>25</v>
      </c>
      <c r="O1027" s="31">
        <v>6.0E7</v>
      </c>
      <c r="P1027" s="10">
        <f t="shared" si="2"/>
        <v>0</v>
      </c>
      <c r="Q1027" s="12">
        <f t="shared" si="3"/>
        <v>29936195</v>
      </c>
      <c r="R1027" s="30">
        <v>2002.0</v>
      </c>
      <c r="S1027" s="30">
        <v>6.1</v>
      </c>
    </row>
    <row r="1028" ht="15.75" customHeight="1">
      <c r="A1028" s="17" t="s">
        <v>789</v>
      </c>
      <c r="B1028" s="8" t="str">
        <f>IFERROR(__xludf.DUMMYFUNCTION("REGEXREPLACE(A1028, ""[^0-9a-zA-Z .'Ã]"","""")"),"George Gallo")</f>
        <v>George Gallo</v>
      </c>
      <c r="C1028" s="18">
        <v>23.0</v>
      </c>
      <c r="D1028" s="19">
        <v>2223990.0</v>
      </c>
      <c r="E1028" s="18" t="s">
        <v>3781</v>
      </c>
      <c r="F1028" s="9">
        <f t="shared" si="1"/>
        <v>2</v>
      </c>
      <c r="G1028" s="18" t="s">
        <v>3782</v>
      </c>
      <c r="H1028" s="11" t="str">
        <f>IFERROR(__xludf.DUMMYFUNCTION("REGEXREPLACE(G1028, ""[^0-9a-zA-Z .'Ã]"","""")"),"Eddie Griffin")</f>
        <v>Eddie Griffin</v>
      </c>
      <c r="I1028" s="20" t="s">
        <v>3783</v>
      </c>
      <c r="J1028" s="18">
        <v>761.0</v>
      </c>
      <c r="K1028" s="18" t="s">
        <v>3784</v>
      </c>
      <c r="L1028" s="18">
        <v>14.0</v>
      </c>
      <c r="M1028" s="18" t="s">
        <v>24</v>
      </c>
      <c r="N1028" s="18" t="s">
        <v>25</v>
      </c>
      <c r="O1028" s="19">
        <v>3000000.0</v>
      </c>
      <c r="P1028" s="10">
        <f t="shared" si="2"/>
        <v>0</v>
      </c>
      <c r="Q1028" s="12">
        <f t="shared" si="3"/>
        <v>776010</v>
      </c>
      <c r="R1028" s="18">
        <v>2003.0</v>
      </c>
      <c r="S1028" s="18">
        <v>6.6</v>
      </c>
    </row>
    <row r="1029" ht="15.75" customHeight="1">
      <c r="A1029" s="7" t="s">
        <v>564</v>
      </c>
      <c r="B1029" s="8" t="str">
        <f>IFERROR(__xludf.DUMMYFUNCTION("REGEXREPLACE(A1029, ""[^0-9a-zA-Z .'Ã]"","""")"),"Scott Derrickson")</f>
        <v>Scott Derrickson</v>
      </c>
      <c r="C1029" s="9">
        <v>233.0</v>
      </c>
      <c r="D1029" s="10">
        <v>7.5072454E7</v>
      </c>
      <c r="E1029" s="9" t="s">
        <v>1840</v>
      </c>
      <c r="F1029" s="9">
        <f t="shared" si="1"/>
        <v>3</v>
      </c>
      <c r="G1029" s="9" t="s">
        <v>1490</v>
      </c>
      <c r="H1029" s="11" t="str">
        <f>IFERROR(__xludf.DUMMYFUNCTION("REGEXREPLACE(G1029, ""[^0-9a-zA-Z .'Ã]"","""")"),"Tom Wilkinson")</f>
        <v>Tom Wilkinson</v>
      </c>
      <c r="I1029" s="11" t="s">
        <v>3785</v>
      </c>
      <c r="J1029" s="9">
        <v>96569.0</v>
      </c>
      <c r="K1029" s="9" t="s">
        <v>3786</v>
      </c>
      <c r="L1029" s="9">
        <v>522.0</v>
      </c>
      <c r="M1029" s="9" t="s">
        <v>24</v>
      </c>
      <c r="N1029" s="9" t="s">
        <v>25</v>
      </c>
      <c r="O1029" s="10">
        <v>2.0E7</v>
      </c>
      <c r="P1029" s="10">
        <f t="shared" si="2"/>
        <v>55072454</v>
      </c>
      <c r="Q1029" s="12">
        <f t="shared" si="3"/>
        <v>0</v>
      </c>
      <c r="R1029" s="9">
        <v>2005.0</v>
      </c>
      <c r="S1029" s="9">
        <v>6.7</v>
      </c>
    </row>
    <row r="1030" ht="15.75" customHeight="1">
      <c r="A1030" s="17" t="s">
        <v>1526</v>
      </c>
      <c r="B1030" s="8" t="str">
        <f>IFERROR(__xludf.DUMMYFUNCTION("REGEXREPLACE(A1030, ""[^0-9a-zA-Z .'Ã]"","""")"),"Gore Verbinski")</f>
        <v>Gore Verbinski</v>
      </c>
      <c r="C1030" s="18">
        <v>156.0</v>
      </c>
      <c r="D1030" s="19">
        <v>1.2469811E7</v>
      </c>
      <c r="E1030" s="18" t="s">
        <v>454</v>
      </c>
      <c r="F1030" s="9">
        <f t="shared" si="1"/>
        <v>2</v>
      </c>
      <c r="G1030" s="18" t="s">
        <v>458</v>
      </c>
      <c r="H1030" s="11" t="str">
        <f>IFERROR(__xludf.DUMMYFUNCTION("REGEXREPLACE(G1030, ""[^0-9a-zA-Z .'Ã]"","""")"),"Nicolas Cage")</f>
        <v>Nicolas Cage</v>
      </c>
      <c r="I1030" s="20" t="s">
        <v>3787</v>
      </c>
      <c r="J1030" s="18">
        <v>69172.0</v>
      </c>
      <c r="K1030" s="18" t="s">
        <v>3788</v>
      </c>
      <c r="L1030" s="18">
        <v>316.0</v>
      </c>
      <c r="M1030" s="18" t="s">
        <v>24</v>
      </c>
      <c r="N1030" s="18" t="s">
        <v>25</v>
      </c>
      <c r="O1030" s="19">
        <v>2.2E7</v>
      </c>
      <c r="P1030" s="10">
        <f t="shared" si="2"/>
        <v>0</v>
      </c>
      <c r="Q1030" s="12">
        <f t="shared" si="3"/>
        <v>9530189</v>
      </c>
      <c r="R1030" s="18">
        <v>2005.0</v>
      </c>
      <c r="S1030" s="18">
        <v>6.6</v>
      </c>
    </row>
    <row r="1031" ht="15.75" customHeight="1">
      <c r="A1031" s="7" t="s">
        <v>3789</v>
      </c>
      <c r="B1031" s="8" t="str">
        <f>IFERROR(__xludf.DUMMYFUNCTION("REGEXREPLACE(A1031, ""[^0-9a-zA-Z .'Ã]"","""")"),"Seth Gordon")</f>
        <v>Seth Gordon</v>
      </c>
      <c r="C1031" s="9">
        <v>340.0</v>
      </c>
      <c r="D1031" s="10">
        <v>1.17528646E8</v>
      </c>
      <c r="E1031" s="9" t="s">
        <v>440</v>
      </c>
      <c r="F1031" s="9">
        <f t="shared" si="1"/>
        <v>2</v>
      </c>
      <c r="G1031" s="9" t="s">
        <v>483</v>
      </c>
      <c r="H1031" s="11" t="str">
        <f>IFERROR(__xludf.DUMMYFUNCTION("REGEXREPLACE(G1031, ""[^0-9a-zA-Z .'Ã]"","""")"),"Kevin Spacey")</f>
        <v>Kevin Spacey</v>
      </c>
      <c r="I1031" s="11" t="s">
        <v>3790</v>
      </c>
      <c r="J1031" s="9">
        <v>353442.0</v>
      </c>
      <c r="K1031" s="9" t="s">
        <v>3791</v>
      </c>
      <c r="L1031" s="9">
        <v>387.0</v>
      </c>
      <c r="M1031" s="9" t="s">
        <v>24</v>
      </c>
      <c r="N1031" s="9" t="s">
        <v>25</v>
      </c>
      <c r="O1031" s="10">
        <v>3.5E7</v>
      </c>
      <c r="P1031" s="10">
        <f t="shared" si="2"/>
        <v>82528646</v>
      </c>
      <c r="Q1031" s="12">
        <f t="shared" si="3"/>
        <v>0</v>
      </c>
      <c r="R1031" s="9">
        <v>2011.0</v>
      </c>
      <c r="S1031" s="9">
        <v>6.9</v>
      </c>
    </row>
    <row r="1032" ht="15.75" customHeight="1">
      <c r="A1032" s="7" t="s">
        <v>3792</v>
      </c>
      <c r="B1032" s="8" t="str">
        <f>IFERROR(__xludf.DUMMYFUNCTION("REGEXREPLACE(A1032, ""[^0-9a-zA-Z -.'Ã]"","""")"),"Nnegest LikkÃ")</f>
        <v>Nnegest LikkÃ</v>
      </c>
      <c r="C1032" s="9">
        <v>37.0</v>
      </c>
      <c r="D1032" s="10">
        <v>7059537.0</v>
      </c>
      <c r="E1032" s="9" t="s">
        <v>137</v>
      </c>
      <c r="F1032" s="9">
        <f t="shared" si="1"/>
        <v>1</v>
      </c>
      <c r="G1032" s="9" t="s">
        <v>2279</v>
      </c>
      <c r="H1032" s="11" t="str">
        <f>IFERROR(__xludf.DUMMYFUNCTION("REGEXREPLACE(G1032, ""[^0-9a-zA-Z .'Ã]"","""")"),"Mo'Nique")</f>
        <v>Mo'Nique</v>
      </c>
      <c r="I1032" s="11" t="s">
        <v>3793</v>
      </c>
      <c r="J1032" s="9">
        <v>8279.0</v>
      </c>
      <c r="K1032" s="9" t="s">
        <v>3794</v>
      </c>
      <c r="L1032" s="9">
        <v>101.0</v>
      </c>
      <c r="M1032" s="9" t="s">
        <v>24</v>
      </c>
      <c r="N1032" s="9" t="s">
        <v>25</v>
      </c>
      <c r="O1032" s="10">
        <v>3000000.0</v>
      </c>
      <c r="P1032" s="10">
        <f t="shared" si="2"/>
        <v>4059537</v>
      </c>
      <c r="Q1032" s="12">
        <f t="shared" si="3"/>
        <v>0</v>
      </c>
      <c r="R1032" s="9">
        <v>2006.0</v>
      </c>
      <c r="S1032" s="9">
        <v>3.0</v>
      </c>
    </row>
    <row r="1033" ht="15.75" customHeight="1">
      <c r="A1033" s="7" t="s">
        <v>3795</v>
      </c>
      <c r="B1033" s="8" t="str">
        <f>IFERROR(__xludf.DUMMYFUNCTION("REGEXREPLACE(A1033, ""[^0-9a-zA-Z .'Ã]"","""")"),"Ruggero Deodato")</f>
        <v>Ruggero Deodato</v>
      </c>
      <c r="C1033" s="9">
        <v>15.0</v>
      </c>
      <c r="D1033" s="10">
        <v>800000.0</v>
      </c>
      <c r="E1033" s="9" t="s">
        <v>3101</v>
      </c>
      <c r="F1033" s="9">
        <f t="shared" si="1"/>
        <v>2</v>
      </c>
      <c r="G1033" s="9" t="s">
        <v>3796</v>
      </c>
      <c r="H1033" s="11" t="str">
        <f>IFERROR(__xludf.DUMMYFUNCTION("REGEXREPLACE(G1033, ""[^0-9a-zA-Z .'Ã]"","""")"),"Michael Berryman")</f>
        <v>Michael Berryman</v>
      </c>
      <c r="I1033" s="11" t="s">
        <v>3797</v>
      </c>
      <c r="J1033" s="9">
        <v>2308.0</v>
      </c>
      <c r="K1033" s="9" t="s">
        <v>3798</v>
      </c>
      <c r="L1033" s="9">
        <v>35.0</v>
      </c>
      <c r="M1033" s="9" t="s">
        <v>24</v>
      </c>
      <c r="N1033" s="9" t="s">
        <v>25</v>
      </c>
      <c r="O1033" s="10">
        <v>4000000.0</v>
      </c>
      <c r="P1033" s="10">
        <f t="shared" si="2"/>
        <v>0</v>
      </c>
      <c r="Q1033" s="12">
        <f t="shared" si="3"/>
        <v>3200000</v>
      </c>
      <c r="R1033" s="9">
        <v>1987.0</v>
      </c>
      <c r="S1033" s="9">
        <v>4.8</v>
      </c>
    </row>
    <row r="1034" ht="15.75" customHeight="1">
      <c r="A1034" s="7" t="s">
        <v>179</v>
      </c>
      <c r="B1034" s="8" t="str">
        <f>IFERROR(__xludf.DUMMYFUNCTION("REGEXREPLACE(A1034, ""[^0-9a-zA-Z .'Ã]"","""")"),"Tim Burton")</f>
        <v>Tim Burton</v>
      </c>
      <c r="C1034" s="9">
        <v>325.0</v>
      </c>
      <c r="D1034" s="10">
        <v>1.4479776E7</v>
      </c>
      <c r="E1034" s="9" t="s">
        <v>3799</v>
      </c>
      <c r="F1034" s="9">
        <f t="shared" si="1"/>
        <v>4</v>
      </c>
      <c r="G1034" s="9" t="s">
        <v>3800</v>
      </c>
      <c r="H1034" s="11" t="str">
        <f>IFERROR(__xludf.DUMMYFUNCTION("REGEXREPLACE(G1034, ""[^0-9a-zA-Z .'Ã]"","""")"),"Christoph Waltz")</f>
        <v>Christoph Waltz</v>
      </c>
      <c r="I1034" s="11" t="s">
        <v>3801</v>
      </c>
      <c r="J1034" s="9">
        <v>55539.0</v>
      </c>
      <c r="K1034" s="9" t="s">
        <v>3802</v>
      </c>
      <c r="L1034" s="9">
        <v>147.0</v>
      </c>
      <c r="M1034" s="9" t="s">
        <v>24</v>
      </c>
      <c r="N1034" s="9" t="s">
        <v>25</v>
      </c>
      <c r="O1034" s="10">
        <v>1.0E7</v>
      </c>
      <c r="P1034" s="10">
        <f t="shared" si="2"/>
        <v>4479776</v>
      </c>
      <c r="Q1034" s="12">
        <f t="shared" si="3"/>
        <v>0</v>
      </c>
      <c r="R1034" s="9">
        <v>2014.0</v>
      </c>
      <c r="S1034" s="9">
        <v>7.0</v>
      </c>
    </row>
    <row r="1035" ht="15.75" customHeight="1">
      <c r="A1035" s="7" t="s">
        <v>3803</v>
      </c>
      <c r="B1035" s="8" t="str">
        <f>IFERROR(__xludf.DUMMYFUNCTION("REGEXREPLACE(A1035, ""[^0-9a-zA-Z .'Ã]"","""")"),"Danny Boyle")</f>
        <v>Danny Boyle</v>
      </c>
      <c r="C1035" s="9">
        <v>224.0</v>
      </c>
      <c r="D1035" s="10">
        <v>4.5063889E7</v>
      </c>
      <c r="E1035" s="9" t="s">
        <v>2324</v>
      </c>
      <c r="F1035" s="9">
        <f t="shared" si="1"/>
        <v>4</v>
      </c>
      <c r="G1035" s="9" t="s">
        <v>3804</v>
      </c>
      <c r="H1035" s="11" t="str">
        <f>IFERROR(__xludf.DUMMYFUNCTION("REGEXREPLACE(G1035, ""[^0-9a-zA-Z .'Ã]"","""")"),"Noah Huntley")</f>
        <v>Noah Huntley</v>
      </c>
      <c r="I1035" s="11" t="s">
        <v>3805</v>
      </c>
      <c r="J1035" s="9">
        <v>297250.0</v>
      </c>
      <c r="K1035" s="9" t="s">
        <v>3806</v>
      </c>
      <c r="L1035" s="9">
        <v>1441.0</v>
      </c>
      <c r="M1035" s="9" t="s">
        <v>24</v>
      </c>
      <c r="N1035" s="9" t="s">
        <v>130</v>
      </c>
      <c r="O1035" s="10">
        <v>8000000.0</v>
      </c>
      <c r="P1035" s="10">
        <f t="shared" si="2"/>
        <v>37063889</v>
      </c>
      <c r="Q1035" s="12">
        <f t="shared" si="3"/>
        <v>0</v>
      </c>
      <c r="R1035" s="9">
        <v>2002.0</v>
      </c>
      <c r="S1035" s="9">
        <v>7.6</v>
      </c>
    </row>
    <row r="1036" ht="15.75" customHeight="1">
      <c r="A1036" s="17" t="s">
        <v>3807</v>
      </c>
      <c r="B1036" s="8" t="str">
        <f>IFERROR(__xludf.DUMMYFUNCTION("REGEXREPLACE(A1036, ""[^0-9a-zA-Z .'Ã]"","""")"),"Ronny Yu")</f>
        <v>Ronny Yu</v>
      </c>
      <c r="C1036" s="18">
        <v>24.0</v>
      </c>
      <c r="D1036" s="19">
        <v>6448817.0</v>
      </c>
      <c r="E1036" s="18" t="s">
        <v>278</v>
      </c>
      <c r="F1036" s="9">
        <f t="shared" si="1"/>
        <v>3</v>
      </c>
      <c r="G1036" s="18" t="s">
        <v>3808</v>
      </c>
      <c r="H1036" s="11" t="str">
        <f>IFERROR(__xludf.DUMMYFUNCTION("REGEXREPLACE(G1036, ""[^0-9a-zA-Z .'Ã]"","""")"),"Marley Shelton")</f>
        <v>Marley Shelton</v>
      </c>
      <c r="I1036" s="20" t="s">
        <v>3809</v>
      </c>
      <c r="J1036" s="18">
        <v>2189.0</v>
      </c>
      <c r="K1036" s="18" t="s">
        <v>3810</v>
      </c>
      <c r="L1036" s="18">
        <v>31.0</v>
      </c>
      <c r="M1036" s="18" t="s">
        <v>24</v>
      </c>
      <c r="N1036" s="18" t="s">
        <v>25</v>
      </c>
      <c r="O1036" s="19">
        <v>3.5E7</v>
      </c>
      <c r="P1036" s="10">
        <f t="shared" si="2"/>
        <v>0</v>
      </c>
      <c r="Q1036" s="12">
        <f t="shared" si="3"/>
        <v>28551183</v>
      </c>
      <c r="R1036" s="18">
        <v>1997.0</v>
      </c>
      <c r="S1036" s="18">
        <v>4.6</v>
      </c>
    </row>
    <row r="1037" ht="15.75" customHeight="1">
      <c r="A1037" s="17" t="s">
        <v>3811</v>
      </c>
      <c r="B1037" s="8" t="str">
        <f>IFERROR(__xludf.DUMMYFUNCTION("REGEXREPLACE(A1037, ""[^0-9a-zA-Z .'Ã]"","""")"),"Howard Deutch")</f>
        <v>Howard Deutch</v>
      </c>
      <c r="C1037" s="18">
        <v>74.0</v>
      </c>
      <c r="D1037" s="19">
        <v>1.6323969E7</v>
      </c>
      <c r="E1037" s="18" t="s">
        <v>589</v>
      </c>
      <c r="F1037" s="9">
        <f t="shared" si="1"/>
        <v>3</v>
      </c>
      <c r="G1037" s="18" t="s">
        <v>55</v>
      </c>
      <c r="H1037" s="11" t="str">
        <f>IFERROR(__xludf.DUMMYFUNCTION("REGEXREPLACE(G1037, ""[^0-9a-zA-Z .'Ã]"","""")"),"Bruce Willis")</f>
        <v>Bruce Willis</v>
      </c>
      <c r="I1037" s="20" t="s">
        <v>3812</v>
      </c>
      <c r="J1037" s="18">
        <v>45775.0</v>
      </c>
      <c r="K1037" s="18" t="s">
        <v>3813</v>
      </c>
      <c r="L1037" s="18">
        <v>112.0</v>
      </c>
      <c r="M1037" s="18" t="s">
        <v>24</v>
      </c>
      <c r="N1037" s="18" t="s">
        <v>25</v>
      </c>
      <c r="O1037" s="19">
        <v>4.0E7</v>
      </c>
      <c r="P1037" s="10">
        <f t="shared" si="2"/>
        <v>0</v>
      </c>
      <c r="Q1037" s="12">
        <f t="shared" si="3"/>
        <v>23676031</v>
      </c>
      <c r="R1037" s="18">
        <v>2004.0</v>
      </c>
      <c r="S1037" s="18">
        <v>5.5</v>
      </c>
    </row>
    <row r="1038" ht="15.75" customHeight="1">
      <c r="A1038" s="17" t="s">
        <v>1458</v>
      </c>
      <c r="B1038" s="8" t="str">
        <f>IFERROR(__xludf.DUMMYFUNCTION("REGEXREPLACE(A1038, ""[^0-9a-zA-Z .'Ã]"","""")"),"Bobby Farrelly")</f>
        <v>Bobby Farrelly</v>
      </c>
      <c r="C1038" s="18">
        <v>109.0</v>
      </c>
      <c r="D1038" s="19">
        <v>7.0836296E7</v>
      </c>
      <c r="E1038" s="18" t="s">
        <v>59</v>
      </c>
      <c r="F1038" s="9">
        <f t="shared" si="1"/>
        <v>4</v>
      </c>
      <c r="G1038" s="18" t="s">
        <v>1374</v>
      </c>
      <c r="H1038" s="11" t="str">
        <f>IFERROR(__xludf.DUMMYFUNCTION("REGEXREPLACE(G1038, ""[^0-9a-zA-Z .'Ã]"","""")"),"Jason Alexander")</f>
        <v>Jason Alexander</v>
      </c>
      <c r="I1038" s="20" t="s">
        <v>3814</v>
      </c>
      <c r="J1038" s="18">
        <v>109445.0</v>
      </c>
      <c r="K1038" s="18" t="s">
        <v>3815</v>
      </c>
      <c r="L1038" s="18">
        <v>426.0</v>
      </c>
      <c r="M1038" s="18" t="s">
        <v>24</v>
      </c>
      <c r="N1038" s="18" t="s">
        <v>25</v>
      </c>
      <c r="O1038" s="19">
        <v>4.0E7</v>
      </c>
      <c r="P1038" s="10">
        <f t="shared" si="2"/>
        <v>30836296</v>
      </c>
      <c r="Q1038" s="12">
        <f t="shared" si="3"/>
        <v>0</v>
      </c>
      <c r="R1038" s="18">
        <v>2001.0</v>
      </c>
      <c r="S1038" s="18">
        <v>5.9</v>
      </c>
    </row>
    <row r="1039" ht="15.75" customHeight="1">
      <c r="A1039" s="7" t="s">
        <v>3816</v>
      </c>
      <c r="B1039" s="8" t="str">
        <f>IFERROR(__xludf.DUMMYFUNCTION("REGEXREPLACE(A1039, ""[^0-9a-zA-Z .'Ã]"","""")"),"Jeff Nichols")</f>
        <v>Jeff Nichols</v>
      </c>
      <c r="C1039" s="9">
        <v>359.0</v>
      </c>
      <c r="D1039" s="10">
        <v>1729969.0</v>
      </c>
      <c r="E1039" s="9" t="s">
        <v>369</v>
      </c>
      <c r="F1039" s="9">
        <f t="shared" si="1"/>
        <v>2</v>
      </c>
      <c r="G1039" s="9" t="s">
        <v>3817</v>
      </c>
      <c r="H1039" s="11" t="str">
        <f>IFERROR(__xludf.DUMMYFUNCTION("REGEXREPLACE(G1039, ""[^0-9a-zA-Z .'Ã]"","""")"),"Katy Mixon")</f>
        <v>Katy Mixon</v>
      </c>
      <c r="I1039" s="11" t="s">
        <v>3818</v>
      </c>
      <c r="J1039" s="9">
        <v>68211.0</v>
      </c>
      <c r="K1039" s="9" t="s">
        <v>3819</v>
      </c>
      <c r="L1039" s="9">
        <v>219.0</v>
      </c>
      <c r="M1039" s="9" t="s">
        <v>24</v>
      </c>
      <c r="N1039" s="9" t="s">
        <v>25</v>
      </c>
      <c r="O1039" s="10">
        <v>5000000.0</v>
      </c>
      <c r="P1039" s="10">
        <f t="shared" si="2"/>
        <v>0</v>
      </c>
      <c r="Q1039" s="12">
        <f t="shared" si="3"/>
        <v>3270031</v>
      </c>
      <c r="R1039" s="9">
        <v>2011.0</v>
      </c>
      <c r="S1039" s="9">
        <v>7.4</v>
      </c>
    </row>
    <row r="1040" ht="15.75" customHeight="1">
      <c r="A1040" s="7" t="s">
        <v>3820</v>
      </c>
      <c r="B1040" s="8" t="str">
        <f>IFERROR(__xludf.DUMMYFUNCTION("REGEXREPLACE(A1040, ""[^0-9a-zA-Z .'Ã]"","""")"),"Baz Luhrmann")</f>
        <v>Baz Luhrmann</v>
      </c>
      <c r="C1040" s="9">
        <v>209.0</v>
      </c>
      <c r="D1040" s="10">
        <v>5.7386369E7</v>
      </c>
      <c r="E1040" s="9" t="s">
        <v>666</v>
      </c>
      <c r="F1040" s="9">
        <f t="shared" si="1"/>
        <v>3</v>
      </c>
      <c r="G1040" s="9" t="s">
        <v>1846</v>
      </c>
      <c r="H1040" s="11" t="str">
        <f>IFERROR(__xludf.DUMMYFUNCTION("REGEXREPLACE(G1040, ""[^0-9a-zA-Z .'Ã]"","""")"),"Jim Broadbent")</f>
        <v>Jim Broadbent</v>
      </c>
      <c r="I1040" s="11" t="s">
        <v>3821</v>
      </c>
      <c r="J1040" s="9">
        <v>224013.0</v>
      </c>
      <c r="K1040" s="9" t="s">
        <v>3822</v>
      </c>
      <c r="L1040" s="9">
        <v>2319.0</v>
      </c>
      <c r="M1040" s="9" t="s">
        <v>24</v>
      </c>
      <c r="N1040" s="9" t="s">
        <v>25</v>
      </c>
      <c r="O1040" s="10">
        <v>5.25E7</v>
      </c>
      <c r="P1040" s="10">
        <f t="shared" si="2"/>
        <v>4886369</v>
      </c>
      <c r="Q1040" s="12">
        <f t="shared" si="3"/>
        <v>0</v>
      </c>
      <c r="R1040" s="9">
        <v>2001.0</v>
      </c>
      <c r="S1040" s="9">
        <v>7.6</v>
      </c>
    </row>
    <row r="1041" ht="15.75" customHeight="1">
      <c r="A1041" s="21" t="s">
        <v>3000</v>
      </c>
      <c r="B1041" s="8" t="str">
        <f>IFERROR(__xludf.DUMMYFUNCTION("REGEXREPLACE(A1041, ""[^0-9a-zA-Z .'Ã]"","""")"),"Mary Lambert")</f>
        <v>Mary Lambert</v>
      </c>
      <c r="C1041" s="22">
        <v>49.0</v>
      </c>
      <c r="D1041" s="23">
        <v>5217498.0</v>
      </c>
      <c r="E1041" s="22" t="s">
        <v>311</v>
      </c>
      <c r="F1041" s="9">
        <f t="shared" si="1"/>
        <v>3</v>
      </c>
      <c r="G1041" s="22" t="s">
        <v>3823</v>
      </c>
      <c r="H1041" s="11" t="str">
        <f>IFERROR(__xludf.DUMMYFUNCTION("REGEXREPLACE(G1041, ""[^0-9a-zA-Z .'Ã]"","""")"),"Matthew Settle")</f>
        <v>Matthew Settle</v>
      </c>
      <c r="I1041" s="24" t="s">
        <v>3824</v>
      </c>
      <c r="J1041" s="22">
        <v>3668.0</v>
      </c>
      <c r="K1041" s="22" t="s">
        <v>3825</v>
      </c>
      <c r="L1041" s="22">
        <v>85.0</v>
      </c>
      <c r="M1041" s="22" t="s">
        <v>24</v>
      </c>
      <c r="N1041" s="22" t="s">
        <v>25</v>
      </c>
      <c r="O1041" s="23">
        <v>1.5E7</v>
      </c>
      <c r="P1041" s="10">
        <f t="shared" si="2"/>
        <v>0</v>
      </c>
      <c r="Q1041" s="12">
        <f t="shared" si="3"/>
        <v>9782502</v>
      </c>
      <c r="R1041" s="22">
        <v>2000.0</v>
      </c>
      <c r="S1041" s="22">
        <v>4.6</v>
      </c>
    </row>
    <row r="1042" ht="15.75" customHeight="1">
      <c r="A1042" s="7" t="s">
        <v>3826</v>
      </c>
      <c r="B1042" s="8" t="str">
        <f>IFERROR(__xludf.DUMMYFUNCTION("REGEXREPLACE(A1042, ""[^0-9a-zA-Z .'Ã]"","""")"),"Alan J. Pakula")</f>
        <v>Alan J. Pakula</v>
      </c>
      <c r="C1042" s="9">
        <v>43.0</v>
      </c>
      <c r="D1042" s="10">
        <v>1.00768056E8</v>
      </c>
      <c r="E1042" s="9" t="s">
        <v>435</v>
      </c>
      <c r="F1042" s="9">
        <f t="shared" si="1"/>
        <v>4</v>
      </c>
      <c r="G1042" s="9" t="s">
        <v>70</v>
      </c>
      <c r="H1042" s="11" t="str">
        <f>IFERROR(__xludf.DUMMYFUNCTION("REGEXREPLACE(G1042, ""[^0-9a-zA-Z .'Ã]"","""")"),"Denzel Washington")</f>
        <v>Denzel Washington</v>
      </c>
      <c r="I1042" s="11" t="s">
        <v>3827</v>
      </c>
      <c r="J1042" s="9">
        <v>59569.0</v>
      </c>
      <c r="K1042" s="9" t="s">
        <v>3828</v>
      </c>
      <c r="L1042" s="9">
        <v>89.0</v>
      </c>
      <c r="M1042" s="9" t="s">
        <v>24</v>
      </c>
      <c r="N1042" s="9" t="s">
        <v>25</v>
      </c>
      <c r="O1042" s="10">
        <v>4.5E7</v>
      </c>
      <c r="P1042" s="10">
        <f t="shared" si="2"/>
        <v>55768056</v>
      </c>
      <c r="Q1042" s="12">
        <f t="shared" si="3"/>
        <v>0</v>
      </c>
      <c r="R1042" s="9">
        <v>1993.0</v>
      </c>
      <c r="S1042" s="9">
        <v>6.5</v>
      </c>
    </row>
    <row r="1043" ht="15.75" customHeight="1">
      <c r="A1043" s="7" t="s">
        <v>959</v>
      </c>
      <c r="B1043" s="8" t="str">
        <f>IFERROR(__xludf.DUMMYFUNCTION("REGEXREPLACE(A1043, ""[^0-9a-zA-Z .'Ã]"","""")"),"Oliver Stone")</f>
        <v>Oliver Stone</v>
      </c>
      <c r="C1043" s="9">
        <v>82.0</v>
      </c>
      <c r="D1043" s="10">
        <v>3.5183792E7</v>
      </c>
      <c r="E1043" s="9" t="s">
        <v>2436</v>
      </c>
      <c r="F1043" s="9">
        <f t="shared" si="1"/>
        <v>4</v>
      </c>
      <c r="G1043" s="9" t="s">
        <v>3829</v>
      </c>
      <c r="H1043" s="11" t="str">
        <f>IFERROR(__xludf.DUMMYFUNCTION("REGEXREPLACE(G1043, ""[^0-9a-zA-Z .'Ã]"","""")"),"Michael Wincott")</f>
        <v>Michael Wincott</v>
      </c>
      <c r="I1043" s="11" t="s">
        <v>3830</v>
      </c>
      <c r="J1043" s="9">
        <v>68159.0</v>
      </c>
      <c r="K1043" s="9" t="s">
        <v>3831</v>
      </c>
      <c r="L1043" s="9">
        <v>209.0</v>
      </c>
      <c r="M1043" s="9" t="s">
        <v>24</v>
      </c>
      <c r="N1043" s="9" t="s">
        <v>25</v>
      </c>
      <c r="O1043" s="10">
        <v>3.8E7</v>
      </c>
      <c r="P1043" s="10">
        <f t="shared" si="2"/>
        <v>0</v>
      </c>
      <c r="Q1043" s="12">
        <f t="shared" si="3"/>
        <v>2816208</v>
      </c>
      <c r="R1043" s="9">
        <v>1991.0</v>
      </c>
      <c r="S1043" s="9">
        <v>7.2</v>
      </c>
    </row>
    <row r="1044" ht="15.75" customHeight="1">
      <c r="A1044" s="17" t="s">
        <v>3832</v>
      </c>
      <c r="B1044" s="8" t="str">
        <f>IFERROR(__xludf.DUMMYFUNCTION("REGEXREPLACE(A1044, ""[^0-9a-zA-Z .'Ã]"","""")"),"Doug Liman")</f>
        <v>Doug Liman</v>
      </c>
      <c r="C1044" s="18">
        <v>214.0</v>
      </c>
      <c r="D1044" s="19">
        <v>9528092.0</v>
      </c>
      <c r="E1044" s="18" t="s">
        <v>431</v>
      </c>
      <c r="F1044" s="9">
        <f t="shared" si="1"/>
        <v>3</v>
      </c>
      <c r="G1044" s="18" t="s">
        <v>874</v>
      </c>
      <c r="H1044" s="11" t="str">
        <f>IFERROR(__xludf.DUMMYFUNCTION("REGEXREPLACE(G1044, ""[^0-9a-zA-Z .'Ã]"","""")"),"Naomi Watts")</f>
        <v>Naomi Watts</v>
      </c>
      <c r="I1044" s="20" t="s">
        <v>3833</v>
      </c>
      <c r="J1044" s="18">
        <v>38513.0</v>
      </c>
      <c r="K1044" s="18" t="s">
        <v>3834</v>
      </c>
      <c r="L1044" s="18">
        <v>127.0</v>
      </c>
      <c r="M1044" s="18" t="s">
        <v>24</v>
      </c>
      <c r="N1044" s="18" t="s">
        <v>25</v>
      </c>
      <c r="O1044" s="19">
        <v>2.2E7</v>
      </c>
      <c r="P1044" s="10">
        <f t="shared" si="2"/>
        <v>0</v>
      </c>
      <c r="Q1044" s="12">
        <f t="shared" si="3"/>
        <v>12471908</v>
      </c>
      <c r="R1044" s="18">
        <v>2010.0</v>
      </c>
      <c r="S1044" s="18">
        <v>6.8</v>
      </c>
    </row>
    <row r="1045" ht="15.75" customHeight="1">
      <c r="A1045" s="25" t="s">
        <v>2952</v>
      </c>
      <c r="B1045" s="8" t="str">
        <f>IFERROR(__xludf.DUMMYFUNCTION("REGEXREPLACE(A1045, ""[^0-9a-zA-Z .'Ã]"","""")"),"Rachel Talalay")</f>
        <v>Rachel Talalay</v>
      </c>
      <c r="C1045" s="26">
        <v>91.0</v>
      </c>
      <c r="D1045" s="27">
        <v>3.4872293E7</v>
      </c>
      <c r="E1045" s="26" t="s">
        <v>2328</v>
      </c>
      <c r="F1045" s="9">
        <f t="shared" si="1"/>
        <v>4</v>
      </c>
      <c r="G1045" s="26" t="s">
        <v>85</v>
      </c>
      <c r="H1045" s="11" t="str">
        <f>IFERROR(__xludf.DUMMYFUNCTION("REGEXREPLACE(G1045, ""[^0-9a-zA-Z .'Ã]"","""")"),"Johnny Depp")</f>
        <v>Johnny Depp</v>
      </c>
      <c r="I1045" s="28" t="s">
        <v>3835</v>
      </c>
      <c r="J1045" s="26">
        <v>30765.0</v>
      </c>
      <c r="K1045" s="26" t="s">
        <v>3836</v>
      </c>
      <c r="L1045" s="26">
        <v>252.0</v>
      </c>
      <c r="M1045" s="26" t="s">
        <v>24</v>
      </c>
      <c r="N1045" s="26" t="s">
        <v>25</v>
      </c>
      <c r="O1045" s="27">
        <v>8500000.0</v>
      </c>
      <c r="P1045" s="10">
        <f t="shared" si="2"/>
        <v>26372293</v>
      </c>
      <c r="Q1045" s="12">
        <f t="shared" si="3"/>
        <v>0</v>
      </c>
      <c r="R1045" s="26">
        <v>1991.0</v>
      </c>
      <c r="S1045" s="26">
        <v>4.9</v>
      </c>
    </row>
    <row r="1046" ht="15.75" customHeight="1">
      <c r="A1046" s="7" t="s">
        <v>938</v>
      </c>
      <c r="B1046" s="8" t="str">
        <f>IFERROR(__xludf.DUMMYFUNCTION("REGEXREPLACE(A1046, ""[^0-9a-zA-Z -.'Ã]"","""")"),"Jaume Collet-Serra")</f>
        <v>Jaume Collet-Serra</v>
      </c>
      <c r="C1046" s="9">
        <v>186.0</v>
      </c>
      <c r="D1046" s="10">
        <v>5.4257433E7</v>
      </c>
      <c r="E1046" s="9" t="s">
        <v>1840</v>
      </c>
      <c r="F1046" s="9">
        <f t="shared" si="1"/>
        <v>3</v>
      </c>
      <c r="G1046" s="9" t="s">
        <v>3837</v>
      </c>
      <c r="H1046" s="11" t="str">
        <f>IFERROR(__xludf.DUMMYFUNCTION("REGEXREPLACE(G1046, ""[^0-9a-zA-Z .'Ã]"","""")"),"Ãscar Jaenada")</f>
        <v>Ãscar Jaenada</v>
      </c>
      <c r="I1046" s="11" t="s">
        <v>3838</v>
      </c>
      <c r="J1046" s="9">
        <v>12983.0</v>
      </c>
      <c r="K1046" s="9" t="s">
        <v>3839</v>
      </c>
      <c r="L1046" s="9">
        <v>139.0</v>
      </c>
      <c r="M1046" s="9" t="s">
        <v>24</v>
      </c>
      <c r="N1046" s="9" t="s">
        <v>25</v>
      </c>
      <c r="O1046" s="10">
        <v>1.7E7</v>
      </c>
      <c r="P1046" s="10">
        <f t="shared" si="2"/>
        <v>37257433</v>
      </c>
      <c r="Q1046" s="12">
        <f t="shared" si="3"/>
        <v>0</v>
      </c>
      <c r="R1046" s="9">
        <v>2016.0</v>
      </c>
      <c r="S1046" s="9">
        <v>6.8</v>
      </c>
    </row>
    <row r="1047" ht="15.75" customHeight="1">
      <c r="A1047" s="7" t="s">
        <v>3840</v>
      </c>
      <c r="B1047" s="8" t="str">
        <f>IFERROR(__xludf.DUMMYFUNCTION("REGEXREPLACE(A1047, ""[^0-9a-zA-Z .'Ã]"","""")"),"DJ Pooh")</f>
        <v>DJ Pooh</v>
      </c>
      <c r="C1047" s="9">
        <v>22.0</v>
      </c>
      <c r="D1047" s="10">
        <v>9821335.0</v>
      </c>
      <c r="E1047" s="9" t="s">
        <v>137</v>
      </c>
      <c r="F1047" s="9">
        <f t="shared" si="1"/>
        <v>1</v>
      </c>
      <c r="G1047" s="9" t="s">
        <v>2279</v>
      </c>
      <c r="H1047" s="11" t="str">
        <f>IFERROR(__xludf.DUMMYFUNCTION("REGEXREPLACE(G1047, ""[^0-9a-zA-Z .'Ã]"","""")"),"Mo'Nique")</f>
        <v>Mo'Nique</v>
      </c>
      <c r="I1047" s="11" t="s">
        <v>3841</v>
      </c>
      <c r="J1047" s="9">
        <v>1415.0</v>
      </c>
      <c r="K1047" s="9" t="s">
        <v>3842</v>
      </c>
      <c r="L1047" s="9">
        <v>10.0</v>
      </c>
      <c r="M1047" s="9" t="s">
        <v>24</v>
      </c>
      <c r="N1047" s="9" t="s">
        <v>25</v>
      </c>
      <c r="O1047" s="10">
        <v>6000000.0</v>
      </c>
      <c r="P1047" s="10">
        <f t="shared" si="2"/>
        <v>3821335</v>
      </c>
      <c r="Q1047" s="12">
        <f t="shared" si="3"/>
        <v>0</v>
      </c>
      <c r="R1047" s="9">
        <v>2000.0</v>
      </c>
      <c r="S1047" s="9">
        <v>4.0</v>
      </c>
    </row>
    <row r="1048" ht="15.75" customHeight="1">
      <c r="A1048" s="17" t="s">
        <v>3843</v>
      </c>
      <c r="B1048" s="8" t="str">
        <f>IFERROR(__xludf.DUMMYFUNCTION("REGEXREPLACE(A1048, ""[^0-9a-zA-Z .'Ã]"","""")"),"Nicholas Stoller")</f>
        <v>Nicholas Stoller</v>
      </c>
      <c r="C1048" s="18">
        <v>177.0</v>
      </c>
      <c r="D1048" s="19">
        <v>5.5291815E7</v>
      </c>
      <c r="E1048" s="18" t="s">
        <v>137</v>
      </c>
      <c r="F1048" s="9">
        <f t="shared" si="1"/>
        <v>1</v>
      </c>
      <c r="G1048" s="18" t="s">
        <v>2259</v>
      </c>
      <c r="H1048" s="11" t="str">
        <f>IFERROR(__xludf.DUMMYFUNCTION("REGEXREPLACE(G1048, ""[^0-9a-zA-Z .'Ã]"","""")"),"ChloÃ Grace Moretz")</f>
        <v>ChloÃ Grace Moretz</v>
      </c>
      <c r="I1048" s="20" t="s">
        <v>3844</v>
      </c>
      <c r="J1048" s="18">
        <v>28041.0</v>
      </c>
      <c r="K1048" s="18" t="s">
        <v>3845</v>
      </c>
      <c r="L1048" s="18">
        <v>111.0</v>
      </c>
      <c r="M1048" s="18" t="s">
        <v>24</v>
      </c>
      <c r="N1048" s="18" t="s">
        <v>25</v>
      </c>
      <c r="O1048" s="19">
        <v>3.5E7</v>
      </c>
      <c r="P1048" s="10">
        <f t="shared" si="2"/>
        <v>20291815</v>
      </c>
      <c r="Q1048" s="12">
        <f t="shared" si="3"/>
        <v>0</v>
      </c>
      <c r="R1048" s="18">
        <v>2016.0</v>
      </c>
      <c r="S1048" s="18">
        <v>6.0</v>
      </c>
    </row>
    <row r="1049" ht="15.75" customHeight="1">
      <c r="A1049" s="7" t="s">
        <v>868</v>
      </c>
      <c r="B1049" s="8" t="str">
        <f>IFERROR(__xludf.DUMMYFUNCTION("REGEXREPLACE(A1049, ""[^0-9a-zA-Z .'Ã]"","""")"),"John Woo")</f>
        <v>John Woo</v>
      </c>
      <c r="C1049" s="9">
        <v>237.0</v>
      </c>
      <c r="D1049" s="10">
        <v>2.15397307E8</v>
      </c>
      <c r="E1049" s="9" t="s">
        <v>474</v>
      </c>
      <c r="F1049" s="9">
        <f t="shared" si="1"/>
        <v>3</v>
      </c>
      <c r="G1049" s="9" t="s">
        <v>220</v>
      </c>
      <c r="H1049" s="11" t="str">
        <f>IFERROR(__xludf.DUMMYFUNCTION("REGEXREPLACE(G1049, ""[^0-9a-zA-Z .'Ã]"","""")"),"Tom Cruise")</f>
        <v>Tom Cruise</v>
      </c>
      <c r="I1049" s="11" t="s">
        <v>3846</v>
      </c>
      <c r="J1049" s="9">
        <v>242188.0</v>
      </c>
      <c r="K1049" s="9" t="s">
        <v>3847</v>
      </c>
      <c r="L1049" s="9">
        <v>1426.0</v>
      </c>
      <c r="M1049" s="9" t="s">
        <v>24</v>
      </c>
      <c r="N1049" s="9" t="s">
        <v>25</v>
      </c>
      <c r="O1049" s="10">
        <v>1.25E8</v>
      </c>
      <c r="P1049" s="10">
        <f t="shared" si="2"/>
        <v>90397307</v>
      </c>
      <c r="Q1049" s="12">
        <f t="shared" si="3"/>
        <v>0</v>
      </c>
      <c r="R1049" s="9">
        <v>2000.0</v>
      </c>
      <c r="S1049" s="9">
        <v>6.1</v>
      </c>
    </row>
    <row r="1050" ht="15.75" customHeight="1">
      <c r="A1050" s="21" t="s">
        <v>3848</v>
      </c>
      <c r="B1050" s="8" t="str">
        <f>IFERROR(__xludf.DUMMYFUNCTION("REGEXREPLACE(A1050, ""[^0-9a-zA-Z .'Ã]"","""")"),"James David Pasternak")</f>
        <v>James David Pasternak</v>
      </c>
      <c r="C1050" s="22">
        <v>17.0</v>
      </c>
      <c r="D1050" s="23">
        <v>7826.0</v>
      </c>
      <c r="E1050" s="22" t="s">
        <v>3781</v>
      </c>
      <c r="F1050" s="9">
        <f t="shared" si="1"/>
        <v>2</v>
      </c>
      <c r="G1050" s="22" t="s">
        <v>673</v>
      </c>
      <c r="H1050" s="11" t="str">
        <f>IFERROR(__xludf.DUMMYFUNCTION("REGEXREPLACE(G1050, ""[^0-9a-zA-Z .'Ã]"","""")"),"Robin Williams")</f>
        <v>Robin Williams</v>
      </c>
      <c r="I1050" s="24" t="s">
        <v>3849</v>
      </c>
      <c r="J1050" s="22">
        <v>132.0</v>
      </c>
      <c r="K1050" s="22" t="s">
        <v>3850</v>
      </c>
      <c r="L1050" s="22">
        <v>2.0</v>
      </c>
      <c r="M1050" s="22" t="s">
        <v>24</v>
      </c>
      <c r="N1050" s="22" t="s">
        <v>25</v>
      </c>
      <c r="O1050" s="23">
        <v>1200000.0</v>
      </c>
      <c r="P1050" s="10">
        <f t="shared" si="2"/>
        <v>0</v>
      </c>
      <c r="Q1050" s="12">
        <f t="shared" si="3"/>
        <v>1192174</v>
      </c>
      <c r="R1050" s="22">
        <v>2007.0</v>
      </c>
      <c r="S1050" s="22">
        <v>6.2</v>
      </c>
    </row>
    <row r="1051" ht="15.75" customHeight="1">
      <c r="A1051" s="7" t="s">
        <v>3067</v>
      </c>
      <c r="B1051" s="8" t="str">
        <f>IFERROR(__xludf.DUMMYFUNCTION("REGEXREPLACE(A1051, ""[^0-9a-zA-Z .'Ã]"","""")"),"Todd Phillips")</f>
        <v>Todd Phillips</v>
      </c>
      <c r="C1051" s="9">
        <v>103.0</v>
      </c>
      <c r="D1051" s="10">
        <v>6.8525609E7</v>
      </c>
      <c r="E1051" s="9" t="s">
        <v>137</v>
      </c>
      <c r="F1051" s="9">
        <f t="shared" si="1"/>
        <v>1</v>
      </c>
      <c r="G1051" s="9" t="s">
        <v>2782</v>
      </c>
      <c r="H1051" s="11" t="str">
        <f>IFERROR(__xludf.DUMMYFUNCTION("REGEXREPLACE(G1051, ""[^0-9a-zA-Z .'Ã]"","""")"),"Ethan Suplee")</f>
        <v>Ethan Suplee</v>
      </c>
      <c r="I1051" s="11" t="s">
        <v>3851</v>
      </c>
      <c r="J1051" s="9">
        <v>132963.0</v>
      </c>
      <c r="K1051" s="9" t="s">
        <v>3852</v>
      </c>
      <c r="L1051" s="9">
        <v>302.0</v>
      </c>
      <c r="M1051" s="9" t="s">
        <v>24</v>
      </c>
      <c r="N1051" s="9" t="s">
        <v>25</v>
      </c>
      <c r="O1051" s="10">
        <v>1.56E7</v>
      </c>
      <c r="P1051" s="10">
        <f t="shared" si="2"/>
        <v>52925609</v>
      </c>
      <c r="Q1051" s="12">
        <f t="shared" si="3"/>
        <v>0</v>
      </c>
      <c r="R1051" s="9">
        <v>2000.0</v>
      </c>
      <c r="S1051" s="9">
        <v>6.5</v>
      </c>
    </row>
    <row r="1052" ht="15.75" customHeight="1">
      <c r="A1052" s="21" t="s">
        <v>2499</v>
      </c>
      <c r="B1052" s="8" t="str">
        <f>IFERROR(__xludf.DUMMYFUNCTION("REGEXREPLACE(A1052, ""[^0-9a-zA-Z .'Ã]"","""")"),"Joe Wright")</f>
        <v>Joe Wright</v>
      </c>
      <c r="C1052" s="22">
        <v>417.0</v>
      </c>
      <c r="D1052" s="23">
        <v>4.0247512E7</v>
      </c>
      <c r="E1052" s="22" t="s">
        <v>175</v>
      </c>
      <c r="F1052" s="9">
        <f t="shared" si="1"/>
        <v>3</v>
      </c>
      <c r="G1052" s="22" t="s">
        <v>3853</v>
      </c>
      <c r="H1052" s="11" t="str">
        <f>IFERROR(__xludf.DUMMYFUNCTION("REGEXREPLACE(G1052, ""[^0-9a-zA-Z .'Ã]"","""")"),"Jessica Barden")</f>
        <v>Jessica Barden</v>
      </c>
      <c r="I1052" s="24" t="s">
        <v>3854</v>
      </c>
      <c r="J1052" s="22">
        <v>159198.0</v>
      </c>
      <c r="K1052" s="22" t="s">
        <v>3855</v>
      </c>
      <c r="L1052" s="22">
        <v>438.0</v>
      </c>
      <c r="M1052" s="22" t="s">
        <v>24</v>
      </c>
      <c r="N1052" s="22" t="s">
        <v>25</v>
      </c>
      <c r="O1052" s="23">
        <v>3.0E7</v>
      </c>
      <c r="P1052" s="10">
        <f t="shared" si="2"/>
        <v>10247512</v>
      </c>
      <c r="Q1052" s="12">
        <f t="shared" si="3"/>
        <v>0</v>
      </c>
      <c r="R1052" s="22">
        <v>2011.0</v>
      </c>
      <c r="S1052" s="22">
        <v>6.8</v>
      </c>
    </row>
    <row r="1053" ht="15.75" customHeight="1">
      <c r="A1053" s="7" t="s">
        <v>3049</v>
      </c>
      <c r="B1053" s="8" t="str">
        <f>IFERROR(__xludf.DUMMYFUNCTION("REGEXREPLACE(A1053, ""[^0-9a-zA-Z .'Ã]"","""")"),"Randall Miller")</f>
        <v>Randall Miller</v>
      </c>
      <c r="C1053" s="9">
        <v>1.0</v>
      </c>
      <c r="D1053" s="10">
        <v>333658.0</v>
      </c>
      <c r="E1053" s="9" t="s">
        <v>3856</v>
      </c>
      <c r="F1053" s="9">
        <f t="shared" si="1"/>
        <v>5</v>
      </c>
      <c r="G1053" s="9" t="s">
        <v>3857</v>
      </c>
      <c r="H1053" s="11" t="str">
        <f>IFERROR(__xludf.DUMMYFUNCTION("REGEXREPLACE(G1053, ""[^0-9a-zA-Z .'Ã]"","""")"),"William Hurt")</f>
        <v>William Hurt</v>
      </c>
      <c r="I1053" s="11" t="s">
        <v>3858</v>
      </c>
      <c r="J1053" s="9">
        <v>97.0</v>
      </c>
      <c r="K1053" s="9" t="s">
        <v>3859</v>
      </c>
      <c r="L1053" s="9">
        <v>2.0</v>
      </c>
      <c r="M1053" s="9" t="s">
        <v>24</v>
      </c>
      <c r="N1053" s="9" t="s">
        <v>25</v>
      </c>
      <c r="O1053" s="10">
        <v>34000.0</v>
      </c>
      <c r="P1053" s="10">
        <f t="shared" si="2"/>
        <v>299658</v>
      </c>
      <c r="Q1053" s="12">
        <f t="shared" si="3"/>
        <v>0</v>
      </c>
      <c r="R1053" s="9">
        <v>1990.0</v>
      </c>
      <c r="S1053" s="9">
        <v>7.1</v>
      </c>
    </row>
    <row r="1054" ht="15.75" customHeight="1">
      <c r="A1054" s="29" t="s">
        <v>73</v>
      </c>
      <c r="B1054" s="8" t="str">
        <f>IFERROR(__xludf.DUMMYFUNCTION("REGEXREPLACE(A1054, ""[^0-9a-zA-Z .'Ã]"","""")"),"Ridley Scott")</f>
        <v>Ridley Scott</v>
      </c>
      <c r="C1054" s="30">
        <v>314.0</v>
      </c>
      <c r="D1054" s="31">
        <v>6.5007045E7</v>
      </c>
      <c r="E1054" s="30" t="s">
        <v>3860</v>
      </c>
      <c r="F1054" s="9">
        <f t="shared" si="1"/>
        <v>3</v>
      </c>
      <c r="G1054" s="30" t="s">
        <v>1579</v>
      </c>
      <c r="H1054" s="11" t="str">
        <f>IFERROR(__xludf.DUMMYFUNCTION("REGEXREPLACE(G1054, ""[^0-9a-zA-Z .'Ã]"","""")"),"Christian Bale")</f>
        <v>Christian Bale</v>
      </c>
      <c r="I1054" s="32" t="s">
        <v>3861</v>
      </c>
      <c r="J1054" s="30">
        <v>128682.0</v>
      </c>
      <c r="K1054" s="30" t="s">
        <v>3862</v>
      </c>
      <c r="L1054" s="30">
        <v>657.0</v>
      </c>
      <c r="M1054" s="30" t="s">
        <v>24</v>
      </c>
      <c r="N1054" s="30" t="s">
        <v>130</v>
      </c>
      <c r="O1054" s="31">
        <v>1.4E8</v>
      </c>
      <c r="P1054" s="10">
        <f t="shared" si="2"/>
        <v>0</v>
      </c>
      <c r="Q1054" s="12">
        <f t="shared" si="3"/>
        <v>74992955</v>
      </c>
      <c r="R1054" s="30">
        <v>2014.0</v>
      </c>
      <c r="S1054" s="30">
        <v>6.1</v>
      </c>
    </row>
    <row r="1055" ht="15.75" customHeight="1">
      <c r="A1055" s="21" t="s">
        <v>2649</v>
      </c>
      <c r="B1055" s="8" t="str">
        <f>IFERROR(__xludf.DUMMYFUNCTION("REGEXREPLACE(A1055, ""[^0-9a-zA-Z .'Ã]"","""")"),"Les Mayfield")</f>
        <v>Les Mayfield</v>
      </c>
      <c r="C1055" s="22">
        <v>44.0</v>
      </c>
      <c r="D1055" s="23">
        <v>1.3264986E7</v>
      </c>
      <c r="E1055" s="22" t="s">
        <v>3863</v>
      </c>
      <c r="F1055" s="9">
        <f t="shared" si="1"/>
        <v>2</v>
      </c>
      <c r="G1055" s="22" t="s">
        <v>3864</v>
      </c>
      <c r="H1055" s="11" t="str">
        <f>IFERROR(__xludf.DUMMYFUNCTION("REGEXREPLACE(G1055, ""[^0-9a-zA-Z .'Ã]"","""")"),"Gregory Smith")</f>
        <v>Gregory Smith</v>
      </c>
      <c r="I1055" s="24" t="s">
        <v>3865</v>
      </c>
      <c r="J1055" s="22">
        <v>12077.0</v>
      </c>
      <c r="K1055" s="22" t="s">
        <v>3866</v>
      </c>
      <c r="L1055" s="22">
        <v>162.0</v>
      </c>
      <c r="M1055" s="22" t="s">
        <v>24</v>
      </c>
      <c r="N1055" s="22" t="s">
        <v>25</v>
      </c>
      <c r="O1055" s="23">
        <v>3.5E7</v>
      </c>
      <c r="P1055" s="10">
        <f t="shared" si="2"/>
        <v>0</v>
      </c>
      <c r="Q1055" s="12">
        <f t="shared" si="3"/>
        <v>21735014</v>
      </c>
      <c r="R1055" s="22">
        <v>2001.0</v>
      </c>
      <c r="S1055" s="22">
        <v>6.0</v>
      </c>
    </row>
    <row r="1056" ht="15.75" customHeight="1">
      <c r="A1056" s="13" t="s">
        <v>305</v>
      </c>
      <c r="B1056" s="8" t="str">
        <f>IFERROR(__xludf.DUMMYFUNCTION("REGEXREPLACE(A1056, ""[^0-9a-zA-Z .'Ã]"","""")"),"M. Night Shyamalan")</f>
        <v>M. Night Shyamalan</v>
      </c>
      <c r="C1056" s="14">
        <v>284.0</v>
      </c>
      <c r="D1056" s="15">
        <v>4.2272747E7</v>
      </c>
      <c r="E1056" s="14" t="s">
        <v>2173</v>
      </c>
      <c r="F1056" s="9">
        <f t="shared" si="1"/>
        <v>4</v>
      </c>
      <c r="G1056" s="14" t="s">
        <v>1026</v>
      </c>
      <c r="H1056" s="11" t="str">
        <f>IFERROR(__xludf.DUMMYFUNCTION("REGEXREPLACE(G1056, ""[^0-9a-zA-Z .'Ã]"","""")"),"Bryce Dallas Howard")</f>
        <v>Bryce Dallas Howard</v>
      </c>
      <c r="I1056" s="16" t="s">
        <v>3867</v>
      </c>
      <c r="J1056" s="14">
        <v>78635.0</v>
      </c>
      <c r="K1056" s="14" t="s">
        <v>3868</v>
      </c>
      <c r="L1056" s="14">
        <v>1040.0</v>
      </c>
      <c r="M1056" s="14" t="s">
        <v>24</v>
      </c>
      <c r="N1056" s="14" t="s">
        <v>25</v>
      </c>
      <c r="O1056" s="15">
        <v>7.0E7</v>
      </c>
      <c r="P1056" s="10">
        <f t="shared" si="2"/>
        <v>0</v>
      </c>
      <c r="Q1056" s="12">
        <f t="shared" si="3"/>
        <v>27727253</v>
      </c>
      <c r="R1056" s="14">
        <v>2006.0</v>
      </c>
      <c r="S1056" s="14">
        <v>5.6</v>
      </c>
    </row>
    <row r="1057" ht="15.75" customHeight="1">
      <c r="A1057" s="7" t="s">
        <v>3869</v>
      </c>
      <c r="B1057" s="8" t="str">
        <f>IFERROR(__xludf.DUMMYFUNCTION("REGEXREPLACE(A1057, ""[^0-9a-zA-Z .'Ã]"","""")"),"Alan Cohn")</f>
        <v>Alan Cohn</v>
      </c>
      <c r="C1057" s="9">
        <v>37.0</v>
      </c>
      <c r="D1057" s="10">
        <v>1.5062898E7</v>
      </c>
      <c r="E1057" s="9" t="s">
        <v>137</v>
      </c>
      <c r="F1057" s="9">
        <f t="shared" si="1"/>
        <v>1</v>
      </c>
      <c r="G1057" s="9" t="s">
        <v>3870</v>
      </c>
      <c r="H1057" s="11" t="str">
        <f>IFERROR(__xludf.DUMMYFUNCTION("REGEXREPLACE(G1057, ""[^0-9a-zA-Z .'Ã]"","""")"),"Alyson Hannigan")</f>
        <v>Alyson Hannigan</v>
      </c>
      <c r="I1057" s="11" t="s">
        <v>3871</v>
      </c>
      <c r="J1057" s="9">
        <v>11729.0</v>
      </c>
      <c r="K1057" s="9" t="s">
        <v>3872</v>
      </c>
      <c r="L1057" s="9">
        <v>106.0</v>
      </c>
      <c r="M1057" s="9" t="s">
        <v>24</v>
      </c>
      <c r="N1057" s="9" t="s">
        <v>25</v>
      </c>
      <c r="O1057" s="10">
        <v>1.4E7</v>
      </c>
      <c r="P1057" s="10">
        <f t="shared" si="2"/>
        <v>1062898</v>
      </c>
      <c r="Q1057" s="12">
        <f t="shared" si="3"/>
        <v>0</v>
      </c>
      <c r="R1057" s="9">
        <v>1998.0</v>
      </c>
      <c r="S1057" s="9">
        <v>6.0</v>
      </c>
    </row>
    <row r="1058" ht="15.75" customHeight="1">
      <c r="A1058" s="7" t="s">
        <v>3873</v>
      </c>
      <c r="B1058" s="8" t="str">
        <f>IFERROR(__xludf.DUMMYFUNCTION("REGEXREPLACE(A1058, ""[^0-9a-zA-Z .'Ã]"","""")"),"Laurie Collyer")</f>
        <v>Laurie Collyer</v>
      </c>
      <c r="C1058" s="9">
        <v>78.0</v>
      </c>
      <c r="D1058" s="10">
        <v>198407.0</v>
      </c>
      <c r="E1058" s="9" t="s">
        <v>103</v>
      </c>
      <c r="F1058" s="9">
        <f t="shared" si="1"/>
        <v>1</v>
      </c>
      <c r="G1058" s="9" t="s">
        <v>3874</v>
      </c>
      <c r="H1058" s="11" t="str">
        <f>IFERROR(__xludf.DUMMYFUNCTION("REGEXREPLACE(G1058, ""[^0-9a-zA-Z .'Ã]"","""")"),"Brad William Henke")</f>
        <v>Brad William Henke</v>
      </c>
      <c r="I1058" s="11" t="s">
        <v>3875</v>
      </c>
      <c r="J1058" s="9">
        <v>10282.0</v>
      </c>
      <c r="K1058" s="9" t="s">
        <v>3876</v>
      </c>
      <c r="L1058" s="9">
        <v>78.0</v>
      </c>
      <c r="M1058" s="9" t="s">
        <v>24</v>
      </c>
      <c r="N1058" s="9" t="s">
        <v>25</v>
      </c>
      <c r="O1058" s="10">
        <v>2000000.0</v>
      </c>
      <c r="P1058" s="10">
        <f t="shared" si="2"/>
        <v>0</v>
      </c>
      <c r="Q1058" s="12">
        <f t="shared" si="3"/>
        <v>1801593</v>
      </c>
      <c r="R1058" s="9">
        <v>2006.0</v>
      </c>
      <c r="S1058" s="9">
        <v>6.6</v>
      </c>
    </row>
    <row r="1059" ht="15.75" customHeight="1">
      <c r="A1059" s="25" t="s">
        <v>1016</v>
      </c>
      <c r="B1059" s="8" t="str">
        <f>IFERROR(__xludf.DUMMYFUNCTION("REGEXREPLACE(A1059, ""[^0-9a-zA-Z .'Ã]"","""")"),"John Erick Dowdle")</f>
        <v>John Erick Dowdle</v>
      </c>
      <c r="C1059" s="26">
        <v>196.0</v>
      </c>
      <c r="D1059" s="27">
        <v>2.1197315E7</v>
      </c>
      <c r="E1059" s="26" t="s">
        <v>94</v>
      </c>
      <c r="F1059" s="9">
        <f t="shared" si="1"/>
        <v>3</v>
      </c>
      <c r="G1059" s="26" t="s">
        <v>3530</v>
      </c>
      <c r="H1059" s="11" t="str">
        <f>IFERROR(__xludf.DUMMYFUNCTION("REGEXREPLACE(G1059, ""[^0-9a-zA-Z .'Ã]"","""")"),"Ben Feldman")</f>
        <v>Ben Feldman</v>
      </c>
      <c r="I1059" s="28" t="s">
        <v>3877</v>
      </c>
      <c r="J1059" s="26">
        <v>49948.0</v>
      </c>
      <c r="K1059" s="26" t="s">
        <v>3878</v>
      </c>
      <c r="L1059" s="26">
        <v>211.0</v>
      </c>
      <c r="M1059" s="26" t="s">
        <v>24</v>
      </c>
      <c r="N1059" s="26" t="s">
        <v>25</v>
      </c>
      <c r="O1059" s="27">
        <v>5000000.0</v>
      </c>
      <c r="P1059" s="10">
        <f t="shared" si="2"/>
        <v>16197315</v>
      </c>
      <c r="Q1059" s="12">
        <f t="shared" si="3"/>
        <v>0</v>
      </c>
      <c r="R1059" s="26">
        <v>2014.0</v>
      </c>
      <c r="S1059" s="26">
        <v>6.1</v>
      </c>
    </row>
    <row r="1060" ht="15.75" customHeight="1">
      <c r="A1060" s="25" t="s">
        <v>1740</v>
      </c>
      <c r="B1060" s="8" t="str">
        <f>IFERROR(__xludf.DUMMYFUNCTION("REGEXREPLACE(A1060, ""[^0-9a-zA-Z .'Ã]"","""")"),"Woody Allen")</f>
        <v>Woody Allen</v>
      </c>
      <c r="C1060" s="26">
        <v>275.0</v>
      </c>
      <c r="D1060" s="27">
        <v>1.6684352E7</v>
      </c>
      <c r="E1060" s="26" t="s">
        <v>89</v>
      </c>
      <c r="F1060" s="9">
        <f t="shared" si="1"/>
        <v>2</v>
      </c>
      <c r="G1060" s="26" t="s">
        <v>3879</v>
      </c>
      <c r="H1060" s="11" t="str">
        <f>IFERROR(__xludf.DUMMYFUNCTION("REGEXREPLACE(G1060, ""[^0-9a-zA-Z .'Ã]"","""")"),"Ornella Muti")</f>
        <v>Ornella Muti</v>
      </c>
      <c r="I1060" s="28" t="s">
        <v>3880</v>
      </c>
      <c r="J1060" s="26">
        <v>67893.0</v>
      </c>
      <c r="K1060" s="26" t="s">
        <v>3881</v>
      </c>
      <c r="L1060" s="26">
        <v>163.0</v>
      </c>
      <c r="M1060" s="26" t="s">
        <v>24</v>
      </c>
      <c r="N1060" s="26" t="s">
        <v>25</v>
      </c>
      <c r="O1060" s="27">
        <v>1.7E7</v>
      </c>
      <c r="P1060" s="10">
        <f t="shared" si="2"/>
        <v>0</v>
      </c>
      <c r="Q1060" s="12">
        <f t="shared" si="3"/>
        <v>315648</v>
      </c>
      <c r="R1060" s="26">
        <v>2012.0</v>
      </c>
      <c r="S1060" s="26">
        <v>6.3</v>
      </c>
    </row>
    <row r="1061" ht="15.75" customHeight="1">
      <c r="A1061" s="17" t="s">
        <v>3882</v>
      </c>
      <c r="B1061" s="8" t="str">
        <f>IFERROR(__xludf.DUMMYFUNCTION("REGEXREPLACE(A1061, ""[^0-9a-zA-Z .'Ã]"","""")"),"Jason Zada")</f>
        <v>Jason Zada</v>
      </c>
      <c r="C1061" s="18">
        <v>185.0</v>
      </c>
      <c r="D1061" s="19">
        <v>2.6583369E7</v>
      </c>
      <c r="E1061" s="18" t="s">
        <v>94</v>
      </c>
      <c r="F1061" s="9">
        <f t="shared" si="1"/>
        <v>3</v>
      </c>
      <c r="G1061" s="18" t="s">
        <v>3883</v>
      </c>
      <c r="H1061" s="11" t="str">
        <f>IFERROR(__xludf.DUMMYFUNCTION("REGEXREPLACE(G1061, ""[^0-9a-zA-Z .'Ã]"","""")"),"Eoin Macken")</f>
        <v>Eoin Macken</v>
      </c>
      <c r="I1061" s="20" t="s">
        <v>3884</v>
      </c>
      <c r="J1061" s="18">
        <v>20837.0</v>
      </c>
      <c r="K1061" s="18" t="s">
        <v>3885</v>
      </c>
      <c r="L1061" s="18">
        <v>127.0</v>
      </c>
      <c r="M1061" s="18" t="s">
        <v>24</v>
      </c>
      <c r="N1061" s="18" t="s">
        <v>25</v>
      </c>
      <c r="O1061" s="19">
        <v>1.0E7</v>
      </c>
      <c r="P1061" s="10">
        <f t="shared" si="2"/>
        <v>16583369</v>
      </c>
      <c r="Q1061" s="12">
        <f t="shared" si="3"/>
        <v>0</v>
      </c>
      <c r="R1061" s="18">
        <v>2016.0</v>
      </c>
      <c r="S1061" s="18">
        <v>4.8</v>
      </c>
    </row>
    <row r="1062" ht="15.75" customHeight="1">
      <c r="A1062" s="21" t="s">
        <v>3886</v>
      </c>
      <c r="B1062" s="8" t="str">
        <f>IFERROR(__xludf.DUMMYFUNCTION("REGEXREPLACE(A1062, ""[^0-9a-zA-Z .'Ã]"","""")"),"Steven R. Monroe")</f>
        <v>Steven R. Monroe</v>
      </c>
      <c r="C1062" s="22">
        <v>225.0</v>
      </c>
      <c r="D1062" s="23">
        <v>92401.0</v>
      </c>
      <c r="E1062" s="22" t="s">
        <v>306</v>
      </c>
      <c r="F1062" s="9">
        <f t="shared" si="1"/>
        <v>2</v>
      </c>
      <c r="G1062" s="22" t="s">
        <v>3887</v>
      </c>
      <c r="H1062" s="11" t="str">
        <f>IFERROR(__xludf.DUMMYFUNCTION("REGEXREPLACE(G1062, ""[^0-9a-zA-Z .'Ã]"","""")"),"Sarah Butler")</f>
        <v>Sarah Butler</v>
      </c>
      <c r="I1062" s="24" t="s">
        <v>3888</v>
      </c>
      <c r="J1062" s="22">
        <v>56402.0</v>
      </c>
      <c r="K1062" s="22" t="s">
        <v>3889</v>
      </c>
      <c r="L1062" s="22">
        <v>209.0</v>
      </c>
      <c r="M1062" s="22" t="s">
        <v>24</v>
      </c>
      <c r="N1062" s="22" t="s">
        <v>25</v>
      </c>
      <c r="O1062" s="23">
        <v>2000000.0</v>
      </c>
      <c r="P1062" s="10">
        <f t="shared" si="2"/>
        <v>0</v>
      </c>
      <c r="Q1062" s="12">
        <f t="shared" si="3"/>
        <v>1907599</v>
      </c>
      <c r="R1062" s="22">
        <v>2010.0</v>
      </c>
      <c r="S1062" s="22">
        <v>6.3</v>
      </c>
    </row>
    <row r="1063" ht="15.75" customHeight="1">
      <c r="A1063" s="7" t="s">
        <v>2312</v>
      </c>
      <c r="B1063" s="8" t="str">
        <f>IFERROR(__xludf.DUMMYFUNCTION("REGEXREPLACE(A1063, ""[^0-9a-zA-Z .'Ã]"","""")"),"John Singleton")</f>
        <v>John Singleton</v>
      </c>
      <c r="C1063" s="9">
        <v>123.0</v>
      </c>
      <c r="D1063" s="10">
        <v>7.4484168E7</v>
      </c>
      <c r="E1063" s="9" t="s">
        <v>610</v>
      </c>
      <c r="F1063" s="9">
        <f t="shared" si="1"/>
        <v>5</v>
      </c>
      <c r="G1063" s="9" t="s">
        <v>3890</v>
      </c>
      <c r="H1063" s="11" t="str">
        <f>IFERROR(__xludf.DUMMYFUNCTION("REGEXREPLACE(G1063, ""[^0-9a-zA-Z .'Ã]"","""")"),"Josh Charles")</f>
        <v>Josh Charles</v>
      </c>
      <c r="I1063" s="11" t="s">
        <v>3891</v>
      </c>
      <c r="J1063" s="9">
        <v>109894.0</v>
      </c>
      <c r="K1063" s="9" t="s">
        <v>3892</v>
      </c>
      <c r="L1063" s="9">
        <v>340.0</v>
      </c>
      <c r="M1063" s="9" t="s">
        <v>24</v>
      </c>
      <c r="N1063" s="9" t="s">
        <v>25</v>
      </c>
      <c r="O1063" s="10">
        <v>4.5E7</v>
      </c>
      <c r="P1063" s="10">
        <f t="shared" si="2"/>
        <v>29484168</v>
      </c>
      <c r="Q1063" s="12">
        <f t="shared" si="3"/>
        <v>0</v>
      </c>
      <c r="R1063" s="9">
        <v>2005.0</v>
      </c>
      <c r="S1063" s="9">
        <v>6.9</v>
      </c>
    </row>
    <row r="1064" ht="15.75" customHeight="1">
      <c r="A1064" s="21" t="s">
        <v>1988</v>
      </c>
      <c r="B1064" s="8" t="str">
        <f>IFERROR(__xludf.DUMMYFUNCTION("REGEXREPLACE(A1064, ""[^0-9a-zA-Z .'Ã]"","""")"),"Hugh Hudson")</f>
        <v>Hugh Hudson</v>
      </c>
      <c r="C1064" s="22">
        <v>90.0</v>
      </c>
      <c r="D1064" s="23">
        <v>5.88E7</v>
      </c>
      <c r="E1064" s="22" t="s">
        <v>1124</v>
      </c>
      <c r="F1064" s="9">
        <f t="shared" si="1"/>
        <v>3</v>
      </c>
      <c r="G1064" s="22" t="s">
        <v>3893</v>
      </c>
      <c r="H1064" s="11" t="str">
        <f>IFERROR(__xludf.DUMMYFUNCTION("REGEXREPLACE(G1064, ""[^0-9a-zA-Z .'Ã]"","""")"),"Alice Krige")</f>
        <v>Alice Krige</v>
      </c>
      <c r="I1064" s="24" t="s">
        <v>3894</v>
      </c>
      <c r="J1064" s="22">
        <v>40511.0</v>
      </c>
      <c r="K1064" s="22" t="s">
        <v>3895</v>
      </c>
      <c r="L1064" s="22">
        <v>213.0</v>
      </c>
      <c r="M1064" s="22" t="s">
        <v>24</v>
      </c>
      <c r="N1064" s="22" t="s">
        <v>130</v>
      </c>
      <c r="O1064" s="23">
        <v>5500000.0</v>
      </c>
      <c r="P1064" s="10">
        <f t="shared" si="2"/>
        <v>53300000</v>
      </c>
      <c r="Q1064" s="12">
        <f t="shared" si="3"/>
        <v>0</v>
      </c>
      <c r="R1064" s="22">
        <v>1981.0</v>
      </c>
      <c r="S1064" s="22">
        <v>7.2</v>
      </c>
    </row>
    <row r="1065" ht="15.75" customHeight="1">
      <c r="A1065" s="7" t="s">
        <v>3896</v>
      </c>
      <c r="B1065" s="8" t="str">
        <f>IFERROR(__xludf.DUMMYFUNCTION("REGEXREPLACE(A1065, ""[^0-9a-zA-Z .'Ã]"","""")"),"Burr Steers")</f>
        <v>Burr Steers</v>
      </c>
      <c r="C1065" s="9">
        <v>136.0</v>
      </c>
      <c r="D1065" s="10">
        <v>4681503.0</v>
      </c>
      <c r="E1065" s="9" t="s">
        <v>454</v>
      </c>
      <c r="F1065" s="9">
        <f t="shared" si="1"/>
        <v>2</v>
      </c>
      <c r="G1065" s="9" t="s">
        <v>3897</v>
      </c>
      <c r="H1065" s="11" t="str">
        <f>IFERROR(__xludf.DUMMYFUNCTION("REGEXREPLACE(G1065, ""[^0-9a-zA-Z .'Ã]"","""")"),"Kieran Culkin")</f>
        <v>Kieran Culkin</v>
      </c>
      <c r="I1065" s="11" t="s">
        <v>3898</v>
      </c>
      <c r="J1065" s="9">
        <v>29058.0</v>
      </c>
      <c r="K1065" s="9" t="s">
        <v>3899</v>
      </c>
      <c r="L1065" s="9">
        <v>238.0</v>
      </c>
      <c r="M1065" s="9" t="s">
        <v>24</v>
      </c>
      <c r="N1065" s="9" t="s">
        <v>25</v>
      </c>
      <c r="O1065" s="10">
        <v>9000000.0</v>
      </c>
      <c r="P1065" s="10">
        <f t="shared" si="2"/>
        <v>0</v>
      </c>
      <c r="Q1065" s="12">
        <f t="shared" si="3"/>
        <v>4318497</v>
      </c>
      <c r="R1065" s="9">
        <v>2002.0</v>
      </c>
      <c r="S1065" s="9">
        <v>7.0</v>
      </c>
    </row>
    <row r="1066" ht="15.75" customHeight="1">
      <c r="A1066" s="25" t="s">
        <v>1691</v>
      </c>
      <c r="B1066" s="8" t="str">
        <f>IFERROR(__xludf.DUMMYFUNCTION("REGEXREPLACE(A1066, ""[^0-9a-zA-Z -.'Ã]"","""")"),"Alejandro G. IÃÃrritu")</f>
        <v>Alejandro G. IÃÃrritu</v>
      </c>
      <c r="C1066" s="26">
        <v>192.0</v>
      </c>
      <c r="D1066" s="27">
        <v>1.6248701E7</v>
      </c>
      <c r="E1066" s="26" t="s">
        <v>103</v>
      </c>
      <c r="F1066" s="9">
        <f t="shared" si="1"/>
        <v>1</v>
      </c>
      <c r="G1066" s="26" t="s">
        <v>874</v>
      </c>
      <c r="H1066" s="11" t="str">
        <f>IFERROR(__xludf.DUMMYFUNCTION("REGEXREPLACE(G1066, ""[^0-9a-zA-Z .'Ã]"","""")"),"Naomi Watts")</f>
        <v>Naomi Watts</v>
      </c>
      <c r="I1066" s="28" t="s">
        <v>3900</v>
      </c>
      <c r="J1066" s="26">
        <v>189683.0</v>
      </c>
      <c r="K1066" s="26" t="s">
        <v>3901</v>
      </c>
      <c r="L1066" s="26">
        <v>559.0</v>
      </c>
      <c r="M1066" s="26" t="s">
        <v>24</v>
      </c>
      <c r="N1066" s="26" t="s">
        <v>25</v>
      </c>
      <c r="O1066" s="27">
        <v>2.0E7</v>
      </c>
      <c r="P1066" s="10">
        <f t="shared" si="2"/>
        <v>0</v>
      </c>
      <c r="Q1066" s="12">
        <f t="shared" si="3"/>
        <v>3751299</v>
      </c>
      <c r="R1066" s="26">
        <v>2003.0</v>
      </c>
      <c r="S1066" s="26">
        <v>7.7</v>
      </c>
    </row>
    <row r="1067" ht="15.75" customHeight="1">
      <c r="A1067" s="21" t="s">
        <v>3199</v>
      </c>
      <c r="B1067" s="8" t="str">
        <f>IFERROR(__xludf.DUMMYFUNCTION("REGEXREPLACE(A1067, ""[^0-9a-zA-Z .'Ã]"","""")"),"Kenneth Branagh")</f>
        <v>Kenneth Branagh</v>
      </c>
      <c r="C1067" s="22">
        <v>313.0</v>
      </c>
      <c r="D1067" s="23">
        <v>5.0549107E7</v>
      </c>
      <c r="E1067" s="22" t="s">
        <v>175</v>
      </c>
      <c r="F1067" s="9">
        <f t="shared" si="1"/>
        <v>3</v>
      </c>
      <c r="G1067" s="22" t="s">
        <v>3902</v>
      </c>
      <c r="H1067" s="11" t="str">
        <f>IFERROR(__xludf.DUMMYFUNCTION("REGEXREPLACE(G1067, ""[^0-9a-zA-Z .'Ã]"","""")"),"Colm Feore")</f>
        <v>Colm Feore</v>
      </c>
      <c r="I1067" s="24" t="s">
        <v>3903</v>
      </c>
      <c r="J1067" s="22">
        <v>99035.0</v>
      </c>
      <c r="K1067" s="22" t="s">
        <v>3904</v>
      </c>
      <c r="L1067" s="22">
        <v>289.0</v>
      </c>
      <c r="M1067" s="22" t="s">
        <v>24</v>
      </c>
      <c r="N1067" s="22" t="s">
        <v>25</v>
      </c>
      <c r="O1067" s="23">
        <v>6.0E7</v>
      </c>
      <c r="P1067" s="10">
        <f t="shared" si="2"/>
        <v>0</v>
      </c>
      <c r="Q1067" s="12">
        <f t="shared" si="3"/>
        <v>9450893</v>
      </c>
      <c r="R1067" s="22">
        <v>2014.0</v>
      </c>
      <c r="S1067" s="22">
        <v>6.2</v>
      </c>
    </row>
    <row r="1068" ht="15.75" customHeight="1">
      <c r="A1068" s="13" t="s">
        <v>3905</v>
      </c>
      <c r="B1068" s="8" t="str">
        <f>IFERROR(__xludf.DUMMYFUNCTION("REGEXREPLACE(A1068, ""[^0-9a-zA-Z .'Ã]"","""")"),"Tod Williams")</f>
        <v>Tod Williams</v>
      </c>
      <c r="C1068" s="14">
        <v>264.0</v>
      </c>
      <c r="D1068" s="15">
        <v>8.4749884E7</v>
      </c>
      <c r="E1068" s="14" t="s">
        <v>148</v>
      </c>
      <c r="F1068" s="9">
        <f t="shared" si="1"/>
        <v>1</v>
      </c>
      <c r="G1068" s="14" t="s">
        <v>3906</v>
      </c>
      <c r="H1068" s="11" t="str">
        <f>IFERROR(__xludf.DUMMYFUNCTION("REGEXREPLACE(G1068, ""[^0-9a-zA-Z .'Ã]"","""")"),"Sprague Grayden")</f>
        <v>Sprague Grayden</v>
      </c>
      <c r="I1068" s="16" t="s">
        <v>3907</v>
      </c>
      <c r="J1068" s="14">
        <v>82133.0</v>
      </c>
      <c r="K1068" s="14" t="s">
        <v>3908</v>
      </c>
      <c r="L1068" s="14">
        <v>359.0</v>
      </c>
      <c r="M1068" s="14" t="s">
        <v>24</v>
      </c>
      <c r="N1068" s="14" t="s">
        <v>25</v>
      </c>
      <c r="O1068" s="15">
        <v>3000000.0</v>
      </c>
      <c r="P1068" s="10">
        <f t="shared" si="2"/>
        <v>81749884</v>
      </c>
      <c r="Q1068" s="12">
        <f t="shared" si="3"/>
        <v>0</v>
      </c>
      <c r="R1068" s="14">
        <v>2010.0</v>
      </c>
      <c r="S1068" s="14">
        <v>5.7</v>
      </c>
    </row>
    <row r="1069" ht="15.75" customHeight="1">
      <c r="A1069" s="7" t="s">
        <v>3909</v>
      </c>
      <c r="B1069" s="8" t="str">
        <f>IFERROR(__xludf.DUMMYFUNCTION("REGEXREPLACE(A1069, ""[^0-9a-zA-Z .'Ã]"","""")"),"Richard LaGravenese")</f>
        <v>Richard LaGravenese</v>
      </c>
      <c r="C1069" s="9">
        <v>84.0</v>
      </c>
      <c r="D1069" s="10">
        <v>3.6581633E7</v>
      </c>
      <c r="E1069" s="9" t="s">
        <v>1774</v>
      </c>
      <c r="F1069" s="9">
        <f t="shared" si="1"/>
        <v>3</v>
      </c>
      <c r="G1069" s="9" t="s">
        <v>1855</v>
      </c>
      <c r="H1069" s="11" t="str">
        <f>IFERROR(__xludf.DUMMYFUNCTION("REGEXREPLACE(G1069, ""[^0-9a-zA-Z .'Ã]"","""")"),"Hunter Parrish")</f>
        <v>Hunter Parrish</v>
      </c>
      <c r="I1069" s="11" t="s">
        <v>3910</v>
      </c>
      <c r="J1069" s="9">
        <v>52533.0</v>
      </c>
      <c r="K1069" s="9" t="s">
        <v>3911</v>
      </c>
      <c r="L1069" s="9">
        <v>235.0</v>
      </c>
      <c r="M1069" s="9" t="s">
        <v>24</v>
      </c>
      <c r="N1069" s="9" t="s">
        <v>173</v>
      </c>
      <c r="O1069" s="10">
        <v>2.1E7</v>
      </c>
      <c r="P1069" s="10">
        <f t="shared" si="2"/>
        <v>15581633</v>
      </c>
      <c r="Q1069" s="12">
        <f t="shared" si="3"/>
        <v>0</v>
      </c>
      <c r="R1069" s="9">
        <v>2007.0</v>
      </c>
      <c r="S1069" s="9">
        <v>7.5</v>
      </c>
    </row>
    <row r="1070" ht="15.75" customHeight="1">
      <c r="A1070" s="7" t="s">
        <v>3404</v>
      </c>
      <c r="B1070" s="8" t="str">
        <f>IFERROR(__xludf.DUMMYFUNCTION("REGEXREPLACE(A1070, ""[^0-9a-zA-Z .'Ã]"","""")"),"Neil Jordan")</f>
        <v>Neil Jordan</v>
      </c>
      <c r="C1070" s="9">
        <v>20.0</v>
      </c>
      <c r="D1070" s="10">
        <v>1.0555348E7</v>
      </c>
      <c r="E1070" s="9" t="s">
        <v>440</v>
      </c>
      <c r="F1070" s="9">
        <f t="shared" si="1"/>
        <v>2</v>
      </c>
      <c r="G1070" s="9" t="s">
        <v>883</v>
      </c>
      <c r="H1070" s="11" t="str">
        <f>IFERROR(__xludf.DUMMYFUNCTION("REGEXREPLACE(G1070, ""[^0-9a-zA-Z .'Ã]"","""")"),"Robert De Niro")</f>
        <v>Robert De Niro</v>
      </c>
      <c r="I1070" s="11" t="s">
        <v>3912</v>
      </c>
      <c r="J1070" s="9">
        <v>17349.0</v>
      </c>
      <c r="K1070" s="9" t="s">
        <v>3913</v>
      </c>
      <c r="L1070" s="9">
        <v>42.0</v>
      </c>
      <c r="M1070" s="9" t="s">
        <v>24</v>
      </c>
      <c r="N1070" s="9" t="s">
        <v>25</v>
      </c>
      <c r="O1070" s="10">
        <v>2.0E7</v>
      </c>
      <c r="P1070" s="10">
        <f t="shared" si="2"/>
        <v>0</v>
      </c>
      <c r="Q1070" s="12">
        <f t="shared" si="3"/>
        <v>9444652</v>
      </c>
      <c r="R1070" s="9">
        <v>1989.0</v>
      </c>
      <c r="S1070" s="9">
        <v>6.0</v>
      </c>
    </row>
    <row r="1071" ht="15.75" customHeight="1">
      <c r="A1071" s="29" t="s">
        <v>1442</v>
      </c>
      <c r="B1071" s="8" t="str">
        <f>IFERROR(__xludf.DUMMYFUNCTION("REGEXREPLACE(A1071, ""[^0-9a-zA-Z .'Ã]"","""")"),"Josh Gordon")</f>
        <v>Josh Gordon</v>
      </c>
      <c r="C1071" s="30">
        <v>191.0</v>
      </c>
      <c r="D1071" s="31">
        <v>1.18153533E8</v>
      </c>
      <c r="E1071" s="30" t="s">
        <v>3398</v>
      </c>
      <c r="F1071" s="9">
        <f t="shared" si="1"/>
        <v>2</v>
      </c>
      <c r="G1071" s="30" t="s">
        <v>441</v>
      </c>
      <c r="H1071" s="11" t="str">
        <f>IFERROR(__xludf.DUMMYFUNCTION("REGEXREPLACE(G1071, ""[^0-9a-zA-Z .'Ã]"","""")"),"Will Ferrell")</f>
        <v>Will Ferrell</v>
      </c>
      <c r="I1071" s="32" t="s">
        <v>3914</v>
      </c>
      <c r="J1071" s="30">
        <v>129995.0</v>
      </c>
      <c r="K1071" s="30" t="s">
        <v>3915</v>
      </c>
      <c r="L1071" s="30">
        <v>246.0</v>
      </c>
      <c r="M1071" s="30" t="s">
        <v>24</v>
      </c>
      <c r="N1071" s="30" t="s">
        <v>25</v>
      </c>
      <c r="O1071" s="31">
        <v>6.1E7</v>
      </c>
      <c r="P1071" s="10">
        <f t="shared" si="2"/>
        <v>57153533</v>
      </c>
      <c r="Q1071" s="12">
        <f t="shared" si="3"/>
        <v>0</v>
      </c>
      <c r="R1071" s="30">
        <v>2007.0</v>
      </c>
      <c r="S1071" s="30">
        <v>6.3</v>
      </c>
    </row>
    <row r="1072" ht="15.75" customHeight="1">
      <c r="A1072" s="25" t="s">
        <v>3916</v>
      </c>
      <c r="B1072" s="8" t="str">
        <f>IFERROR(__xludf.DUMMYFUNCTION("REGEXREPLACE(A1072, ""[^0-9a-zA-Z .'Ã]"","""")"),"Brad Bird")</f>
        <v>Brad Bird</v>
      </c>
      <c r="C1072" s="26">
        <v>432.0</v>
      </c>
      <c r="D1072" s="27">
        <v>2.09364921E8</v>
      </c>
      <c r="E1072" s="26" t="s">
        <v>474</v>
      </c>
      <c r="F1072" s="9">
        <f t="shared" si="1"/>
        <v>3</v>
      </c>
      <c r="G1072" s="26" t="s">
        <v>220</v>
      </c>
      <c r="H1072" s="11" t="str">
        <f>IFERROR(__xludf.DUMMYFUNCTION("REGEXREPLACE(G1072, ""[^0-9a-zA-Z .'Ã]"","""")"),"Tom Cruise")</f>
        <v>Tom Cruise</v>
      </c>
      <c r="I1072" s="28" t="s">
        <v>3917</v>
      </c>
      <c r="J1072" s="26">
        <v>365104.0</v>
      </c>
      <c r="K1072" s="26" t="s">
        <v>3918</v>
      </c>
      <c r="L1072" s="26">
        <v>512.0</v>
      </c>
      <c r="M1072" s="26" t="s">
        <v>24</v>
      </c>
      <c r="N1072" s="26" t="s">
        <v>25</v>
      </c>
      <c r="O1072" s="27">
        <v>1.45E8</v>
      </c>
      <c r="P1072" s="10">
        <f t="shared" si="2"/>
        <v>64364921</v>
      </c>
      <c r="Q1072" s="12">
        <f t="shared" si="3"/>
        <v>0</v>
      </c>
      <c r="R1072" s="26">
        <v>2011.0</v>
      </c>
      <c r="S1072" s="26">
        <v>7.4</v>
      </c>
    </row>
    <row r="1073" ht="15.75" customHeight="1">
      <c r="A1073" s="7" t="s">
        <v>1577</v>
      </c>
      <c r="B1073" s="8" t="str">
        <f>IFERROR(__xludf.DUMMYFUNCTION("REGEXREPLACE(A1073, ""[^0-9a-zA-Z .'Ã]"","""")"),"Gillian Armstrong")</f>
        <v>Gillian Armstrong</v>
      </c>
      <c r="C1073" s="9">
        <v>28.0</v>
      </c>
      <c r="D1073" s="10">
        <v>1508689.0</v>
      </c>
      <c r="E1073" s="9" t="s">
        <v>232</v>
      </c>
      <c r="F1073" s="9">
        <f t="shared" si="1"/>
        <v>2</v>
      </c>
      <c r="G1073" s="9" t="s">
        <v>1490</v>
      </c>
      <c r="H1073" s="11" t="str">
        <f>IFERROR(__xludf.DUMMYFUNCTION("REGEXREPLACE(G1073, ""[^0-9a-zA-Z .'Ã]"","""")"),"Tom Wilkinson")</f>
        <v>Tom Wilkinson</v>
      </c>
      <c r="I1073" s="11" t="s">
        <v>3919</v>
      </c>
      <c r="J1073" s="9">
        <v>5648.0</v>
      </c>
      <c r="K1073" s="9" t="s">
        <v>3920</v>
      </c>
      <c r="L1073" s="9">
        <v>50.0</v>
      </c>
      <c r="M1073" s="9" t="s">
        <v>24</v>
      </c>
      <c r="N1073" s="9" t="s">
        <v>25</v>
      </c>
      <c r="O1073" s="10">
        <v>1.6E7</v>
      </c>
      <c r="P1073" s="10">
        <f t="shared" si="2"/>
        <v>0</v>
      </c>
      <c r="Q1073" s="12">
        <f t="shared" si="3"/>
        <v>14491311</v>
      </c>
      <c r="R1073" s="9">
        <v>1997.0</v>
      </c>
      <c r="S1073" s="9">
        <v>6.7</v>
      </c>
    </row>
    <row r="1074" ht="15.75" customHeight="1">
      <c r="A1074" s="21" t="s">
        <v>3921</v>
      </c>
      <c r="B1074" s="8" t="str">
        <f>IFERROR(__xludf.DUMMYFUNCTION("REGEXREPLACE(A1074, ""[^0-9a-zA-Z .'Ã]"","""")"),"Demian Lichtenstein")</f>
        <v>Demian Lichtenstein</v>
      </c>
      <c r="C1074" s="22">
        <v>113.0</v>
      </c>
      <c r="D1074" s="23">
        <v>1.5738632E7</v>
      </c>
      <c r="E1074" s="22" t="s">
        <v>790</v>
      </c>
      <c r="F1074" s="9">
        <f t="shared" si="1"/>
        <v>4</v>
      </c>
      <c r="G1074" s="22" t="s">
        <v>1749</v>
      </c>
      <c r="H1074" s="11" t="str">
        <f>IFERROR(__xludf.DUMMYFUNCTION("REGEXREPLACE(G1074, ""[^0-9a-zA-Z .'Ã]"","""")"),"Jon Lovitz")</f>
        <v>Jon Lovitz</v>
      </c>
      <c r="I1074" s="24" t="s">
        <v>3922</v>
      </c>
      <c r="J1074" s="22">
        <v>38076.0</v>
      </c>
      <c r="K1074" s="22" t="s">
        <v>3923</v>
      </c>
      <c r="L1074" s="22">
        <v>399.0</v>
      </c>
      <c r="M1074" s="22" t="s">
        <v>24</v>
      </c>
      <c r="N1074" s="22" t="s">
        <v>25</v>
      </c>
      <c r="O1074" s="23">
        <v>4.2E7</v>
      </c>
      <c r="P1074" s="10">
        <f t="shared" si="2"/>
        <v>0</v>
      </c>
      <c r="Q1074" s="12">
        <f t="shared" si="3"/>
        <v>26261368</v>
      </c>
      <c r="R1074" s="22">
        <v>2001.0</v>
      </c>
      <c r="S1074" s="22">
        <v>5.9</v>
      </c>
    </row>
    <row r="1075" ht="15.75" customHeight="1">
      <c r="A1075" s="17" t="s">
        <v>3924</v>
      </c>
      <c r="B1075" s="8" t="str">
        <f>IFERROR(__xludf.DUMMYFUNCTION("REGEXREPLACE(A1075, ""[^0-9a-zA-Z .'Ã]"","""")"),"Chris Wedge")</f>
        <v>Chris Wedge</v>
      </c>
      <c r="C1075" s="18">
        <v>193.0</v>
      </c>
      <c r="D1075" s="19">
        <v>1.76387405E8</v>
      </c>
      <c r="E1075" s="18" t="s">
        <v>1813</v>
      </c>
      <c r="F1075" s="9">
        <f t="shared" si="1"/>
        <v>4</v>
      </c>
      <c r="G1075" s="18" t="s">
        <v>60</v>
      </c>
      <c r="H1075" s="11" t="str">
        <f>IFERROR(__xludf.DUMMYFUNCTION("REGEXREPLACE(G1075, ""[^0-9a-zA-Z .'Ã]"","""")"),"Goran Visnjic")</f>
        <v>Goran Visnjic</v>
      </c>
      <c r="I1075" s="20" t="s">
        <v>3925</v>
      </c>
      <c r="J1075" s="18">
        <v>328159.0</v>
      </c>
      <c r="K1075" s="18" t="s">
        <v>3926</v>
      </c>
      <c r="L1075" s="18">
        <v>467.0</v>
      </c>
      <c r="M1075" s="18" t="s">
        <v>24</v>
      </c>
      <c r="N1075" s="18" t="s">
        <v>25</v>
      </c>
      <c r="O1075" s="19">
        <v>5.9E7</v>
      </c>
      <c r="P1075" s="10">
        <f t="shared" si="2"/>
        <v>117387405</v>
      </c>
      <c r="Q1075" s="12">
        <f t="shared" si="3"/>
        <v>0</v>
      </c>
      <c r="R1075" s="18">
        <v>2002.0</v>
      </c>
      <c r="S1075" s="18">
        <v>7.6</v>
      </c>
    </row>
    <row r="1076" ht="15.75" customHeight="1">
      <c r="A1076" s="29" t="s">
        <v>3927</v>
      </c>
      <c r="B1076" s="8" t="str">
        <f>IFERROR(__xludf.DUMMYFUNCTION("REGEXREPLACE(A1076, ""[^0-9a-zA-Z .'Ã]"","""")"),"Anthony Minghella")</f>
        <v>Anthony Minghella</v>
      </c>
      <c r="C1076" s="30">
        <v>116.0</v>
      </c>
      <c r="D1076" s="31">
        <v>7.865143E7</v>
      </c>
      <c r="E1076" s="30" t="s">
        <v>3427</v>
      </c>
      <c r="F1076" s="9">
        <f t="shared" si="1"/>
        <v>3</v>
      </c>
      <c r="G1076" s="30" t="s">
        <v>542</v>
      </c>
      <c r="H1076" s="11" t="str">
        <f>IFERROR(__xludf.DUMMYFUNCTION("REGEXREPLACE(G1076, ""[^0-9a-zA-Z .'Ã]"","""")"),"Colin Firth")</f>
        <v>Colin Firth</v>
      </c>
      <c r="I1076" s="32" t="s">
        <v>3928</v>
      </c>
      <c r="J1076" s="30">
        <v>142067.0</v>
      </c>
      <c r="K1076" s="30" t="s">
        <v>3929</v>
      </c>
      <c r="L1076" s="30">
        <v>457.0</v>
      </c>
      <c r="M1076" s="30" t="s">
        <v>24</v>
      </c>
      <c r="N1076" s="30" t="s">
        <v>25</v>
      </c>
      <c r="O1076" s="31">
        <v>2.7E7</v>
      </c>
      <c r="P1076" s="10">
        <f t="shared" si="2"/>
        <v>51651430</v>
      </c>
      <c r="Q1076" s="12">
        <f t="shared" si="3"/>
        <v>0</v>
      </c>
      <c r="R1076" s="30">
        <v>1996.0</v>
      </c>
      <c r="S1076" s="30">
        <v>7.4</v>
      </c>
    </row>
    <row r="1077" ht="15.75" customHeight="1">
      <c r="A1077" s="21" t="s">
        <v>3930</v>
      </c>
      <c r="B1077" s="8" t="str">
        <f>IFERROR(__xludf.DUMMYFUNCTION("REGEXREPLACE(A1077, ""[^0-9a-zA-Z .'Ã]"","""")"),"Lucrecia Martel")</f>
        <v>Lucrecia Martel</v>
      </c>
      <c r="C1077" s="22">
        <v>78.0</v>
      </c>
      <c r="D1077" s="23">
        <v>304124.0</v>
      </c>
      <c r="E1077" s="22" t="s">
        <v>103</v>
      </c>
      <c r="F1077" s="9">
        <f t="shared" si="1"/>
        <v>1</v>
      </c>
      <c r="G1077" s="22" t="s">
        <v>2765</v>
      </c>
      <c r="H1077" s="11" t="str">
        <f>IFERROR(__xludf.DUMMYFUNCTION("REGEXREPLACE(G1077, ""[^0-9a-zA-Z .'Ã]"","""")"),"MÃa Maestro")</f>
        <v>MÃa Maestro</v>
      </c>
      <c r="I1077" s="24" t="s">
        <v>3931</v>
      </c>
      <c r="J1077" s="22">
        <v>2720.0</v>
      </c>
      <c r="K1077" s="22" t="s">
        <v>3932</v>
      </c>
      <c r="L1077" s="22">
        <v>37.0</v>
      </c>
      <c r="M1077" s="22" t="s">
        <v>1553</v>
      </c>
      <c r="N1077" s="22" t="s">
        <v>2223</v>
      </c>
      <c r="O1077" s="23">
        <v>1400000.0</v>
      </c>
      <c r="P1077" s="10">
        <f t="shared" si="2"/>
        <v>0</v>
      </c>
      <c r="Q1077" s="12">
        <f t="shared" si="3"/>
        <v>1095876</v>
      </c>
      <c r="R1077" s="22">
        <v>2004.0</v>
      </c>
      <c r="S1077" s="22">
        <v>6.7</v>
      </c>
    </row>
    <row r="1078" ht="15.75" customHeight="1">
      <c r="A1078" s="21" t="s">
        <v>2910</v>
      </c>
      <c r="B1078" s="8" t="str">
        <f>IFERROR(__xludf.DUMMYFUNCTION("REGEXREPLACE(A1078, ""[^0-9a-zA-Z .'Ã]"","""")"),"Alan Taylor")</f>
        <v>Alan Taylor</v>
      </c>
      <c r="C1078" s="22">
        <v>486.0</v>
      </c>
      <c r="D1078" s="23">
        <v>2.06360018E8</v>
      </c>
      <c r="E1078" s="22" t="s">
        <v>278</v>
      </c>
      <c r="F1078" s="9">
        <f t="shared" si="1"/>
        <v>3</v>
      </c>
      <c r="G1078" s="22" t="s">
        <v>1439</v>
      </c>
      <c r="H1078" s="11" t="str">
        <f>IFERROR(__xludf.DUMMYFUNCTION("REGEXREPLACE(G1078, ""[^0-9a-zA-Z .'Ã]"","""")"),"Chris Hemsworth")</f>
        <v>Chris Hemsworth</v>
      </c>
      <c r="I1078" s="24" t="s">
        <v>3933</v>
      </c>
      <c r="J1078" s="22">
        <v>414070.0</v>
      </c>
      <c r="K1078" s="22" t="s">
        <v>3934</v>
      </c>
      <c r="L1078" s="22">
        <v>532.0</v>
      </c>
      <c r="M1078" s="22" t="s">
        <v>24</v>
      </c>
      <c r="N1078" s="22" t="s">
        <v>25</v>
      </c>
      <c r="O1078" s="23">
        <v>1.7E8</v>
      </c>
      <c r="P1078" s="10">
        <f t="shared" si="2"/>
        <v>36360018</v>
      </c>
      <c r="Q1078" s="12">
        <f t="shared" si="3"/>
        <v>0</v>
      </c>
      <c r="R1078" s="22">
        <v>2013.0</v>
      </c>
      <c r="S1078" s="22">
        <v>7.1</v>
      </c>
    </row>
    <row r="1079" ht="15.75" customHeight="1">
      <c r="A1079" s="25" t="s">
        <v>1972</v>
      </c>
      <c r="B1079" s="8" t="str">
        <f>IFERROR(__xludf.DUMMYFUNCTION("REGEXREPLACE(A1079, ""[^0-9a-zA-Z .'Ã]"","""")"),"Jesse Dylan")</f>
        <v>Jesse Dylan</v>
      </c>
      <c r="C1079" s="26">
        <v>94.0</v>
      </c>
      <c r="D1079" s="27">
        <v>5.2580895E7</v>
      </c>
      <c r="E1079" s="26" t="s">
        <v>3935</v>
      </c>
      <c r="F1079" s="9">
        <f t="shared" si="1"/>
        <v>4</v>
      </c>
      <c r="G1079" s="26" t="s">
        <v>811</v>
      </c>
      <c r="H1079" s="11" t="str">
        <f>IFERROR(__xludf.DUMMYFUNCTION("REGEXREPLACE(G1079, ""[^0-9a-zA-Z .'Ã]"","""")"),"Josh Hutcherson")</f>
        <v>Josh Hutcherson</v>
      </c>
      <c r="I1079" s="28" t="s">
        <v>3936</v>
      </c>
      <c r="J1079" s="26">
        <v>30255.0</v>
      </c>
      <c r="K1079" s="26" t="s">
        <v>3937</v>
      </c>
      <c r="L1079" s="26">
        <v>118.0</v>
      </c>
      <c r="M1079" s="26" t="s">
        <v>24</v>
      </c>
      <c r="N1079" s="26" t="s">
        <v>25</v>
      </c>
      <c r="O1079" s="27">
        <v>4.5E7</v>
      </c>
      <c r="P1079" s="10">
        <f t="shared" si="2"/>
        <v>7580895</v>
      </c>
      <c r="Q1079" s="12">
        <f t="shared" si="3"/>
        <v>0</v>
      </c>
      <c r="R1079" s="26">
        <v>2005.0</v>
      </c>
      <c r="S1079" s="26">
        <v>5.6</v>
      </c>
    </row>
    <row r="1080" ht="15.75" customHeight="1">
      <c r="A1080" s="21" t="s">
        <v>1591</v>
      </c>
      <c r="B1080" s="8" t="str">
        <f>IFERROR(__xludf.DUMMYFUNCTION("REGEXREPLACE(A1080, ""[^0-9a-zA-Z .'Ã]"","""")"),"Gary Fleder")</f>
        <v>Gary Fleder</v>
      </c>
      <c r="C1080" s="22">
        <v>83.0</v>
      </c>
      <c r="D1080" s="23">
        <v>6.049156E7</v>
      </c>
      <c r="E1080" s="22" t="s">
        <v>435</v>
      </c>
      <c r="F1080" s="9">
        <f t="shared" si="1"/>
        <v>4</v>
      </c>
      <c r="G1080" s="22" t="s">
        <v>170</v>
      </c>
      <c r="H1080" s="11" t="str">
        <f>IFERROR(__xludf.DUMMYFUNCTION("REGEXREPLACE(G1080, ""[^0-9a-zA-Z .'Ã]"","""")"),"Morgan Freeman")</f>
        <v>Morgan Freeman</v>
      </c>
      <c r="I1080" s="24" t="s">
        <v>3938</v>
      </c>
      <c r="J1080" s="22">
        <v>50653.0</v>
      </c>
      <c r="K1080" s="22" t="s">
        <v>3939</v>
      </c>
      <c r="L1080" s="22">
        <v>143.0</v>
      </c>
      <c r="M1080" s="22" t="s">
        <v>24</v>
      </c>
      <c r="N1080" s="22" t="s">
        <v>25</v>
      </c>
      <c r="O1080" s="23">
        <v>2.7E7</v>
      </c>
      <c r="P1080" s="10">
        <f t="shared" si="2"/>
        <v>33491560</v>
      </c>
      <c r="Q1080" s="12">
        <f t="shared" si="3"/>
        <v>0</v>
      </c>
      <c r="R1080" s="22">
        <v>1997.0</v>
      </c>
      <c r="S1080" s="22">
        <v>6.6</v>
      </c>
    </row>
    <row r="1081" ht="15.75" customHeight="1">
      <c r="A1081" s="7" t="s">
        <v>3940</v>
      </c>
      <c r="B1081" s="8" t="str">
        <f>IFERROR(__xludf.DUMMYFUNCTION("REGEXREPLACE(A1081, ""[^0-9a-zA-Z .'Ã]"","""")"),"Chris Buck")</f>
        <v>Chris Buck</v>
      </c>
      <c r="C1081" s="9">
        <v>406.0</v>
      </c>
      <c r="D1081" s="10">
        <v>4.007366E8</v>
      </c>
      <c r="E1081" s="9" t="s">
        <v>3007</v>
      </c>
      <c r="F1081" s="9">
        <f t="shared" si="1"/>
        <v>6</v>
      </c>
      <c r="G1081" s="9" t="s">
        <v>3941</v>
      </c>
      <c r="H1081" s="11" t="str">
        <f>IFERROR(__xludf.DUMMYFUNCTION("REGEXREPLACE(G1081, ""[^0-9a-zA-Z .'Ã]"","""")"),"Josh Gad")</f>
        <v>Josh Gad</v>
      </c>
      <c r="I1081" s="11" t="s">
        <v>3942</v>
      </c>
      <c r="J1081" s="9">
        <v>421658.0</v>
      </c>
      <c r="K1081" s="9" t="s">
        <v>3943</v>
      </c>
      <c r="L1081" s="9">
        <v>904.0</v>
      </c>
      <c r="M1081" s="9" t="s">
        <v>24</v>
      </c>
      <c r="N1081" s="9" t="s">
        <v>25</v>
      </c>
      <c r="O1081" s="10">
        <v>1.5E8</v>
      </c>
      <c r="P1081" s="10">
        <f t="shared" si="2"/>
        <v>250736600</v>
      </c>
      <c r="Q1081" s="12">
        <f t="shared" si="3"/>
        <v>0</v>
      </c>
      <c r="R1081" s="9">
        <v>2013.0</v>
      </c>
      <c r="S1081" s="9">
        <v>7.6</v>
      </c>
    </row>
    <row r="1082" ht="15.75" customHeight="1">
      <c r="A1082" s="25" t="s">
        <v>3944</v>
      </c>
      <c r="B1082" s="8" t="str">
        <f>IFERROR(__xludf.DUMMYFUNCTION("REGEXREPLACE(A1082, ""[^0-9a-zA-Z .'Ã]"","""")"),"Tom McLoughlin")</f>
        <v>Tom McLoughlin</v>
      </c>
      <c r="C1082" s="26">
        <v>158.0</v>
      </c>
      <c r="D1082" s="27">
        <v>1.9472057E7</v>
      </c>
      <c r="E1082" s="26" t="s">
        <v>306</v>
      </c>
      <c r="F1082" s="9">
        <f t="shared" si="1"/>
        <v>2</v>
      </c>
      <c r="G1082" s="26" t="s">
        <v>2768</v>
      </c>
      <c r="H1082" s="11" t="str">
        <f>IFERROR(__xludf.DUMMYFUNCTION("REGEXREPLACE(G1082, ""[^0-9a-zA-Z .'Ã]"","""")"),"Tony Goldwyn")</f>
        <v>Tony Goldwyn</v>
      </c>
      <c r="I1082" s="28" t="s">
        <v>3945</v>
      </c>
      <c r="J1082" s="26">
        <v>25332.0</v>
      </c>
      <c r="K1082" s="26" t="s">
        <v>3946</v>
      </c>
      <c r="L1082" s="26">
        <v>307.0</v>
      </c>
      <c r="M1082" s="26" t="s">
        <v>24</v>
      </c>
      <c r="N1082" s="26" t="s">
        <v>25</v>
      </c>
      <c r="O1082" s="27">
        <v>3000000.0</v>
      </c>
      <c r="P1082" s="10">
        <f t="shared" si="2"/>
        <v>16472057</v>
      </c>
      <c r="Q1082" s="12">
        <f t="shared" si="3"/>
        <v>0</v>
      </c>
      <c r="R1082" s="26">
        <v>1986.0</v>
      </c>
      <c r="S1082" s="26">
        <v>5.9</v>
      </c>
    </row>
    <row r="1083" ht="15.75" customHeight="1">
      <c r="A1083" s="25" t="s">
        <v>3947</v>
      </c>
      <c r="B1083" s="8" t="str">
        <f>IFERROR(__xludf.DUMMYFUNCTION("REGEXREPLACE(A1083, ""[^0-9a-zA-Z .'Ã]"","""")"),"Christopher Spencer")</f>
        <v>Christopher Spencer</v>
      </c>
      <c r="C1083" s="26">
        <v>61.0</v>
      </c>
      <c r="D1083" s="27">
        <v>5.9696176E7</v>
      </c>
      <c r="E1083" s="26" t="s">
        <v>620</v>
      </c>
      <c r="F1083" s="9">
        <f t="shared" si="1"/>
        <v>3</v>
      </c>
      <c r="G1083" s="26" t="s">
        <v>3948</v>
      </c>
      <c r="H1083" s="11" t="str">
        <f>IFERROR(__xludf.DUMMYFUNCTION("REGEXREPLACE(G1083, ""[^0-9a-zA-Z .'Ã]"","""")"),"Roma Downey")</f>
        <v>Roma Downey</v>
      </c>
      <c r="I1083" s="28" t="s">
        <v>3949</v>
      </c>
      <c r="J1083" s="26">
        <v>15448.0</v>
      </c>
      <c r="K1083" s="26" t="s">
        <v>3950</v>
      </c>
      <c r="L1083" s="26">
        <v>174.0</v>
      </c>
      <c r="M1083" s="26" t="s">
        <v>24</v>
      </c>
      <c r="N1083" s="26" t="s">
        <v>25</v>
      </c>
      <c r="O1083" s="27">
        <v>2.2E7</v>
      </c>
      <c r="P1083" s="10">
        <f t="shared" si="2"/>
        <v>37696176</v>
      </c>
      <c r="Q1083" s="12">
        <f t="shared" si="3"/>
        <v>0</v>
      </c>
      <c r="R1083" s="26">
        <v>2014.0</v>
      </c>
      <c r="S1083" s="26">
        <v>5.6</v>
      </c>
    </row>
    <row r="1084" ht="15.75" customHeight="1">
      <c r="A1084" s="7" t="s">
        <v>3535</v>
      </c>
      <c r="B1084" s="8" t="str">
        <f>IFERROR(__xludf.DUMMYFUNCTION("REGEXREPLACE(A1084, ""[^0-9a-zA-Z .'Ã]"","""")"),"Sergey Bodrov")</f>
        <v>Sergey Bodrov</v>
      </c>
      <c r="C1084" s="9">
        <v>30.0</v>
      </c>
      <c r="D1084" s="10">
        <v>77231.0</v>
      </c>
      <c r="E1084" s="9" t="s">
        <v>74</v>
      </c>
      <c r="F1084" s="9">
        <f t="shared" si="1"/>
        <v>3</v>
      </c>
      <c r="G1084" s="9" t="s">
        <v>3708</v>
      </c>
      <c r="H1084" s="11" t="str">
        <f>IFERROR(__xludf.DUMMYFUNCTION("REGEXREPLACE(G1084, ""[^0-9a-zA-Z .'Ã]"","""")"),"Jay Hernandez")</f>
        <v>Jay Hernandez</v>
      </c>
      <c r="I1084" s="11" t="s">
        <v>3951</v>
      </c>
      <c r="J1084" s="9">
        <v>3322.0</v>
      </c>
      <c r="K1084" s="9" t="s">
        <v>3952</v>
      </c>
      <c r="L1084" s="9">
        <v>32.0</v>
      </c>
      <c r="M1084" s="9" t="s">
        <v>3953</v>
      </c>
      <c r="N1084" s="9" t="s">
        <v>608</v>
      </c>
      <c r="O1084" s="10">
        <v>2.5E7</v>
      </c>
      <c r="P1084" s="10">
        <f t="shared" si="2"/>
        <v>0</v>
      </c>
      <c r="Q1084" s="12">
        <f t="shared" si="3"/>
        <v>24922769</v>
      </c>
      <c r="R1084" s="9">
        <v>2005.0</v>
      </c>
      <c r="S1084" s="9">
        <v>6.0</v>
      </c>
    </row>
    <row r="1085" ht="15.75" customHeight="1">
      <c r="A1085" s="13" t="s">
        <v>2009</v>
      </c>
      <c r="B1085" s="8" t="str">
        <f>IFERROR(__xludf.DUMMYFUNCTION("REGEXREPLACE(A1085, ""[^0-9a-zA-Z .'Ã]"","""")"),"Anne Fletcher")</f>
        <v>Anne Fletcher</v>
      </c>
      <c r="C1085" s="14">
        <v>107.0</v>
      </c>
      <c r="D1085" s="15">
        <v>6.526901E7</v>
      </c>
      <c r="E1085" s="14" t="s">
        <v>3954</v>
      </c>
      <c r="F1085" s="9">
        <f t="shared" si="1"/>
        <v>4</v>
      </c>
      <c r="G1085" s="14" t="s">
        <v>176</v>
      </c>
      <c r="H1085" s="11" t="str">
        <f>IFERROR(__xludf.DUMMYFUNCTION("REGEXREPLACE(G1085, ""[^0-9a-zA-Z .'Ã]"","""")"),"Channing Tatum")</f>
        <v>Channing Tatum</v>
      </c>
      <c r="I1085" s="16" t="s">
        <v>3955</v>
      </c>
      <c r="J1085" s="14">
        <v>90938.0</v>
      </c>
      <c r="K1085" s="14" t="s">
        <v>3956</v>
      </c>
      <c r="L1085" s="14">
        <v>271.0</v>
      </c>
      <c r="M1085" s="14" t="s">
        <v>24</v>
      </c>
      <c r="N1085" s="14" t="s">
        <v>25</v>
      </c>
      <c r="O1085" s="15">
        <v>1.2E7</v>
      </c>
      <c r="P1085" s="10">
        <f t="shared" si="2"/>
        <v>53269010</v>
      </c>
      <c r="Q1085" s="12">
        <f t="shared" si="3"/>
        <v>0</v>
      </c>
      <c r="R1085" s="14">
        <v>2006.0</v>
      </c>
      <c r="S1085" s="14">
        <v>6.5</v>
      </c>
    </row>
    <row r="1086" ht="15.75" customHeight="1">
      <c r="A1086" s="17" t="s">
        <v>3957</v>
      </c>
      <c r="B1086" s="8" t="str">
        <f>IFERROR(__xludf.DUMMYFUNCTION("REGEXREPLACE(A1086, ""[^0-9a-zA-Z -.'Ã]"","""")"),"Kar-Wai Wong")</f>
        <v>Kar-Wai Wong</v>
      </c>
      <c r="C1086" s="18">
        <v>194.0</v>
      </c>
      <c r="D1086" s="19">
        <v>261481.0</v>
      </c>
      <c r="E1086" s="18" t="s">
        <v>3958</v>
      </c>
      <c r="F1086" s="9">
        <f t="shared" si="1"/>
        <v>3</v>
      </c>
      <c r="G1086" s="18" t="s">
        <v>3959</v>
      </c>
      <c r="H1086" s="11" t="str">
        <f>IFERROR(__xludf.DUMMYFUNCTION("REGEXREPLACE(G1086, ""[^0-9a-zA-Z .'Ã]"","""")"),"Li Gong")</f>
        <v>Li Gong</v>
      </c>
      <c r="I1086" s="20" t="s">
        <v>3960</v>
      </c>
      <c r="J1086" s="18">
        <v>41496.0</v>
      </c>
      <c r="K1086" s="18" t="s">
        <v>3961</v>
      </c>
      <c r="L1086" s="18">
        <v>210.0</v>
      </c>
      <c r="M1086" s="18" t="s">
        <v>156</v>
      </c>
      <c r="N1086" s="18" t="s">
        <v>157</v>
      </c>
      <c r="O1086" s="19">
        <v>1.2E7</v>
      </c>
      <c r="P1086" s="10">
        <f t="shared" si="2"/>
        <v>0</v>
      </c>
      <c r="Q1086" s="12">
        <f t="shared" si="3"/>
        <v>11738519</v>
      </c>
      <c r="R1086" s="18">
        <v>2004.0</v>
      </c>
      <c r="S1086" s="18">
        <v>7.5</v>
      </c>
    </row>
    <row r="1087" ht="15.75" customHeight="1">
      <c r="A1087" s="7" t="s">
        <v>3962</v>
      </c>
      <c r="B1087" s="8" t="str">
        <f>IFERROR(__xludf.DUMMYFUNCTION("REGEXREPLACE(A1087, ""[^0-9a-zA-Z .'Ã]"","""")"),"Claude Miller")</f>
        <v>Claude Miller</v>
      </c>
      <c r="C1087" s="9">
        <v>38.0</v>
      </c>
      <c r="D1087" s="10">
        <v>206400.0</v>
      </c>
      <c r="E1087" s="9" t="s">
        <v>3963</v>
      </c>
      <c r="F1087" s="9">
        <f t="shared" si="1"/>
        <v>5</v>
      </c>
      <c r="G1087" s="9" t="s">
        <v>3964</v>
      </c>
      <c r="H1087" s="11" t="str">
        <f>IFERROR(__xludf.DUMMYFUNCTION("REGEXREPLACE(G1087, ""[^0-9a-zA-Z .'Ã]"","""")"),"Sandrine Kiberlain")</f>
        <v>Sandrine Kiberlain</v>
      </c>
      <c r="I1087" s="11" t="s">
        <v>3965</v>
      </c>
      <c r="J1087" s="9">
        <v>1439.0</v>
      </c>
      <c r="K1087" s="9" t="s">
        <v>3966</v>
      </c>
      <c r="L1087" s="9">
        <v>26.0</v>
      </c>
      <c r="M1087" s="9" t="s">
        <v>658</v>
      </c>
      <c r="N1087" s="9" t="s">
        <v>608</v>
      </c>
      <c r="O1087" s="10">
        <v>5.0E7</v>
      </c>
      <c r="P1087" s="10">
        <f t="shared" si="2"/>
        <v>0</v>
      </c>
      <c r="Q1087" s="12">
        <f t="shared" si="3"/>
        <v>49793600</v>
      </c>
      <c r="R1087" s="9">
        <v>2001.0</v>
      </c>
      <c r="S1087" s="9">
        <v>6.9</v>
      </c>
    </row>
    <row r="1088" ht="15.75" customHeight="1">
      <c r="A1088" s="7" t="s">
        <v>3967</v>
      </c>
      <c r="B1088" s="8" t="str">
        <f>IFERROR(__xludf.DUMMYFUNCTION("REGEXREPLACE(A1088, ""[^0-9a-zA-Z .'Ã]"","""")"),"Uli Edel")</f>
        <v>Uli Edel</v>
      </c>
      <c r="C1088" s="9">
        <v>38.0</v>
      </c>
      <c r="D1088" s="10">
        <v>1.3555988E7</v>
      </c>
      <c r="E1088" s="9" t="s">
        <v>1874</v>
      </c>
      <c r="F1088" s="9">
        <f t="shared" si="1"/>
        <v>4</v>
      </c>
      <c r="G1088" s="9" t="s">
        <v>3968</v>
      </c>
      <c r="H1088" s="11" t="str">
        <f>IFERROR(__xludf.DUMMYFUNCTION("REGEXREPLACE(G1088, ""[^0-9a-zA-Z .'Ã]"","""")"),"Richard E. Grant")</f>
        <v>Richard E. Grant</v>
      </c>
      <c r="I1088" s="11" t="s">
        <v>3969</v>
      </c>
      <c r="J1088" s="9">
        <v>7242.0</v>
      </c>
      <c r="K1088" s="9" t="s">
        <v>3970</v>
      </c>
      <c r="L1088" s="9">
        <v>38.0</v>
      </c>
      <c r="M1088" s="9" t="s">
        <v>24</v>
      </c>
      <c r="N1088" s="9" t="s">
        <v>173</v>
      </c>
      <c r="O1088" s="10">
        <v>2.2E7</v>
      </c>
      <c r="P1088" s="10">
        <f t="shared" si="2"/>
        <v>0</v>
      </c>
      <c r="Q1088" s="12">
        <f t="shared" si="3"/>
        <v>8444012</v>
      </c>
      <c r="R1088" s="9">
        <v>2000.0</v>
      </c>
      <c r="S1088" s="9">
        <v>5.7</v>
      </c>
    </row>
    <row r="1089" ht="15.75" customHeight="1">
      <c r="A1089" s="7" t="s">
        <v>564</v>
      </c>
      <c r="B1089" s="8" t="str">
        <f>IFERROR(__xludf.DUMMYFUNCTION("REGEXREPLACE(A1089, ""[^0-9a-zA-Z .'Ã]"","""")"),"Scott Derrickson")</f>
        <v>Scott Derrickson</v>
      </c>
      <c r="C1089" s="9">
        <v>276.0</v>
      </c>
      <c r="D1089" s="10">
        <v>7.9363785E7</v>
      </c>
      <c r="E1089" s="9" t="s">
        <v>1231</v>
      </c>
      <c r="F1089" s="9">
        <f t="shared" si="1"/>
        <v>3</v>
      </c>
      <c r="G1089" s="9" t="s">
        <v>1170</v>
      </c>
      <c r="H1089" s="11" t="str">
        <f>IFERROR(__xludf.DUMMYFUNCTION("REGEXREPLACE(G1089, ""[^0-9a-zA-Z .'Ã]"","""")"),"Keanu Reeves")</f>
        <v>Keanu Reeves</v>
      </c>
      <c r="I1089" s="11" t="s">
        <v>3971</v>
      </c>
      <c r="J1089" s="9">
        <v>139426.0</v>
      </c>
      <c r="K1089" s="9" t="s">
        <v>3972</v>
      </c>
      <c r="L1089" s="9">
        <v>698.0</v>
      </c>
      <c r="M1089" s="9" t="s">
        <v>24</v>
      </c>
      <c r="N1089" s="9" t="s">
        <v>25</v>
      </c>
      <c r="O1089" s="10">
        <v>8.0E7</v>
      </c>
      <c r="P1089" s="10">
        <f t="shared" si="2"/>
        <v>0</v>
      </c>
      <c r="Q1089" s="12">
        <f t="shared" si="3"/>
        <v>636215</v>
      </c>
      <c r="R1089" s="9">
        <v>2008.0</v>
      </c>
      <c r="S1089" s="9">
        <v>5.5</v>
      </c>
    </row>
    <row r="1090" ht="15.75" customHeight="1">
      <c r="A1090" s="29" t="s">
        <v>3973</v>
      </c>
      <c r="B1090" s="8" t="str">
        <f>IFERROR(__xludf.DUMMYFUNCTION("REGEXREPLACE(A1090, ""[^0-9a-zA-Z .'Ã]"","""")"),"Mark Illsley")</f>
        <v>Mark Illsley</v>
      </c>
      <c r="C1090" s="30">
        <v>77.0</v>
      </c>
      <c r="D1090" s="31">
        <v>1943649.0</v>
      </c>
      <c r="E1090" s="30" t="s">
        <v>241</v>
      </c>
      <c r="F1090" s="9">
        <f t="shared" si="1"/>
        <v>3</v>
      </c>
      <c r="G1090" s="30" t="s">
        <v>3974</v>
      </c>
      <c r="H1090" s="11" t="str">
        <f>IFERROR(__xludf.DUMMYFUNCTION("REGEXREPLACE(G1090, ""[^0-9a-zA-Z .'Ã]"","""")"),"Ally Walker")</f>
        <v>Ally Walker</v>
      </c>
      <c r="I1090" s="32" t="s">
        <v>3975</v>
      </c>
      <c r="J1090" s="30">
        <v>8697.0</v>
      </c>
      <c r="K1090" s="30" t="s">
        <v>3976</v>
      </c>
      <c r="L1090" s="30">
        <v>122.0</v>
      </c>
      <c r="M1090" s="30" t="s">
        <v>24</v>
      </c>
      <c r="N1090" s="30" t="s">
        <v>25</v>
      </c>
      <c r="O1090" s="31">
        <v>1700000.0</v>
      </c>
      <c r="P1090" s="10">
        <f t="shared" si="2"/>
        <v>243649</v>
      </c>
      <c r="Q1090" s="12">
        <f t="shared" si="3"/>
        <v>0</v>
      </c>
      <c r="R1090" s="30">
        <v>1999.0</v>
      </c>
      <c r="S1090" s="30">
        <v>6.3</v>
      </c>
    </row>
    <row r="1091" ht="15.75" customHeight="1">
      <c r="A1091" s="7" t="s">
        <v>3977</v>
      </c>
      <c r="B1091" s="8" t="str">
        <f>IFERROR(__xludf.DUMMYFUNCTION("REGEXREPLACE(A1091, ""[^0-9a-zA-Z .'Ã]"","""")"),"David Lean")</f>
        <v>David Lean</v>
      </c>
      <c r="C1091" s="9">
        <v>181.0</v>
      </c>
      <c r="D1091" s="10">
        <v>6000000.0</v>
      </c>
      <c r="E1091" s="9" t="s">
        <v>1895</v>
      </c>
      <c r="F1091" s="9">
        <f t="shared" si="1"/>
        <v>5</v>
      </c>
      <c r="G1091" s="9" t="s">
        <v>3978</v>
      </c>
      <c r="H1091" s="11" t="str">
        <f>IFERROR(__xludf.DUMMYFUNCTION("REGEXREPLACE(G1091, ""[^0-9a-zA-Z .'Ã]"","""")"),"Claude Rains")</f>
        <v>Claude Rains</v>
      </c>
      <c r="I1091" s="11" t="s">
        <v>3979</v>
      </c>
      <c r="J1091" s="9">
        <v>192775.0</v>
      </c>
      <c r="K1091" s="9" t="s">
        <v>3980</v>
      </c>
      <c r="L1091" s="9">
        <v>559.0</v>
      </c>
      <c r="M1091" s="9" t="s">
        <v>24</v>
      </c>
      <c r="N1091" s="9" t="s">
        <v>130</v>
      </c>
      <c r="O1091" s="10">
        <v>1.5E7</v>
      </c>
      <c r="P1091" s="10">
        <f t="shared" si="2"/>
        <v>0</v>
      </c>
      <c r="Q1091" s="12">
        <f t="shared" si="3"/>
        <v>9000000</v>
      </c>
      <c r="R1091" s="9">
        <v>1962.0</v>
      </c>
      <c r="S1091" s="9">
        <v>8.4</v>
      </c>
    </row>
    <row r="1092" ht="15.75" customHeight="1">
      <c r="A1092" s="7" t="s">
        <v>3981</v>
      </c>
      <c r="B1092" s="8" t="str">
        <f>IFERROR(__xludf.DUMMYFUNCTION("REGEXREPLACE(A1092, ""[^0-9a-zA-Z .'Ã]"","""")"),"Jeff Franklin")</f>
        <v>Jeff Franklin</v>
      </c>
      <c r="C1092" s="9">
        <v>45.0</v>
      </c>
      <c r="D1092" s="10">
        <v>2800000.0</v>
      </c>
      <c r="E1092" s="9" t="s">
        <v>137</v>
      </c>
      <c r="F1092" s="9">
        <f t="shared" si="1"/>
        <v>1</v>
      </c>
      <c r="G1092" s="9" t="s">
        <v>3982</v>
      </c>
      <c r="H1092" s="11" t="str">
        <f>IFERROR(__xludf.DUMMYFUNCTION("REGEXREPLACE(G1092, ""[^0-9a-zA-Z .'Ã]"","""")"),"Ivana Milicevic")</f>
        <v>Ivana Milicevic</v>
      </c>
      <c r="I1092" s="11" t="s">
        <v>3983</v>
      </c>
      <c r="J1092" s="9">
        <v>4377.0</v>
      </c>
      <c r="K1092" s="9" t="s">
        <v>3984</v>
      </c>
      <c r="L1092" s="9">
        <v>85.0</v>
      </c>
      <c r="M1092" s="9" t="s">
        <v>24</v>
      </c>
      <c r="N1092" s="9" t="s">
        <v>25</v>
      </c>
      <c r="O1092" s="10">
        <v>4000000.0</v>
      </c>
      <c r="P1092" s="10">
        <f t="shared" si="2"/>
        <v>0</v>
      </c>
      <c r="Q1092" s="12">
        <f t="shared" si="3"/>
        <v>1200000</v>
      </c>
      <c r="R1092" s="9">
        <v>1999.0</v>
      </c>
      <c r="S1092" s="9">
        <v>5.8</v>
      </c>
    </row>
    <row r="1093" ht="15.75" customHeight="1">
      <c r="A1093" s="21" t="s">
        <v>231</v>
      </c>
      <c r="B1093" s="8" t="str">
        <f>IFERROR(__xludf.DUMMYFUNCTION("REGEXREPLACE(A1093, ""[^0-9a-zA-Z .'Ã]"","""")"),"Anne Fontaine")</f>
        <v>Anne Fontaine</v>
      </c>
      <c r="C1093" s="22">
        <v>165.0</v>
      </c>
      <c r="D1093" s="23">
        <v>6109075.0</v>
      </c>
      <c r="E1093" s="22" t="s">
        <v>359</v>
      </c>
      <c r="F1093" s="9">
        <f t="shared" si="1"/>
        <v>2</v>
      </c>
      <c r="G1093" s="22" t="s">
        <v>3985</v>
      </c>
      <c r="H1093" s="11" t="str">
        <f>IFERROR(__xludf.DUMMYFUNCTION("REGEXREPLACE(G1093, ""[^0-9a-zA-Z .'Ã]"","""")"),"Alessandro Nivola")</f>
        <v>Alessandro Nivola</v>
      </c>
      <c r="I1093" s="24" t="s">
        <v>3986</v>
      </c>
      <c r="J1093" s="22">
        <v>32003.0</v>
      </c>
      <c r="K1093" s="22" t="s">
        <v>3987</v>
      </c>
      <c r="L1093" s="22">
        <v>65.0</v>
      </c>
      <c r="M1093" s="22" t="s">
        <v>658</v>
      </c>
      <c r="N1093" s="22" t="s">
        <v>608</v>
      </c>
      <c r="O1093" s="23">
        <v>1.943E7</v>
      </c>
      <c r="P1093" s="10">
        <f t="shared" si="2"/>
        <v>0</v>
      </c>
      <c r="Q1093" s="12">
        <f t="shared" si="3"/>
        <v>13320925</v>
      </c>
      <c r="R1093" s="22">
        <v>2009.0</v>
      </c>
      <c r="S1093" s="22">
        <v>6.7</v>
      </c>
    </row>
    <row r="1094" ht="15.75" customHeight="1">
      <c r="A1094" s="17" t="s">
        <v>3988</v>
      </c>
      <c r="B1094" s="8" t="str">
        <f>IFERROR(__xludf.DUMMYFUNCTION("REGEXREPLACE(A1094, ""[^0-9a-zA-Z .'Ã]"","""")"),"Rob Reiner")</f>
        <v>Rob Reiner</v>
      </c>
      <c r="C1094" s="18">
        <v>185.0</v>
      </c>
      <c r="D1094" s="19">
        <v>3.0857814E7</v>
      </c>
      <c r="E1094" s="18" t="s">
        <v>3989</v>
      </c>
      <c r="F1094" s="9">
        <f t="shared" si="1"/>
        <v>4</v>
      </c>
      <c r="G1094" s="18" t="s">
        <v>233</v>
      </c>
      <c r="H1094" s="11" t="str">
        <f>IFERROR(__xludf.DUMMYFUNCTION("REGEXREPLACE(G1094, ""[^0-9a-zA-Z .'Ã]"","""")"),"Robin Wright")</f>
        <v>Robin Wright</v>
      </c>
      <c r="I1094" s="20" t="s">
        <v>3990</v>
      </c>
      <c r="J1094" s="18">
        <v>294163.0</v>
      </c>
      <c r="K1094" s="18" t="s">
        <v>3991</v>
      </c>
      <c r="L1094" s="18">
        <v>718.0</v>
      </c>
      <c r="M1094" s="18" t="s">
        <v>24</v>
      </c>
      <c r="N1094" s="18" t="s">
        <v>25</v>
      </c>
      <c r="O1094" s="19">
        <v>1.6E7</v>
      </c>
      <c r="P1094" s="10">
        <f t="shared" si="2"/>
        <v>14857814</v>
      </c>
      <c r="Q1094" s="12">
        <f t="shared" si="3"/>
        <v>0</v>
      </c>
      <c r="R1094" s="18">
        <v>1987.0</v>
      </c>
      <c r="S1094" s="18">
        <v>8.1</v>
      </c>
    </row>
    <row r="1095" ht="15.75" customHeight="1">
      <c r="A1095" s="7" t="s">
        <v>3992</v>
      </c>
      <c r="B1095" s="8" t="str">
        <f>IFERROR(__xludf.DUMMYFUNCTION("REGEXREPLACE(A1095, ""[^0-9a-zA-Z .'Ã]"","""")"),"Jeremy Saulnier")</f>
        <v>Jeremy Saulnier</v>
      </c>
      <c r="C1095" s="9">
        <v>279.0</v>
      </c>
      <c r="D1095" s="10">
        <v>258113.0</v>
      </c>
      <c r="E1095" s="9" t="s">
        <v>113</v>
      </c>
      <c r="F1095" s="9">
        <f t="shared" si="1"/>
        <v>3</v>
      </c>
      <c r="G1095" s="9" t="s">
        <v>3993</v>
      </c>
      <c r="H1095" s="11" t="str">
        <f>IFERROR(__xludf.DUMMYFUNCTION("REGEXREPLACE(G1095, ""[^0-9a-zA-Z .'Ã]"","""")"),"Devin Ratray")</f>
        <v>Devin Ratray</v>
      </c>
      <c r="I1095" s="11" t="s">
        <v>3994</v>
      </c>
      <c r="J1095" s="9">
        <v>42678.0</v>
      </c>
      <c r="K1095" s="9" t="s">
        <v>3995</v>
      </c>
      <c r="L1095" s="9">
        <v>135.0</v>
      </c>
      <c r="M1095" s="9" t="s">
        <v>24</v>
      </c>
      <c r="N1095" s="9" t="s">
        <v>25</v>
      </c>
      <c r="O1095" s="10">
        <v>1066167.0</v>
      </c>
      <c r="P1095" s="10">
        <f t="shared" si="2"/>
        <v>0</v>
      </c>
      <c r="Q1095" s="12">
        <f t="shared" si="3"/>
        <v>808054</v>
      </c>
      <c r="R1095" s="9">
        <v>2013.0</v>
      </c>
      <c r="S1095" s="9">
        <v>7.1</v>
      </c>
    </row>
    <row r="1096" ht="15.75" customHeight="1">
      <c r="A1096" s="7" t="s">
        <v>1652</v>
      </c>
      <c r="B1096" s="8" t="str">
        <f>IFERROR(__xludf.DUMMYFUNCTION("REGEXREPLACE(A1096, ""[^0-9a-zA-Z .'Ã]"","""")"),"John Carpenter")</f>
        <v>John Carpenter</v>
      </c>
      <c r="C1096" s="9">
        <v>318.0</v>
      </c>
      <c r="D1096" s="10">
        <v>4.7E7</v>
      </c>
      <c r="E1096" s="9" t="s">
        <v>306</v>
      </c>
      <c r="F1096" s="9">
        <f t="shared" si="1"/>
        <v>2</v>
      </c>
      <c r="G1096" s="9" t="s">
        <v>390</v>
      </c>
      <c r="H1096" s="11" t="str">
        <f>IFERROR(__xludf.DUMMYFUNCTION("REGEXREPLACE(G1096, ""[^0-9a-zA-Z .'Ã]"","""")"),"Jamie Lee Curtis")</f>
        <v>Jamie Lee Curtis</v>
      </c>
      <c r="I1096" s="11" t="s">
        <v>3996</v>
      </c>
      <c r="J1096" s="9">
        <v>157863.0</v>
      </c>
      <c r="K1096" s="9" t="s">
        <v>3997</v>
      </c>
      <c r="L1096" s="9">
        <v>1191.0</v>
      </c>
      <c r="M1096" s="9" t="s">
        <v>24</v>
      </c>
      <c r="N1096" s="9" t="s">
        <v>25</v>
      </c>
      <c r="O1096" s="10">
        <v>300000.0</v>
      </c>
      <c r="P1096" s="10">
        <f t="shared" si="2"/>
        <v>46700000</v>
      </c>
      <c r="Q1096" s="12">
        <f t="shared" si="3"/>
        <v>0</v>
      </c>
      <c r="R1096" s="9">
        <v>1978.0</v>
      </c>
      <c r="S1096" s="9">
        <v>7.9</v>
      </c>
    </row>
    <row r="1097" ht="15.75" customHeight="1">
      <c r="A1097" s="7" t="s">
        <v>860</v>
      </c>
      <c r="B1097" s="8" t="str">
        <f>IFERROR(__xludf.DUMMYFUNCTION("REGEXREPLACE(A1097, ""[^0-9a-zA-Z .'Ã]"","""")"),"Michael Bay")</f>
        <v>Michael Bay</v>
      </c>
      <c r="C1097" s="9">
        <v>396.0</v>
      </c>
      <c r="D1097" s="10">
        <v>3.18759914E8</v>
      </c>
      <c r="E1097" s="9" t="s">
        <v>185</v>
      </c>
      <c r="F1097" s="9">
        <f t="shared" si="1"/>
        <v>3</v>
      </c>
      <c r="G1097" s="9" t="s">
        <v>3998</v>
      </c>
      <c r="H1097" s="11" t="str">
        <f>IFERROR(__xludf.DUMMYFUNCTION("REGEXREPLACE(G1097, ""[^0-9a-zA-Z .'Ã]"","""")"),"Zack Ward")</f>
        <v>Zack Ward</v>
      </c>
      <c r="I1097" s="11" t="s">
        <v>3999</v>
      </c>
      <c r="J1097" s="9">
        <v>513158.0</v>
      </c>
      <c r="K1097" s="9" t="s">
        <v>4000</v>
      </c>
      <c r="L1097" s="9">
        <v>1782.0</v>
      </c>
      <c r="M1097" s="9" t="s">
        <v>24</v>
      </c>
      <c r="N1097" s="9" t="s">
        <v>25</v>
      </c>
      <c r="O1097" s="10">
        <v>1.5E8</v>
      </c>
      <c r="P1097" s="10">
        <f t="shared" si="2"/>
        <v>168759914</v>
      </c>
      <c r="Q1097" s="12">
        <f t="shared" si="3"/>
        <v>0</v>
      </c>
      <c r="R1097" s="9">
        <v>2007.0</v>
      </c>
      <c r="S1097" s="9">
        <v>7.1</v>
      </c>
    </row>
    <row r="1098" ht="15.75" customHeight="1">
      <c r="A1098" s="25" t="s">
        <v>4001</v>
      </c>
      <c r="B1098" s="8" t="str">
        <f>IFERROR(__xludf.DUMMYFUNCTION("REGEXREPLACE(A1098, ""[^0-9a-zA-Z .'Ã]"","""")"),"Garry Marshall")</f>
        <v>Garry Marshall</v>
      </c>
      <c r="C1098" s="26">
        <v>108.0</v>
      </c>
      <c r="D1098" s="27">
        <v>1.08244774E8</v>
      </c>
      <c r="E1098" s="26" t="s">
        <v>289</v>
      </c>
      <c r="F1098" s="9">
        <f t="shared" si="1"/>
        <v>3</v>
      </c>
      <c r="G1098" s="26" t="s">
        <v>419</v>
      </c>
      <c r="H1098" s="11" t="str">
        <f>IFERROR(__xludf.DUMMYFUNCTION("REGEXREPLACE(G1098, ""[^0-9a-zA-Z .'Ã]"","""")"),"Anne Hathaway")</f>
        <v>Anne Hathaway</v>
      </c>
      <c r="I1098" s="28" t="s">
        <v>4002</v>
      </c>
      <c r="J1098" s="26">
        <v>94049.0</v>
      </c>
      <c r="K1098" s="26" t="s">
        <v>4003</v>
      </c>
      <c r="L1098" s="26">
        <v>301.0</v>
      </c>
      <c r="M1098" s="26" t="s">
        <v>24</v>
      </c>
      <c r="N1098" s="26" t="s">
        <v>25</v>
      </c>
      <c r="O1098" s="27">
        <v>3.7E7</v>
      </c>
      <c r="P1098" s="10">
        <f t="shared" si="2"/>
        <v>71244774</v>
      </c>
      <c r="Q1098" s="12">
        <f t="shared" si="3"/>
        <v>0</v>
      </c>
      <c r="R1098" s="26">
        <v>2001.0</v>
      </c>
      <c r="S1098" s="26">
        <v>6.2</v>
      </c>
    </row>
    <row r="1099" ht="15.75" customHeight="1">
      <c r="A1099" s="21" t="s">
        <v>2009</v>
      </c>
      <c r="B1099" s="8" t="str">
        <f>IFERROR(__xludf.DUMMYFUNCTION("REGEXREPLACE(A1099, ""[^0-9a-zA-Z .'Ã]"","""")"),"Anne Fletcher")</f>
        <v>Anne Fletcher</v>
      </c>
      <c r="C1099" s="22">
        <v>147.0</v>
      </c>
      <c r="D1099" s="23">
        <v>3.7101011E7</v>
      </c>
      <c r="E1099" s="22" t="s">
        <v>454</v>
      </c>
      <c r="F1099" s="9">
        <f t="shared" si="1"/>
        <v>2</v>
      </c>
      <c r="G1099" s="22" t="s">
        <v>3587</v>
      </c>
      <c r="H1099" s="11" t="str">
        <f>IFERROR(__xludf.DUMMYFUNCTION("REGEXREPLACE(G1099, ""[^0-9a-zA-Z .'Ã]"","""")"),"Miriam Margolyes")</f>
        <v>Miriam Margolyes</v>
      </c>
      <c r="I1099" s="24" t="s">
        <v>4004</v>
      </c>
      <c r="J1099" s="22">
        <v>30394.0</v>
      </c>
      <c r="K1099" s="22" t="s">
        <v>4005</v>
      </c>
      <c r="L1099" s="22">
        <v>103.0</v>
      </c>
      <c r="M1099" s="22" t="s">
        <v>24</v>
      </c>
      <c r="N1099" s="22" t="s">
        <v>25</v>
      </c>
      <c r="O1099" s="23">
        <v>4.0E7</v>
      </c>
      <c r="P1099" s="10">
        <f t="shared" si="2"/>
        <v>0</v>
      </c>
      <c r="Q1099" s="12">
        <f t="shared" si="3"/>
        <v>2898989</v>
      </c>
      <c r="R1099" s="22">
        <v>2012.0</v>
      </c>
      <c r="S1099" s="22">
        <v>5.8</v>
      </c>
    </row>
    <row r="1100" ht="15.75" customHeight="1">
      <c r="A1100" s="21" t="s">
        <v>4006</v>
      </c>
      <c r="B1100" s="8" t="str">
        <f>IFERROR(__xludf.DUMMYFUNCTION("REGEXREPLACE(A1100, ""[^0-9a-zA-Z .'Ã]"","""")"),"Clark Gregg")</f>
        <v>Clark Gregg</v>
      </c>
      <c r="C1100" s="22">
        <v>159.0</v>
      </c>
      <c r="D1100" s="23">
        <v>2926565.0</v>
      </c>
      <c r="E1100" s="22" t="s">
        <v>454</v>
      </c>
      <c r="F1100" s="9">
        <f t="shared" si="1"/>
        <v>2</v>
      </c>
      <c r="G1100" s="22" t="s">
        <v>1601</v>
      </c>
      <c r="H1100" s="11" t="str">
        <f>IFERROR(__xludf.DUMMYFUNCTION("REGEXREPLACE(G1100, ""[^0-9a-zA-Z .'Ã]"","""")"),"Anjelica Huston")</f>
        <v>Anjelica Huston</v>
      </c>
      <c r="I1100" s="24" t="s">
        <v>4007</v>
      </c>
      <c r="J1100" s="22">
        <v>28573.0</v>
      </c>
      <c r="K1100" s="22" t="s">
        <v>4008</v>
      </c>
      <c r="L1100" s="22">
        <v>72.0</v>
      </c>
      <c r="M1100" s="22" t="s">
        <v>24</v>
      </c>
      <c r="N1100" s="22" t="s">
        <v>25</v>
      </c>
      <c r="O1100" s="23">
        <v>3000000.0</v>
      </c>
      <c r="P1100" s="10">
        <f t="shared" si="2"/>
        <v>0</v>
      </c>
      <c r="Q1100" s="12">
        <f t="shared" si="3"/>
        <v>73435</v>
      </c>
      <c r="R1100" s="22">
        <v>2008.0</v>
      </c>
      <c r="S1100" s="22">
        <v>6.5</v>
      </c>
    </row>
    <row r="1101" ht="15.75" customHeight="1">
      <c r="A1101" s="21" t="s">
        <v>4009</v>
      </c>
      <c r="B1101" s="8" t="str">
        <f>IFERROR(__xludf.DUMMYFUNCTION("REGEXREPLACE(A1101, ""[^0-9a-zA-Z .'Ã]"","""")"),"Robert Harmon")</f>
        <v>Robert Harmon</v>
      </c>
      <c r="C1101" s="22">
        <v>81.0</v>
      </c>
      <c r="D1101" s="23">
        <v>1.2693621E7</v>
      </c>
      <c r="E1101" s="22" t="s">
        <v>94</v>
      </c>
      <c r="F1101" s="9">
        <f t="shared" si="1"/>
        <v>3</v>
      </c>
      <c r="G1101" s="22" t="s">
        <v>4010</v>
      </c>
      <c r="H1101" s="11" t="str">
        <f>IFERROR(__xludf.DUMMYFUNCTION("REGEXREPLACE(G1101, ""[^0-9a-zA-Z .'Ã]"","""")"),"Alexander Gould")</f>
        <v>Alexander Gould</v>
      </c>
      <c r="I1101" s="24" t="s">
        <v>4011</v>
      </c>
      <c r="J1101" s="22">
        <v>10885.0</v>
      </c>
      <c r="K1101" s="22" t="s">
        <v>4012</v>
      </c>
      <c r="L1101" s="22">
        <v>271.0</v>
      </c>
      <c r="M1101" s="22" t="s">
        <v>24</v>
      </c>
      <c r="N1101" s="22" t="s">
        <v>25</v>
      </c>
      <c r="O1101" s="23">
        <v>1.7E7</v>
      </c>
      <c r="P1101" s="10">
        <f t="shared" si="2"/>
        <v>0</v>
      </c>
      <c r="Q1101" s="12">
        <f t="shared" si="3"/>
        <v>4306379</v>
      </c>
      <c r="R1101" s="22">
        <v>2002.0</v>
      </c>
      <c r="S1101" s="22">
        <v>4.8</v>
      </c>
    </row>
    <row r="1102" ht="15.75" customHeight="1">
      <c r="A1102" s="17" t="s">
        <v>4013</v>
      </c>
      <c r="B1102" s="8" t="str">
        <f>IFERROR(__xludf.DUMMYFUNCTION("REGEXREPLACE(A1102, ""[^0-9a-zA-Z .'Ã]"","""")"),"Bille August")</f>
        <v>Bille August</v>
      </c>
      <c r="C1102" s="18">
        <v>50.0</v>
      </c>
      <c r="D1102" s="19">
        <v>2221994.0</v>
      </c>
      <c r="E1102" s="18" t="s">
        <v>1546</v>
      </c>
      <c r="F1102" s="9">
        <f t="shared" si="1"/>
        <v>4</v>
      </c>
      <c r="G1102" s="18" t="s">
        <v>1846</v>
      </c>
      <c r="H1102" s="11" t="str">
        <f>IFERROR(__xludf.DUMMYFUNCTION("REGEXREPLACE(G1102, ""[^0-9a-zA-Z .'Ã]"","""")"),"Jim Broadbent")</f>
        <v>Jim Broadbent</v>
      </c>
      <c r="I1102" s="20" t="s">
        <v>4014</v>
      </c>
      <c r="J1102" s="18">
        <v>11747.0</v>
      </c>
      <c r="K1102" s="18" t="s">
        <v>4015</v>
      </c>
      <c r="L1102" s="18">
        <v>99.0</v>
      </c>
      <c r="M1102" s="18" t="s">
        <v>24</v>
      </c>
      <c r="N1102" s="18" t="s">
        <v>4016</v>
      </c>
      <c r="O1102" s="19">
        <v>3.5E7</v>
      </c>
      <c r="P1102" s="10">
        <f t="shared" si="2"/>
        <v>0</v>
      </c>
      <c r="Q1102" s="12">
        <f t="shared" si="3"/>
        <v>32778006</v>
      </c>
      <c r="R1102" s="18">
        <v>1997.0</v>
      </c>
      <c r="S1102" s="18">
        <v>6.4</v>
      </c>
    </row>
    <row r="1103" ht="15.75" customHeight="1">
      <c r="A1103" s="7" t="s">
        <v>2535</v>
      </c>
      <c r="B1103" s="8" t="str">
        <f>IFERROR(__xludf.DUMMYFUNCTION("REGEXREPLACE(A1103, ""[^0-9a-zA-Z .'Ã]"","""")"),"Ivan Reitman")</f>
        <v>Ivan Reitman</v>
      </c>
      <c r="C1103" s="9">
        <v>16.0</v>
      </c>
      <c r="D1103" s="10">
        <v>4.9851591E7</v>
      </c>
      <c r="E1103" s="9" t="s">
        <v>241</v>
      </c>
      <c r="F1103" s="9">
        <f t="shared" si="1"/>
        <v>3</v>
      </c>
      <c r="G1103" s="9" t="s">
        <v>399</v>
      </c>
      <c r="H1103" s="11" t="str">
        <f>IFERROR(__xludf.DUMMYFUNCTION("REGEXREPLACE(G1103, ""[^0-9a-zA-Z .'Ã]"","""")"),"Brian Dennehy")</f>
        <v>Brian Dennehy</v>
      </c>
      <c r="I1103" s="11" t="s">
        <v>4017</v>
      </c>
      <c r="J1103" s="9">
        <v>7900.0</v>
      </c>
      <c r="K1103" s="9" t="s">
        <v>4018</v>
      </c>
      <c r="L1103" s="9">
        <v>34.0</v>
      </c>
      <c r="M1103" s="9" t="s">
        <v>24</v>
      </c>
      <c r="N1103" s="9" t="s">
        <v>25</v>
      </c>
      <c r="O1103" s="10">
        <v>4.0E7</v>
      </c>
      <c r="P1103" s="10">
        <f t="shared" si="2"/>
        <v>9851591</v>
      </c>
      <c r="Q1103" s="12">
        <f t="shared" si="3"/>
        <v>0</v>
      </c>
      <c r="R1103" s="9">
        <v>1986.0</v>
      </c>
      <c r="S1103" s="9">
        <v>5.9</v>
      </c>
    </row>
    <row r="1104" ht="15.75" customHeight="1">
      <c r="A1104" s="29" t="s">
        <v>2278</v>
      </c>
      <c r="B1104" s="8" t="str">
        <f>IFERROR(__xludf.DUMMYFUNCTION("REGEXREPLACE(A1104, ""[^0-9a-zA-Z .'Ã]"","""")"),"Lee Daniels")</f>
        <v>Lee Daniels</v>
      </c>
      <c r="C1104" s="30">
        <v>304.0</v>
      </c>
      <c r="D1104" s="31">
        <v>1.1663131E8</v>
      </c>
      <c r="E1104" s="30" t="s">
        <v>359</v>
      </c>
      <c r="F1104" s="9">
        <f t="shared" si="1"/>
        <v>2</v>
      </c>
      <c r="G1104" s="30" t="s">
        <v>4019</v>
      </c>
      <c r="H1104" s="11" t="str">
        <f>IFERROR(__xludf.DUMMYFUNCTION("REGEXREPLACE(G1104, ""[^0-9a-zA-Z .'Ã]"","""")"),"Alex Pettyfer")</f>
        <v>Alex Pettyfer</v>
      </c>
      <c r="I1104" s="32" t="s">
        <v>4020</v>
      </c>
      <c r="J1104" s="30">
        <v>87665.0</v>
      </c>
      <c r="K1104" s="30" t="s">
        <v>4021</v>
      </c>
      <c r="L1104" s="30">
        <v>323.0</v>
      </c>
      <c r="M1104" s="30" t="s">
        <v>24</v>
      </c>
      <c r="N1104" s="30" t="s">
        <v>25</v>
      </c>
      <c r="O1104" s="31">
        <v>3.0E7</v>
      </c>
      <c r="P1104" s="10">
        <f t="shared" si="2"/>
        <v>86631310</v>
      </c>
      <c r="Q1104" s="12">
        <f t="shared" si="3"/>
        <v>0</v>
      </c>
      <c r="R1104" s="30">
        <v>2013.0</v>
      </c>
      <c r="S1104" s="30">
        <v>7.2</v>
      </c>
    </row>
    <row r="1105" ht="15.75" customHeight="1">
      <c r="A1105" s="29" t="s">
        <v>4022</v>
      </c>
      <c r="B1105" s="8" t="str">
        <f>IFERROR(__xludf.DUMMYFUNCTION("REGEXREPLACE(A1105, ""[^0-9a-zA-Z .'Ã]"","""")"),"Tim Hill")</f>
        <v>Tim Hill</v>
      </c>
      <c r="C1105" s="30">
        <v>37.0</v>
      </c>
      <c r="D1105" s="31">
        <v>1.7292381E7</v>
      </c>
      <c r="E1105" s="30" t="s">
        <v>4023</v>
      </c>
      <c r="F1105" s="9">
        <f t="shared" si="1"/>
        <v>3</v>
      </c>
      <c r="G1105" s="30" t="s">
        <v>1388</v>
      </c>
      <c r="H1105" s="11" t="str">
        <f>IFERROR(__xludf.DUMMYFUNCTION("REGEXREPLACE(G1105, ""[^0-9a-zA-Z .'Ã]"","""")"),"Noel Fisher")</f>
        <v>Noel Fisher</v>
      </c>
      <c r="I1105" s="32" t="s">
        <v>4024</v>
      </c>
      <c r="J1105" s="30">
        <v>5794.0</v>
      </c>
      <c r="K1105" s="30" t="s">
        <v>4025</v>
      </c>
      <c r="L1105" s="30">
        <v>69.0</v>
      </c>
      <c r="M1105" s="30" t="s">
        <v>24</v>
      </c>
      <c r="N1105" s="30" t="s">
        <v>25</v>
      </c>
      <c r="O1105" s="31">
        <v>1.2E7</v>
      </c>
      <c r="P1105" s="10">
        <f t="shared" si="2"/>
        <v>5292381</v>
      </c>
      <c r="Q1105" s="12">
        <f t="shared" si="3"/>
        <v>0</v>
      </c>
      <c r="R1105" s="30">
        <v>2001.0</v>
      </c>
      <c r="S1105" s="30">
        <v>5.3</v>
      </c>
    </row>
    <row r="1106" ht="15.75" customHeight="1">
      <c r="A1106" s="25" t="s">
        <v>4026</v>
      </c>
      <c r="B1106" s="8" t="str">
        <f>IFERROR(__xludf.DUMMYFUNCTION("REGEXREPLACE(A1106, ""[^0-9a-zA-Z .'Ã]"","""")"),"Daniel Barnz")</f>
        <v>Daniel Barnz</v>
      </c>
      <c r="C1106" s="26">
        <v>148.0</v>
      </c>
      <c r="D1106" s="27">
        <v>2.7854896E7</v>
      </c>
      <c r="E1106" s="26" t="s">
        <v>3253</v>
      </c>
      <c r="F1106" s="9">
        <f t="shared" si="1"/>
        <v>3</v>
      </c>
      <c r="G1106" s="26" t="s">
        <v>4019</v>
      </c>
      <c r="H1106" s="11" t="str">
        <f>IFERROR(__xludf.DUMMYFUNCTION("REGEXREPLACE(G1106, ""[^0-9a-zA-Z .'Ã]"","""")"),"Alex Pettyfer")</f>
        <v>Alex Pettyfer</v>
      </c>
      <c r="I1106" s="28" t="s">
        <v>4027</v>
      </c>
      <c r="J1106" s="26">
        <v>64190.0</v>
      </c>
      <c r="K1106" s="26" t="s">
        <v>4028</v>
      </c>
      <c r="L1106" s="26">
        <v>129.0</v>
      </c>
      <c r="M1106" s="26" t="s">
        <v>24</v>
      </c>
      <c r="N1106" s="26" t="s">
        <v>25</v>
      </c>
      <c r="O1106" s="27">
        <v>1.7E7</v>
      </c>
      <c r="P1106" s="10">
        <f t="shared" si="2"/>
        <v>10854896</v>
      </c>
      <c r="Q1106" s="12">
        <f t="shared" si="3"/>
        <v>0</v>
      </c>
      <c r="R1106" s="26">
        <v>2011.0</v>
      </c>
      <c r="S1106" s="26">
        <v>5.6</v>
      </c>
    </row>
    <row r="1107" ht="15.75" customHeight="1">
      <c r="A1107" s="21" t="s">
        <v>4029</v>
      </c>
      <c r="B1107" s="8" t="str">
        <f>IFERROR(__xludf.DUMMYFUNCTION("REGEXREPLACE(A1107, ""[^0-9a-zA-Z .'Ã]"","""")"),"Michael D. Sellers")</f>
        <v>Michael D. Sellers</v>
      </c>
      <c r="C1107" s="22">
        <v>18.0</v>
      </c>
      <c r="D1107" s="23">
        <v>71904.0</v>
      </c>
      <c r="E1107" s="22" t="s">
        <v>1486</v>
      </c>
      <c r="F1107" s="9">
        <f t="shared" si="1"/>
        <v>3</v>
      </c>
      <c r="G1107" s="22" t="s">
        <v>4030</v>
      </c>
      <c r="H1107" s="11" t="str">
        <f>IFERROR(__xludf.DUMMYFUNCTION("REGEXREPLACE(G1107, ""[^0-9a-zA-Z .'Ã]"","""")"),"Katharine Ross")</f>
        <v>Katharine Ross</v>
      </c>
      <c r="I1107" s="24" t="s">
        <v>4031</v>
      </c>
      <c r="J1107" s="22">
        <v>806.0</v>
      </c>
      <c r="K1107" s="22" t="s">
        <v>4032</v>
      </c>
      <c r="L1107" s="22">
        <v>18.0</v>
      </c>
      <c r="M1107" s="22" t="s">
        <v>24</v>
      </c>
      <c r="N1107" s="22" t="s">
        <v>25</v>
      </c>
      <c r="O1107" s="23">
        <v>2500000.0</v>
      </c>
      <c r="P1107" s="10">
        <f t="shared" si="2"/>
        <v>0</v>
      </c>
      <c r="Q1107" s="12">
        <f t="shared" si="3"/>
        <v>2428096</v>
      </c>
      <c r="R1107" s="22">
        <v>2006.0</v>
      </c>
      <c r="S1107" s="22">
        <v>5.7</v>
      </c>
    </row>
    <row r="1108" ht="15.75" customHeight="1">
      <c r="A1108" s="21" t="s">
        <v>4033</v>
      </c>
      <c r="B1108" s="8" t="str">
        <f>IFERROR(__xludf.DUMMYFUNCTION("REGEXREPLACE(A1108, ""[^0-9a-zA-Z .'Ã]"","""")"),"Bob Dolman")</f>
        <v>Bob Dolman</v>
      </c>
      <c r="C1108" s="22">
        <v>92.0</v>
      </c>
      <c r="D1108" s="23">
        <v>3.0306281E7</v>
      </c>
      <c r="E1108" s="22" t="s">
        <v>454</v>
      </c>
      <c r="F1108" s="9">
        <f t="shared" si="1"/>
        <v>2</v>
      </c>
      <c r="G1108" s="22" t="s">
        <v>3084</v>
      </c>
      <c r="H1108" s="11" t="str">
        <f>IFERROR(__xludf.DUMMYFUNCTION("REGEXREPLACE(G1108, ""[^0-9a-zA-Z .'Ã]"","""")"),"Erika Christensen")</f>
        <v>Erika Christensen</v>
      </c>
      <c r="I1108" s="24" t="s">
        <v>4034</v>
      </c>
      <c r="J1108" s="22">
        <v>12388.0</v>
      </c>
      <c r="K1108" s="22" t="s">
        <v>4035</v>
      </c>
      <c r="L1108" s="22">
        <v>147.0</v>
      </c>
      <c r="M1108" s="22" t="s">
        <v>24</v>
      </c>
      <c r="N1108" s="22" t="s">
        <v>25</v>
      </c>
      <c r="O1108" s="23">
        <v>1.0E7</v>
      </c>
      <c r="P1108" s="10">
        <f t="shared" si="2"/>
        <v>20306281</v>
      </c>
      <c r="Q1108" s="12">
        <f t="shared" si="3"/>
        <v>0</v>
      </c>
      <c r="R1108" s="22">
        <v>2002.0</v>
      </c>
      <c r="S1108" s="22">
        <v>5.6</v>
      </c>
    </row>
    <row r="1109" ht="15.75" customHeight="1">
      <c r="A1109" s="21" t="s">
        <v>4036</v>
      </c>
      <c r="B1109" s="8" t="str">
        <f>IFERROR(__xludf.DUMMYFUNCTION("REGEXREPLACE(A1109, ""[^0-9a-zA-Z .'Ã]"","""")"),"Rich Christiano")</f>
        <v>Rich Christiano</v>
      </c>
      <c r="C1109" s="22">
        <v>16.0</v>
      </c>
      <c r="D1109" s="23">
        <v>15278.0</v>
      </c>
      <c r="E1109" s="22" t="s">
        <v>4037</v>
      </c>
      <c r="F1109" s="9">
        <f t="shared" si="1"/>
        <v>3</v>
      </c>
      <c r="G1109" s="22" t="s">
        <v>4038</v>
      </c>
      <c r="H1109" s="11" t="str">
        <f>IFERROR(__xludf.DUMMYFUNCTION("REGEXREPLACE(G1109, ""[^0-9a-zA-Z .'Ã]"","""")"),"Gavin MacLeod")</f>
        <v>Gavin MacLeod</v>
      </c>
      <c r="I1109" s="24" t="s">
        <v>4039</v>
      </c>
      <c r="J1109" s="22">
        <v>1742.0</v>
      </c>
      <c r="K1109" s="22" t="s">
        <v>4040</v>
      </c>
      <c r="L1109" s="22">
        <v>158.0</v>
      </c>
      <c r="M1109" s="22" t="s">
        <v>24</v>
      </c>
      <c r="N1109" s="22" t="s">
        <v>25</v>
      </c>
      <c r="O1109" s="23">
        <v>825000.0</v>
      </c>
      <c r="P1109" s="10">
        <f t="shared" si="2"/>
        <v>0</v>
      </c>
      <c r="Q1109" s="12">
        <f t="shared" si="3"/>
        <v>809722</v>
      </c>
      <c r="R1109" s="22">
        <v>2002.0</v>
      </c>
      <c r="S1109" s="22">
        <v>5.6</v>
      </c>
    </row>
    <row r="1110" ht="15.75" customHeight="1">
      <c r="A1110" s="21" t="s">
        <v>4041</v>
      </c>
      <c r="B1110" s="8" t="str">
        <f>IFERROR(__xludf.DUMMYFUNCTION("REGEXREPLACE(A1110, ""[^0-9a-zA-Z .'Ã]"","""")"),"Catherine Hardwicke")</f>
        <v>Catherine Hardwicke</v>
      </c>
      <c r="C1110" s="22">
        <v>350.0</v>
      </c>
      <c r="D1110" s="23">
        <v>1.91449475E8</v>
      </c>
      <c r="E1110" s="22" t="s">
        <v>3253</v>
      </c>
      <c r="F1110" s="9">
        <f t="shared" si="1"/>
        <v>3</v>
      </c>
      <c r="G1110" s="22" t="s">
        <v>1969</v>
      </c>
      <c r="H1110" s="11" t="str">
        <f>IFERROR(__xludf.DUMMYFUNCTION("REGEXREPLACE(G1110, ""[^0-9a-zA-Z .'Ã]"","""")"),"Kristen Stewart")</f>
        <v>Kristen Stewart</v>
      </c>
      <c r="I1110" s="24" t="s">
        <v>4042</v>
      </c>
      <c r="J1110" s="22">
        <v>348007.0</v>
      </c>
      <c r="K1110" s="22" t="s">
        <v>4043</v>
      </c>
      <c r="L1110" s="22">
        <v>1535.0</v>
      </c>
      <c r="M1110" s="22" t="s">
        <v>24</v>
      </c>
      <c r="N1110" s="22" t="s">
        <v>25</v>
      </c>
      <c r="O1110" s="23">
        <v>3.7E7</v>
      </c>
      <c r="P1110" s="10">
        <f t="shared" si="2"/>
        <v>154449475</v>
      </c>
      <c r="Q1110" s="12">
        <f t="shared" si="3"/>
        <v>0</v>
      </c>
      <c r="R1110" s="22">
        <v>2008.0</v>
      </c>
      <c r="S1110" s="22">
        <v>5.2</v>
      </c>
    </row>
    <row r="1111" ht="15.75" customHeight="1">
      <c r="A1111" s="17" t="s">
        <v>78</v>
      </c>
      <c r="B1111" s="8" t="str">
        <f>IFERROR(__xludf.DUMMYFUNCTION("REGEXREPLACE(A1111, ""[^0-9a-zA-Z .'Ã]"","""")"),"John Sayles")</f>
        <v>John Sayles</v>
      </c>
      <c r="C1111" s="18">
        <v>68.0</v>
      </c>
      <c r="D1111" s="19">
        <v>3064356.0</v>
      </c>
      <c r="E1111" s="18" t="s">
        <v>232</v>
      </c>
      <c r="F1111" s="9">
        <f t="shared" si="1"/>
        <v>2</v>
      </c>
      <c r="G1111" s="18" t="s">
        <v>3161</v>
      </c>
      <c r="H1111" s="11" t="str">
        <f>IFERROR(__xludf.DUMMYFUNCTION("REGEXREPLACE(G1111, ""[^0-9a-zA-Z .'Ã]"","""")"),"Miguel Ferrer")</f>
        <v>Miguel Ferrer</v>
      </c>
      <c r="I1111" s="20" t="s">
        <v>4044</v>
      </c>
      <c r="J1111" s="18">
        <v>3433.0</v>
      </c>
      <c r="K1111" s="18" t="s">
        <v>4045</v>
      </c>
      <c r="L1111" s="18">
        <v>81.0</v>
      </c>
      <c r="M1111" s="18" t="s">
        <v>24</v>
      </c>
      <c r="N1111" s="18" t="s">
        <v>25</v>
      </c>
      <c r="O1111" s="19">
        <v>5600000.0</v>
      </c>
      <c r="P1111" s="10">
        <f t="shared" si="2"/>
        <v>0</v>
      </c>
      <c r="Q1111" s="12">
        <f t="shared" si="3"/>
        <v>2535644</v>
      </c>
      <c r="R1111" s="18">
        <v>2002.0</v>
      </c>
      <c r="S1111" s="18">
        <v>6.9</v>
      </c>
    </row>
    <row r="1112" ht="15.75" customHeight="1">
      <c r="A1112" s="25" t="s">
        <v>4046</v>
      </c>
      <c r="B1112" s="8" t="str">
        <f>IFERROR(__xludf.DUMMYFUNCTION("REGEXREPLACE(A1112, ""[^0-9a-zA-Z .'Ã]"","""")"),"Steve Oedekerk")</f>
        <v>Steve Oedekerk</v>
      </c>
      <c r="C1112" s="26">
        <v>59.0</v>
      </c>
      <c r="D1112" s="27">
        <v>1.0836E8</v>
      </c>
      <c r="E1112" s="26" t="s">
        <v>693</v>
      </c>
      <c r="F1112" s="9">
        <f t="shared" si="1"/>
        <v>2</v>
      </c>
      <c r="G1112" s="26" t="s">
        <v>4047</v>
      </c>
      <c r="H1112" s="11" t="str">
        <f>IFERROR(__xludf.DUMMYFUNCTION("REGEXREPLACE(G1112, ""[^0-9a-zA-Z .'Ã]"","""")"),"Bruce Spence")</f>
        <v>Bruce Spence</v>
      </c>
      <c r="I1112" s="28" t="s">
        <v>4048</v>
      </c>
      <c r="J1112" s="26">
        <v>160321.0</v>
      </c>
      <c r="K1112" s="26" t="s">
        <v>4049</v>
      </c>
      <c r="L1112" s="26">
        <v>178.0</v>
      </c>
      <c r="M1112" s="26" t="s">
        <v>24</v>
      </c>
      <c r="N1112" s="26" t="s">
        <v>25</v>
      </c>
      <c r="O1112" s="27">
        <v>3.0E7</v>
      </c>
      <c r="P1112" s="10">
        <f t="shared" si="2"/>
        <v>78360000</v>
      </c>
      <c r="Q1112" s="12">
        <f t="shared" si="3"/>
        <v>0</v>
      </c>
      <c r="R1112" s="26">
        <v>1995.0</v>
      </c>
      <c r="S1112" s="26">
        <v>6.3</v>
      </c>
    </row>
    <row r="1113" ht="15.75" customHeight="1">
      <c r="A1113" s="25" t="s">
        <v>4050</v>
      </c>
      <c r="B1113" s="8" t="str">
        <f>IFERROR(__xludf.DUMMYFUNCTION("REGEXREPLACE(A1113, ""[^0-9a-zA-Z -.'Ã]"","""")"),"Alfonso CuarÃn")</f>
        <v>Alfonso CuarÃn</v>
      </c>
      <c r="C1113" s="26">
        <v>372.0</v>
      </c>
      <c r="D1113" s="27">
        <v>3.5286428E7</v>
      </c>
      <c r="E1113" s="26" t="s">
        <v>1231</v>
      </c>
      <c r="F1113" s="9">
        <f t="shared" si="1"/>
        <v>3</v>
      </c>
      <c r="G1113" s="26" t="s">
        <v>1753</v>
      </c>
      <c r="H1113" s="11" t="str">
        <f>IFERROR(__xludf.DUMMYFUNCTION("REGEXREPLACE(G1113, ""[^0-9a-zA-Z .'Ã]"","""")"),"Charlie Hunnam")</f>
        <v>Charlie Hunnam</v>
      </c>
      <c r="I1113" s="28" t="s">
        <v>4051</v>
      </c>
      <c r="J1113" s="26">
        <v>361767.0</v>
      </c>
      <c r="K1113" s="26" t="s">
        <v>4052</v>
      </c>
      <c r="L1113" s="26">
        <v>1206.0</v>
      </c>
      <c r="M1113" s="26" t="s">
        <v>24</v>
      </c>
      <c r="N1113" s="26" t="s">
        <v>25</v>
      </c>
      <c r="O1113" s="27">
        <v>7.6E7</v>
      </c>
      <c r="P1113" s="10">
        <f t="shared" si="2"/>
        <v>0</v>
      </c>
      <c r="Q1113" s="12">
        <f t="shared" si="3"/>
        <v>40713572</v>
      </c>
      <c r="R1113" s="26">
        <v>2006.0</v>
      </c>
      <c r="S1113" s="26">
        <v>7.9</v>
      </c>
    </row>
    <row r="1114" ht="15.75" customHeight="1">
      <c r="A1114" s="13" t="s">
        <v>381</v>
      </c>
      <c r="B1114" s="8" t="str">
        <f>IFERROR(__xludf.DUMMYFUNCTION("REGEXREPLACE(A1114, ""[^0-9a-zA-Z .'Ã]"","""")"),"Brian De Palma")</f>
        <v>Brian De Palma</v>
      </c>
      <c r="C1114" s="14">
        <v>33.0</v>
      </c>
      <c r="D1114" s="15">
        <v>2.1370057E7</v>
      </c>
      <c r="E1114" s="14" t="s">
        <v>113</v>
      </c>
      <c r="F1114" s="9">
        <f t="shared" si="1"/>
        <v>3</v>
      </c>
      <c r="G1114" s="14" t="s">
        <v>4053</v>
      </c>
      <c r="H1114" s="11" t="str">
        <f>IFERROR(__xludf.DUMMYFUNCTION("REGEXREPLACE(G1114, ""[^0-9a-zA-Z .'Ã]"","""")"),"Steven Bauer")</f>
        <v>Steven Bauer</v>
      </c>
      <c r="I1114" s="16" t="s">
        <v>4054</v>
      </c>
      <c r="J1114" s="14">
        <v>9903.0</v>
      </c>
      <c r="K1114" s="14" t="s">
        <v>4055</v>
      </c>
      <c r="L1114" s="14">
        <v>80.0</v>
      </c>
      <c r="M1114" s="14" t="s">
        <v>24</v>
      </c>
      <c r="N1114" s="14" t="s">
        <v>25</v>
      </c>
      <c r="O1114" s="15">
        <v>1.2E7</v>
      </c>
      <c r="P1114" s="10">
        <f t="shared" si="2"/>
        <v>9370057</v>
      </c>
      <c r="Q1114" s="12">
        <f t="shared" si="3"/>
        <v>0</v>
      </c>
      <c r="R1114" s="14">
        <v>1992.0</v>
      </c>
      <c r="S1114" s="14">
        <v>6.0</v>
      </c>
    </row>
    <row r="1115" ht="15.75" customHeight="1">
      <c r="A1115" s="25" t="s">
        <v>532</v>
      </c>
      <c r="B1115" s="8" t="str">
        <f>IFERROR(__xludf.DUMMYFUNCTION("REGEXREPLACE(A1115, ""[^0-9a-zA-Z .'Ã]"","""")"),"Donald Petrie")</f>
        <v>Donald Petrie</v>
      </c>
      <c r="C1115" s="26">
        <v>82.0</v>
      </c>
      <c r="D1115" s="27">
        <v>1.4469428E7</v>
      </c>
      <c r="E1115" s="26" t="s">
        <v>89</v>
      </c>
      <c r="F1115" s="9">
        <f t="shared" si="1"/>
        <v>2</v>
      </c>
      <c r="G1115" s="26" t="s">
        <v>4056</v>
      </c>
      <c r="H1115" s="11" t="str">
        <f>IFERROR(__xludf.DUMMYFUNCTION("REGEXREPLACE(G1115, ""[^0-9a-zA-Z .'Ã]"","""")"),"Rip Torn")</f>
        <v>Rip Torn</v>
      </c>
      <c r="I1115" s="28" t="s">
        <v>4057</v>
      </c>
      <c r="J1115" s="26">
        <v>10667.0</v>
      </c>
      <c r="K1115" s="26" t="s">
        <v>4058</v>
      </c>
      <c r="L1115" s="26">
        <v>95.0</v>
      </c>
      <c r="M1115" s="26" t="s">
        <v>24</v>
      </c>
      <c r="N1115" s="26" t="s">
        <v>25</v>
      </c>
      <c r="O1115" s="27">
        <v>2.6E7</v>
      </c>
      <c r="P1115" s="10">
        <f t="shared" si="2"/>
        <v>0</v>
      </c>
      <c r="Q1115" s="12">
        <f t="shared" si="3"/>
        <v>11530572</v>
      </c>
      <c r="R1115" s="26">
        <v>2004.0</v>
      </c>
      <c r="S1115" s="26">
        <v>5.2</v>
      </c>
    </row>
    <row r="1116" ht="15.75" customHeight="1">
      <c r="A1116" s="7" t="s">
        <v>4059</v>
      </c>
      <c r="B1116" s="8" t="str">
        <f>IFERROR(__xludf.DUMMYFUNCTION("REGEXREPLACE(A1116, ""[^0-9a-zA-Z .'Ã]"","""")"),"Sam Peckinpah")</f>
        <v>Sam Peckinpah</v>
      </c>
      <c r="C1116" s="9">
        <v>53.0</v>
      </c>
      <c r="D1116" s="10">
        <v>14873.0</v>
      </c>
      <c r="E1116" s="9" t="s">
        <v>4060</v>
      </c>
      <c r="F1116" s="9">
        <f t="shared" si="1"/>
        <v>3</v>
      </c>
      <c r="G1116" s="9" t="s">
        <v>4061</v>
      </c>
      <c r="H1116" s="11" t="str">
        <f>IFERROR(__xludf.DUMMYFUNCTION("REGEXREPLACE(G1116, ""[^0-9a-zA-Z .'Ã]"","""")"),"James Coburn")</f>
        <v>James Coburn</v>
      </c>
      <c r="I1116" s="11" t="s">
        <v>4062</v>
      </c>
      <c r="J1116" s="9">
        <v>5294.0</v>
      </c>
      <c r="K1116" s="9" t="s">
        <v>4063</v>
      </c>
      <c r="L1116" s="9">
        <v>67.0</v>
      </c>
      <c r="M1116" s="9" t="s">
        <v>24</v>
      </c>
      <c r="N1116" s="9" t="s">
        <v>25</v>
      </c>
      <c r="O1116" s="10">
        <v>3800000.0</v>
      </c>
      <c r="P1116" s="10">
        <f t="shared" si="2"/>
        <v>0</v>
      </c>
      <c r="Q1116" s="12">
        <f t="shared" si="3"/>
        <v>3785127</v>
      </c>
      <c r="R1116" s="9">
        <v>1965.0</v>
      </c>
      <c r="S1116" s="9">
        <v>6.8</v>
      </c>
    </row>
    <row r="1117" ht="15.75" customHeight="1">
      <c r="A1117" s="7" t="s">
        <v>4064</v>
      </c>
      <c r="B1117" s="8" t="str">
        <f>IFERROR(__xludf.DUMMYFUNCTION("REGEXREPLACE(A1117, ""[^0-9a-zA-Z .'Ã]"","""")"),"Edward Burns")</f>
        <v>Edward Burns</v>
      </c>
      <c r="C1117" s="9">
        <v>14.0</v>
      </c>
      <c r="D1117" s="10">
        <v>4584.0</v>
      </c>
      <c r="E1117" s="9" t="s">
        <v>454</v>
      </c>
      <c r="F1117" s="9">
        <f t="shared" si="1"/>
        <v>2</v>
      </c>
      <c r="G1117" s="9" t="s">
        <v>4065</v>
      </c>
      <c r="H1117" s="11" t="str">
        <f>IFERROR(__xludf.DUMMYFUNCTION("REGEXREPLACE(G1117, ""[^0-9a-zA-Z .'Ã]"","""")"),"Kerry BishÃ")</f>
        <v>Kerry BishÃ</v>
      </c>
      <c r="I1117" s="11" t="s">
        <v>4066</v>
      </c>
      <c r="J1117" s="9">
        <v>1338.0</v>
      </c>
      <c r="K1117" s="9" t="s">
        <v>4067</v>
      </c>
      <c r="L1117" s="9">
        <v>14.0</v>
      </c>
      <c r="M1117" s="9" t="s">
        <v>24</v>
      </c>
      <c r="N1117" s="9" t="s">
        <v>25</v>
      </c>
      <c r="O1117" s="10">
        <v>9000.0</v>
      </c>
      <c r="P1117" s="10">
        <f t="shared" si="2"/>
        <v>0</v>
      </c>
      <c r="Q1117" s="12">
        <f t="shared" si="3"/>
        <v>4416</v>
      </c>
      <c r="R1117" s="9">
        <v>2011.0</v>
      </c>
      <c r="S1117" s="9">
        <v>6.4</v>
      </c>
    </row>
    <row r="1118" ht="15.75" customHeight="1">
      <c r="A1118" s="7" t="s">
        <v>4068</v>
      </c>
      <c r="B1118" s="8" t="str">
        <f>IFERROR(__xludf.DUMMYFUNCTION("REGEXREPLACE(A1118, ""[^0-9a-zA-Z .'Ã]"","""")"),"Mel Gibson")</f>
        <v>Mel Gibson</v>
      </c>
      <c r="C1118" s="9">
        <v>132.0</v>
      </c>
      <c r="D1118" s="10">
        <v>7.56E7</v>
      </c>
      <c r="E1118" s="9" t="s">
        <v>3603</v>
      </c>
      <c r="F1118" s="9">
        <f t="shared" si="1"/>
        <v>4</v>
      </c>
      <c r="G1118" s="9" t="s">
        <v>4069</v>
      </c>
      <c r="H1118" s="11" t="str">
        <f>IFERROR(__xludf.DUMMYFUNCTION("REGEXREPLACE(G1118, ""[^0-9a-zA-Z .'Ã]"","""")"),"Mhairi Calvey")</f>
        <v>Mhairi Calvey</v>
      </c>
      <c r="I1118" s="11" t="s">
        <v>4070</v>
      </c>
      <c r="J1118" s="9">
        <v>736638.0</v>
      </c>
      <c r="K1118" s="9" t="s">
        <v>4071</v>
      </c>
      <c r="L1118" s="9">
        <v>1065.0</v>
      </c>
      <c r="M1118" s="9" t="s">
        <v>24</v>
      </c>
      <c r="N1118" s="9" t="s">
        <v>25</v>
      </c>
      <c r="O1118" s="10">
        <v>7.2E7</v>
      </c>
      <c r="P1118" s="10">
        <f t="shared" si="2"/>
        <v>3600000</v>
      </c>
      <c r="Q1118" s="12">
        <f t="shared" si="3"/>
        <v>0</v>
      </c>
      <c r="R1118" s="9">
        <v>1995.0</v>
      </c>
      <c r="S1118" s="9">
        <v>8.4</v>
      </c>
    </row>
    <row r="1119" ht="15.75" customHeight="1">
      <c r="A1119" s="13" t="s">
        <v>1655</v>
      </c>
      <c r="B1119" s="8" t="str">
        <f>IFERROR(__xludf.DUMMYFUNCTION("REGEXREPLACE(A1119, ""[^0-9a-zA-Z .'Ã]"","""")"),"Francis Ford Coppola")</f>
        <v>Francis Ford Coppola</v>
      </c>
      <c r="C1119" s="14">
        <v>110.0</v>
      </c>
      <c r="D1119" s="15">
        <v>6.6676062E7</v>
      </c>
      <c r="E1119" s="14" t="s">
        <v>54</v>
      </c>
      <c r="F1119" s="9">
        <f t="shared" si="1"/>
        <v>2</v>
      </c>
      <c r="G1119" s="14" t="s">
        <v>317</v>
      </c>
      <c r="H1119" s="11" t="str">
        <f>IFERROR(__xludf.DUMMYFUNCTION("REGEXREPLACE(G1119, ""[^0-9a-zA-Z .'Ã]"","""")"),"Al Pacino")</f>
        <v>Al Pacino</v>
      </c>
      <c r="I1119" s="16" t="s">
        <v>4072</v>
      </c>
      <c r="J1119" s="14">
        <v>267980.0</v>
      </c>
      <c r="K1119" s="14" t="s">
        <v>4073</v>
      </c>
      <c r="L1119" s="14">
        <v>545.0</v>
      </c>
      <c r="M1119" s="14" t="s">
        <v>24</v>
      </c>
      <c r="N1119" s="14" t="s">
        <v>25</v>
      </c>
      <c r="O1119" s="15">
        <v>5.4E7</v>
      </c>
      <c r="P1119" s="10">
        <f t="shared" si="2"/>
        <v>12676062</v>
      </c>
      <c r="Q1119" s="12">
        <f t="shared" si="3"/>
        <v>0</v>
      </c>
      <c r="R1119" s="14">
        <v>1990.0</v>
      </c>
      <c r="S1119" s="14">
        <v>7.6</v>
      </c>
    </row>
    <row r="1120" ht="15.75" customHeight="1">
      <c r="A1120" s="21" t="s">
        <v>1954</v>
      </c>
      <c r="B1120" s="8" t="str">
        <f>IFERROR(__xludf.DUMMYFUNCTION("REGEXREPLACE(A1120, ""[^0-9a-zA-Z .'Ã]"","""")"),"David R. Ellis")</f>
        <v>David R. Ellis</v>
      </c>
      <c r="C1120" s="22">
        <v>221.0</v>
      </c>
      <c r="D1120" s="23">
        <v>6.6466372E7</v>
      </c>
      <c r="E1120" s="22" t="s">
        <v>148</v>
      </c>
      <c r="F1120" s="9">
        <f t="shared" si="1"/>
        <v>1</v>
      </c>
      <c r="G1120" s="22" t="s">
        <v>4074</v>
      </c>
      <c r="H1120" s="11" t="str">
        <f>IFERROR(__xludf.DUMMYFUNCTION("REGEXREPLACE(G1120, ""[^0-9a-zA-Z .'Ã]"","""")"),"Krista Allen")</f>
        <v>Krista Allen</v>
      </c>
      <c r="I1120" s="24" t="s">
        <v>4075</v>
      </c>
      <c r="J1120" s="22">
        <v>75345.0</v>
      </c>
      <c r="K1120" s="22" t="s">
        <v>4076</v>
      </c>
      <c r="L1120" s="22">
        <v>290.0</v>
      </c>
      <c r="M1120" s="22" t="s">
        <v>24</v>
      </c>
      <c r="N1120" s="22" t="s">
        <v>25</v>
      </c>
      <c r="O1120" s="23">
        <v>4.0E7</v>
      </c>
      <c r="P1120" s="10">
        <f t="shared" si="2"/>
        <v>26466372</v>
      </c>
      <c r="Q1120" s="12">
        <f t="shared" si="3"/>
        <v>0</v>
      </c>
      <c r="R1120" s="22">
        <v>2009.0</v>
      </c>
      <c r="S1120" s="22">
        <v>5.2</v>
      </c>
    </row>
    <row r="1121" ht="15.75" customHeight="1">
      <c r="A1121" s="21" t="s">
        <v>4077</v>
      </c>
      <c r="B1121" s="8" t="str">
        <f>IFERROR(__xludf.DUMMYFUNCTION("REGEXREPLACE(A1121, ""[^0-9a-zA-Z .'Ã]"","""")"),"Vincent Paronnaud")</f>
        <v>Vincent Paronnaud</v>
      </c>
      <c r="C1121" s="22">
        <v>242.0</v>
      </c>
      <c r="D1121" s="23">
        <v>4443403.0</v>
      </c>
      <c r="E1121" s="22" t="s">
        <v>4078</v>
      </c>
      <c r="F1121" s="9">
        <f t="shared" si="1"/>
        <v>4</v>
      </c>
      <c r="G1121" s="22" t="s">
        <v>571</v>
      </c>
      <c r="H1121" s="11" t="str">
        <f>IFERROR(__xludf.DUMMYFUNCTION("REGEXREPLACE(G1121, ""[^0-9a-zA-Z .'Ã]"","""")"),"Catherine Deneuve")</f>
        <v>Catherine Deneuve</v>
      </c>
      <c r="I1121" s="24" t="s">
        <v>4079</v>
      </c>
      <c r="J1121" s="22">
        <v>70194.0</v>
      </c>
      <c r="K1121" s="22" t="s">
        <v>4080</v>
      </c>
      <c r="L1121" s="22">
        <v>158.0</v>
      </c>
      <c r="M1121" s="22" t="s">
        <v>658</v>
      </c>
      <c r="N1121" s="22" t="s">
        <v>608</v>
      </c>
      <c r="O1121" s="23">
        <v>7300000.0</v>
      </c>
      <c r="P1121" s="10">
        <f t="shared" si="2"/>
        <v>0</v>
      </c>
      <c r="Q1121" s="12">
        <f t="shared" si="3"/>
        <v>2856597</v>
      </c>
      <c r="R1121" s="22">
        <v>2007.0</v>
      </c>
      <c r="S1121" s="22">
        <v>8.0</v>
      </c>
    </row>
    <row r="1122" ht="15.75" customHeight="1">
      <c r="A1122" s="7" t="s">
        <v>4081</v>
      </c>
      <c r="B1122" s="8" t="str">
        <f>IFERROR(__xludf.DUMMYFUNCTION("REGEXREPLACE(A1122, ""[^0-9a-zA-Z .'Ã]"","""")"),"Steve Rash")</f>
        <v>Steve Rash</v>
      </c>
      <c r="C1122" s="9">
        <v>11.0</v>
      </c>
      <c r="D1122" s="10">
        <v>4692814.0</v>
      </c>
      <c r="E1122" s="9" t="s">
        <v>137</v>
      </c>
      <c r="F1122" s="9">
        <f t="shared" si="1"/>
        <v>1</v>
      </c>
      <c r="G1122" s="9" t="s">
        <v>4082</v>
      </c>
      <c r="H1122" s="11" t="str">
        <f>IFERROR(__xludf.DUMMYFUNCTION("REGEXREPLACE(G1122, ""[^0-9a-zA-Z .'Ã]"","""")"),"Barry Corbin")</f>
        <v>Barry Corbin</v>
      </c>
      <c r="I1122" s="11" t="s">
        <v>4083</v>
      </c>
      <c r="J1122" s="9">
        <v>2870.0</v>
      </c>
      <c r="K1122" s="9" t="s">
        <v>4084</v>
      </c>
      <c r="L1122" s="9">
        <v>34.0</v>
      </c>
      <c r="M1122" s="9" t="s">
        <v>24</v>
      </c>
      <c r="N1122" s="9" t="s">
        <v>25</v>
      </c>
      <c r="O1122" s="10">
        <v>8000000.0</v>
      </c>
      <c r="P1122" s="10">
        <f t="shared" si="2"/>
        <v>0</v>
      </c>
      <c r="Q1122" s="12">
        <f t="shared" si="3"/>
        <v>3307186</v>
      </c>
      <c r="R1122" s="9">
        <v>1999.0</v>
      </c>
      <c r="S1122" s="9">
        <v>5.1</v>
      </c>
    </row>
    <row r="1123" ht="15.75" customHeight="1">
      <c r="A1123" s="7" t="s">
        <v>4085</v>
      </c>
      <c r="B1123" s="8" t="str">
        <f>IFERROR(__xludf.DUMMYFUNCTION("REGEXREPLACE(A1123, ""[^0-9a-zA-Z .'Ã]"","""")"),"Douglas Aarniokoski")</f>
        <v>Douglas Aarniokoski</v>
      </c>
      <c r="C1123" s="9">
        <v>90.0</v>
      </c>
      <c r="D1123" s="10">
        <v>1.280119E7</v>
      </c>
      <c r="E1123" s="9" t="s">
        <v>1283</v>
      </c>
      <c r="F1123" s="9">
        <f t="shared" si="1"/>
        <v>4</v>
      </c>
      <c r="G1123" s="9" t="s">
        <v>3473</v>
      </c>
      <c r="H1123" s="11" t="str">
        <f>IFERROR(__xludf.DUMMYFUNCTION("REGEXREPLACE(G1123, ""[^0-9a-zA-Z .'Ã]"","""")"),"Christopher Lambert")</f>
        <v>Christopher Lambert</v>
      </c>
      <c r="I1123" s="11" t="s">
        <v>4086</v>
      </c>
      <c r="J1123" s="9">
        <v>16340.0</v>
      </c>
      <c r="K1123" s="9" t="s">
        <v>4087</v>
      </c>
      <c r="L1123" s="9">
        <v>355.0</v>
      </c>
      <c r="M1123" s="9" t="s">
        <v>24</v>
      </c>
      <c r="N1123" s="9" t="s">
        <v>25</v>
      </c>
      <c r="O1123" s="10">
        <v>1.5E7</v>
      </c>
      <c r="P1123" s="10">
        <f t="shared" si="2"/>
        <v>0</v>
      </c>
      <c r="Q1123" s="12">
        <f t="shared" si="3"/>
        <v>2198810</v>
      </c>
      <c r="R1123" s="9">
        <v>2000.0</v>
      </c>
      <c r="S1123" s="9">
        <v>4.6</v>
      </c>
    </row>
    <row r="1124" ht="15.75" customHeight="1">
      <c r="A1124" s="25" t="s">
        <v>1095</v>
      </c>
      <c r="B1124" s="8" t="str">
        <f>IFERROR(__xludf.DUMMYFUNCTION("REGEXREPLACE(A1124, ""[^0-9a-zA-Z .'Ã]"","""")"),"Renny Harlin")</f>
        <v>Renny Harlin</v>
      </c>
      <c r="C1124" s="26">
        <v>94.0</v>
      </c>
      <c r="D1124" s="27">
        <v>3.3328051E7</v>
      </c>
      <c r="E1124" s="26" t="s">
        <v>610</v>
      </c>
      <c r="F1124" s="9">
        <f t="shared" si="1"/>
        <v>5</v>
      </c>
      <c r="G1124" s="26" t="s">
        <v>4088</v>
      </c>
      <c r="H1124" s="11" t="str">
        <f>IFERROR(__xludf.DUMMYFUNCTION("REGEXREPLACE(G1124, ""[^0-9a-zA-Z .'Ã]"","""")"),"Melina Kanakaredes")</f>
        <v>Melina Kanakaredes</v>
      </c>
      <c r="I1124" s="28" t="s">
        <v>4089</v>
      </c>
      <c r="J1124" s="26">
        <v>60508.0</v>
      </c>
      <c r="K1124" s="26" t="s">
        <v>4090</v>
      </c>
      <c r="L1124" s="26">
        <v>285.0</v>
      </c>
      <c r="M1124" s="26" t="s">
        <v>24</v>
      </c>
      <c r="N1124" s="26" t="s">
        <v>25</v>
      </c>
      <c r="O1124" s="27">
        <v>6.5E7</v>
      </c>
      <c r="P1124" s="10">
        <f t="shared" si="2"/>
        <v>0</v>
      </c>
      <c r="Q1124" s="12">
        <f t="shared" si="3"/>
        <v>31671949</v>
      </c>
      <c r="R1124" s="26">
        <v>1996.0</v>
      </c>
      <c r="S1124" s="26">
        <v>6.7</v>
      </c>
    </row>
    <row r="1125" ht="15.75" customHeight="1">
      <c r="A1125" s="29" t="s">
        <v>760</v>
      </c>
      <c r="B1125" s="8" t="str">
        <f>IFERROR(__xludf.DUMMYFUNCTION("REGEXREPLACE(A1125, ""[^0-9a-zA-Z .'Ã]"","""")"),"Martin Scorsese")</f>
        <v>Martin Scorsese</v>
      </c>
      <c r="C1125" s="30">
        <v>192.0</v>
      </c>
      <c r="D1125" s="31">
        <v>4.6836394E7</v>
      </c>
      <c r="E1125" s="30" t="s">
        <v>1774</v>
      </c>
      <c r="F1125" s="9">
        <f t="shared" si="1"/>
        <v>3</v>
      </c>
      <c r="G1125" s="30" t="s">
        <v>883</v>
      </c>
      <c r="H1125" s="11" t="str">
        <f>IFERROR(__xludf.DUMMYFUNCTION("REGEXREPLACE(G1125, ""[^0-9a-zA-Z .'Ã]"","""")"),"Robert De Niro")</f>
        <v>Robert De Niro</v>
      </c>
      <c r="I1125" s="32" t="s">
        <v>4091</v>
      </c>
      <c r="J1125" s="30">
        <v>728685.0</v>
      </c>
      <c r="K1125" s="30" t="s">
        <v>4092</v>
      </c>
      <c r="L1125" s="30">
        <v>989.0</v>
      </c>
      <c r="M1125" s="30" t="s">
        <v>24</v>
      </c>
      <c r="N1125" s="30" t="s">
        <v>25</v>
      </c>
      <c r="O1125" s="31">
        <v>2.5E7</v>
      </c>
      <c r="P1125" s="10">
        <f t="shared" si="2"/>
        <v>21836394</v>
      </c>
      <c r="Q1125" s="12">
        <f t="shared" si="3"/>
        <v>0</v>
      </c>
      <c r="R1125" s="30">
        <v>1990.0</v>
      </c>
      <c r="S1125" s="30">
        <v>8.7</v>
      </c>
    </row>
    <row r="1126" ht="15.75" customHeight="1">
      <c r="A1126" s="25" t="s">
        <v>4093</v>
      </c>
      <c r="B1126" s="8" t="str">
        <f>IFERROR(__xludf.DUMMYFUNCTION("REGEXREPLACE(A1126, ""[^0-9a-zA-Z .'Ã]"","""")"),"Marcos Siega")</f>
        <v>Marcos Siega</v>
      </c>
      <c r="C1126" s="26">
        <v>31.0</v>
      </c>
      <c r="D1126" s="27">
        <v>5654777.0</v>
      </c>
      <c r="E1126" s="26" t="s">
        <v>2177</v>
      </c>
      <c r="F1126" s="9">
        <f t="shared" si="1"/>
        <v>5</v>
      </c>
      <c r="G1126" s="26" t="s">
        <v>90</v>
      </c>
      <c r="H1126" s="11" t="str">
        <f>IFERROR(__xludf.DUMMYFUNCTION("REGEXREPLACE(G1126, ""[^0-9a-zA-Z .'Ã]"","""")"),"Cheech Marin")</f>
        <v>Cheech Marin</v>
      </c>
      <c r="I1126" s="28" t="s">
        <v>4094</v>
      </c>
      <c r="J1126" s="26">
        <v>4875.0</v>
      </c>
      <c r="K1126" s="26" t="s">
        <v>4095</v>
      </c>
      <c r="L1126" s="26">
        <v>26.0</v>
      </c>
      <c r="M1126" s="26" t="s">
        <v>24</v>
      </c>
      <c r="N1126" s="26" t="s">
        <v>25</v>
      </c>
      <c r="O1126" s="27">
        <v>2.5E7</v>
      </c>
      <c r="P1126" s="10">
        <f t="shared" si="2"/>
        <v>0</v>
      </c>
      <c r="Q1126" s="12">
        <f t="shared" si="3"/>
        <v>19345223</v>
      </c>
      <c r="R1126" s="26">
        <v>2005.0</v>
      </c>
      <c r="S1126" s="26">
        <v>4.1</v>
      </c>
    </row>
    <row r="1127" ht="15.75" customHeight="1">
      <c r="A1127" s="21" t="s">
        <v>4096</v>
      </c>
      <c r="B1127" s="8" t="str">
        <f>IFERROR(__xludf.DUMMYFUNCTION("REGEXREPLACE(A1127, ""[^0-9a-zA-Z -.'Ã]"","""")"),"Emma-Kate Croghan")</f>
        <v>Emma-Kate Croghan</v>
      </c>
      <c r="C1127" s="22">
        <v>21.0</v>
      </c>
      <c r="D1127" s="23">
        <v>212285.0</v>
      </c>
      <c r="E1127" s="22" t="s">
        <v>89</v>
      </c>
      <c r="F1127" s="9">
        <f t="shared" si="1"/>
        <v>2</v>
      </c>
      <c r="G1127" s="22" t="s">
        <v>4097</v>
      </c>
      <c r="H1127" s="11" t="str">
        <f>IFERROR(__xludf.DUMMYFUNCTION("REGEXREPLACE(G1127, ""[^0-9a-zA-Z .'Ã]"","""")"),"Radha Mitchell")</f>
        <v>Radha Mitchell</v>
      </c>
      <c r="I1127" s="24" t="s">
        <v>4098</v>
      </c>
      <c r="J1127" s="22">
        <v>1727.0</v>
      </c>
      <c r="K1127" s="22" t="s">
        <v>4099</v>
      </c>
      <c r="L1127" s="22">
        <v>21.0</v>
      </c>
      <c r="M1127" s="22" t="s">
        <v>24</v>
      </c>
      <c r="N1127" s="22" t="s">
        <v>146</v>
      </c>
      <c r="O1127" s="23">
        <v>250000.0</v>
      </c>
      <c r="P1127" s="10">
        <f t="shared" si="2"/>
        <v>0</v>
      </c>
      <c r="Q1127" s="12">
        <f t="shared" si="3"/>
        <v>37715</v>
      </c>
      <c r="R1127" s="22">
        <v>1996.0</v>
      </c>
      <c r="S1127" s="22">
        <v>6.4</v>
      </c>
    </row>
    <row r="1128" ht="15.75" customHeight="1">
      <c r="A1128" s="7" t="s">
        <v>4100</v>
      </c>
      <c r="B1128" s="8" t="str">
        <f>IFERROR(__xludf.DUMMYFUNCTION("REGEXREPLACE(A1128, ""[^0-9a-zA-Z .'Ã]"","""")"),"John Polson")</f>
        <v>John Polson</v>
      </c>
      <c r="C1128" s="9">
        <v>180.0</v>
      </c>
      <c r="D1128" s="10">
        <v>5.1097664E7</v>
      </c>
      <c r="E1128" s="9" t="s">
        <v>2384</v>
      </c>
      <c r="F1128" s="9">
        <f t="shared" si="1"/>
        <v>4</v>
      </c>
      <c r="G1128" s="9" t="s">
        <v>883</v>
      </c>
      <c r="H1128" s="11" t="str">
        <f>IFERROR(__xludf.DUMMYFUNCTION("REGEXREPLACE(G1128, ""[^0-9a-zA-Z .'Ã]"","""")"),"Robert De Niro")</f>
        <v>Robert De Niro</v>
      </c>
      <c r="I1128" s="11" t="s">
        <v>4101</v>
      </c>
      <c r="J1128" s="9">
        <v>70205.0</v>
      </c>
      <c r="K1128" s="9" t="s">
        <v>4102</v>
      </c>
      <c r="L1128" s="9">
        <v>450.0</v>
      </c>
      <c r="M1128" s="9" t="s">
        <v>24</v>
      </c>
      <c r="N1128" s="9" t="s">
        <v>25</v>
      </c>
      <c r="O1128" s="10">
        <v>3.0E7</v>
      </c>
      <c r="P1128" s="10">
        <f t="shared" si="2"/>
        <v>21097664</v>
      </c>
      <c r="Q1128" s="12">
        <f t="shared" si="3"/>
        <v>0</v>
      </c>
      <c r="R1128" s="9">
        <v>2005.0</v>
      </c>
      <c r="S1128" s="9">
        <v>5.9</v>
      </c>
    </row>
    <row r="1129" ht="15.75" customHeight="1">
      <c r="A1129" s="17" t="s">
        <v>1047</v>
      </c>
      <c r="B1129" s="8" t="str">
        <f>IFERROR(__xludf.DUMMYFUNCTION("REGEXREPLACE(A1129, ""[^0-9a-zA-Z .'Ã]"","""")"),"Tyler Perry")</f>
        <v>Tyler Perry</v>
      </c>
      <c r="C1129" s="18">
        <v>31.0</v>
      </c>
      <c r="D1129" s="19">
        <v>6.5623128E7</v>
      </c>
      <c r="E1129" s="18" t="s">
        <v>169</v>
      </c>
      <c r="F1129" s="9">
        <f t="shared" si="1"/>
        <v>3</v>
      </c>
      <c r="G1129" s="18" t="s">
        <v>1646</v>
      </c>
      <c r="H1129" s="11" t="str">
        <f>IFERROR(__xludf.DUMMYFUNCTION("REGEXREPLACE(G1129, ""[^0-9a-zA-Z .'Ã]"","""")"),"John Amos")</f>
        <v>John Amos</v>
      </c>
      <c r="I1129" s="20" t="s">
        <v>4103</v>
      </c>
      <c r="J1129" s="18">
        <v>7354.0</v>
      </c>
      <c r="K1129" s="18" t="s">
        <v>4104</v>
      </c>
      <c r="L1129" s="18">
        <v>50.0</v>
      </c>
      <c r="M1129" s="18" t="s">
        <v>24</v>
      </c>
      <c r="N1129" s="18" t="s">
        <v>25</v>
      </c>
      <c r="O1129" s="19">
        <v>2.0E7</v>
      </c>
      <c r="P1129" s="10">
        <f t="shared" si="2"/>
        <v>45623128</v>
      </c>
      <c r="Q1129" s="12">
        <f t="shared" si="3"/>
        <v>0</v>
      </c>
      <c r="R1129" s="18">
        <v>2012.0</v>
      </c>
      <c r="S1129" s="18">
        <v>4.8</v>
      </c>
    </row>
    <row r="1130" ht="15.75" customHeight="1">
      <c r="A1130" s="7" t="s">
        <v>4105</v>
      </c>
      <c r="B1130" s="8" t="str">
        <f>IFERROR(__xludf.DUMMYFUNCTION("REGEXREPLACE(A1130, ""[^0-9a-zA-Z .'Ã]"","""")"),"Dominic Sena")</f>
        <v>Dominic Sena</v>
      </c>
      <c r="C1130" s="9">
        <v>166.0</v>
      </c>
      <c r="D1130" s="10">
        <v>6.9772969E7</v>
      </c>
      <c r="E1130" s="9" t="s">
        <v>152</v>
      </c>
      <c r="F1130" s="9">
        <f t="shared" si="1"/>
        <v>3</v>
      </c>
      <c r="G1130" s="9" t="s">
        <v>974</v>
      </c>
      <c r="H1130" s="11" t="str">
        <f>IFERROR(__xludf.DUMMYFUNCTION("REGEXREPLACE(G1130, ""[^0-9a-zA-Z .'Ã]"","""")"),"Hugh Jackman")</f>
        <v>Hugh Jackman</v>
      </c>
      <c r="I1130" s="11" t="s">
        <v>4106</v>
      </c>
      <c r="J1130" s="9">
        <v>155532.0</v>
      </c>
      <c r="K1130" s="9" t="s">
        <v>4107</v>
      </c>
      <c r="L1130" s="9">
        <v>543.0</v>
      </c>
      <c r="M1130" s="9" t="s">
        <v>24</v>
      </c>
      <c r="N1130" s="9" t="s">
        <v>25</v>
      </c>
      <c r="O1130" s="10">
        <v>8.0E7</v>
      </c>
      <c r="P1130" s="10">
        <f t="shared" si="2"/>
        <v>0</v>
      </c>
      <c r="Q1130" s="12">
        <f t="shared" si="3"/>
        <v>10227031</v>
      </c>
      <c r="R1130" s="9">
        <v>2001.0</v>
      </c>
      <c r="S1130" s="9">
        <v>6.5</v>
      </c>
    </row>
    <row r="1131" ht="15.75" customHeight="1">
      <c r="A1131" s="21" t="s">
        <v>102</v>
      </c>
      <c r="B1131" s="8" t="str">
        <f>IFERROR(__xludf.DUMMYFUNCTION("REGEXREPLACE(A1131, ""[^0-9a-zA-Z .'Ã]"","""")"),"Michael Polish")</f>
        <v>Michael Polish</v>
      </c>
      <c r="C1131" s="22">
        <v>12.0</v>
      </c>
      <c r="D1131" s="23">
        <v>4700361.0</v>
      </c>
      <c r="E1131" s="22" t="s">
        <v>103</v>
      </c>
      <c r="F1131" s="9">
        <f t="shared" si="1"/>
        <v>1</v>
      </c>
      <c r="G1131" s="22" t="s">
        <v>2523</v>
      </c>
      <c r="H1131" s="11" t="str">
        <f>IFERROR(__xludf.DUMMYFUNCTION("REGEXREPLACE(G1131, ""[^0-9a-zA-Z .'Ã]"","""")"),"Hayden Christensen")</f>
        <v>Hayden Christensen</v>
      </c>
      <c r="I1131" s="24" t="s">
        <v>4108</v>
      </c>
      <c r="J1131" s="22">
        <v>2047.0</v>
      </c>
      <c r="K1131" s="22" t="s">
        <v>4109</v>
      </c>
      <c r="L1131" s="22">
        <v>29.0</v>
      </c>
      <c r="M1131" s="22" t="s">
        <v>24</v>
      </c>
      <c r="N1131" s="22" t="s">
        <v>25</v>
      </c>
      <c r="O1131" s="23">
        <v>5000000.0</v>
      </c>
      <c r="P1131" s="10">
        <f t="shared" si="2"/>
        <v>0</v>
      </c>
      <c r="Q1131" s="12">
        <f t="shared" si="3"/>
        <v>299639</v>
      </c>
      <c r="R1131" s="22">
        <v>2015.0</v>
      </c>
      <c r="S1131" s="22">
        <v>4.6</v>
      </c>
    </row>
    <row r="1132" ht="15.75" customHeight="1">
      <c r="A1132" s="29" t="s">
        <v>179</v>
      </c>
      <c r="B1132" s="8" t="str">
        <f>IFERROR(__xludf.DUMMYFUNCTION("REGEXREPLACE(A1132, ""[^0-9a-zA-Z .'Ã]"","""")"),"Tim Burton")</f>
        <v>Tim Burton</v>
      </c>
      <c r="C1132" s="30">
        <v>526.0</v>
      </c>
      <c r="D1132" s="31">
        <v>7.9711678E7</v>
      </c>
      <c r="E1132" s="30" t="s">
        <v>1099</v>
      </c>
      <c r="F1132" s="9">
        <f t="shared" si="1"/>
        <v>3</v>
      </c>
      <c r="G1132" s="30" t="s">
        <v>85</v>
      </c>
      <c r="H1132" s="11" t="str">
        <f>IFERROR(__xludf.DUMMYFUNCTION("REGEXREPLACE(G1132, ""[^0-9a-zA-Z .'Ã]"","""")"),"Johnny Depp")</f>
        <v>Johnny Depp</v>
      </c>
      <c r="I1132" s="32" t="s">
        <v>4110</v>
      </c>
      <c r="J1132" s="30">
        <v>199039.0</v>
      </c>
      <c r="K1132" s="30" t="s">
        <v>4111</v>
      </c>
      <c r="L1132" s="30">
        <v>479.0</v>
      </c>
      <c r="M1132" s="30" t="s">
        <v>24</v>
      </c>
      <c r="N1132" s="30" t="s">
        <v>25</v>
      </c>
      <c r="O1132" s="31">
        <v>1.0E8</v>
      </c>
      <c r="P1132" s="10">
        <f t="shared" si="2"/>
        <v>0</v>
      </c>
      <c r="Q1132" s="12">
        <f t="shared" si="3"/>
        <v>20288322</v>
      </c>
      <c r="R1132" s="30">
        <v>2012.0</v>
      </c>
      <c r="S1132" s="30">
        <v>6.2</v>
      </c>
    </row>
    <row r="1133" ht="15.75" customHeight="1">
      <c r="A1133" s="17" t="s">
        <v>4112</v>
      </c>
      <c r="B1133" s="8" t="str">
        <f>IFERROR(__xludf.DUMMYFUNCTION("REGEXREPLACE(A1133, ""[^0-9a-zA-Z .'Ã]"","""")"),"Gary Shore")</f>
        <v>Gary Shore</v>
      </c>
      <c r="C1133" s="18">
        <v>261.0</v>
      </c>
      <c r="D1133" s="19">
        <v>5.594283E7</v>
      </c>
      <c r="E1133" s="18" t="s">
        <v>4113</v>
      </c>
      <c r="F1133" s="9">
        <f t="shared" si="1"/>
        <v>5</v>
      </c>
      <c r="G1133" s="18" t="s">
        <v>2478</v>
      </c>
      <c r="H1133" s="11" t="str">
        <f>IFERROR(__xludf.DUMMYFUNCTION("REGEXREPLACE(G1133, ""[^0-9a-zA-Z .'Ã]"","""")"),"Dominic Cooper")</f>
        <v>Dominic Cooper</v>
      </c>
      <c r="I1133" s="20" t="s">
        <v>4114</v>
      </c>
      <c r="J1133" s="18">
        <v>138582.0</v>
      </c>
      <c r="K1133" s="18" t="s">
        <v>4115</v>
      </c>
      <c r="L1133" s="18">
        <v>423.0</v>
      </c>
      <c r="M1133" s="18" t="s">
        <v>24</v>
      </c>
      <c r="N1133" s="18" t="s">
        <v>25</v>
      </c>
      <c r="O1133" s="19">
        <v>7.0E7</v>
      </c>
      <c r="P1133" s="10">
        <f t="shared" si="2"/>
        <v>0</v>
      </c>
      <c r="Q1133" s="12">
        <f t="shared" si="3"/>
        <v>14057170</v>
      </c>
      <c r="R1133" s="18">
        <v>2014.0</v>
      </c>
      <c r="S1133" s="18">
        <v>6.3</v>
      </c>
    </row>
    <row r="1134" ht="15.75" customHeight="1">
      <c r="A1134" s="21" t="s">
        <v>3114</v>
      </c>
      <c r="B1134" s="8" t="str">
        <f>IFERROR(__xludf.DUMMYFUNCTION("REGEXREPLACE(A1134, ""[^0-9a-zA-Z .'Ã]"","""")"),"Andrew Dominik")</f>
        <v>Andrew Dominik</v>
      </c>
      <c r="C1134" s="22">
        <v>273.0</v>
      </c>
      <c r="D1134" s="23">
        <v>3904982.0</v>
      </c>
      <c r="E1134" s="22" t="s">
        <v>4116</v>
      </c>
      <c r="F1134" s="9">
        <f t="shared" si="1"/>
        <v>5</v>
      </c>
      <c r="G1134" s="22" t="s">
        <v>1426</v>
      </c>
      <c r="H1134" s="11" t="str">
        <f>IFERROR(__xludf.DUMMYFUNCTION("REGEXREPLACE(G1134, ""[^0-9a-zA-Z .'Ã]"","""")"),"Brad Pitt")</f>
        <v>Brad Pitt</v>
      </c>
      <c r="I1134" s="24" t="s">
        <v>4117</v>
      </c>
      <c r="J1134" s="22">
        <v>136104.0</v>
      </c>
      <c r="K1134" s="22" t="s">
        <v>4118</v>
      </c>
      <c r="L1134" s="22">
        <v>415.0</v>
      </c>
      <c r="M1134" s="22" t="s">
        <v>24</v>
      </c>
      <c r="N1134" s="22" t="s">
        <v>25</v>
      </c>
      <c r="O1134" s="23">
        <v>3.0E7</v>
      </c>
      <c r="P1134" s="10">
        <f t="shared" si="2"/>
        <v>0</v>
      </c>
      <c r="Q1134" s="12">
        <f t="shared" si="3"/>
        <v>26095018</v>
      </c>
      <c r="R1134" s="22">
        <v>2007.0</v>
      </c>
      <c r="S1134" s="22">
        <v>7.5</v>
      </c>
    </row>
    <row r="1135" ht="15.75" customHeight="1">
      <c r="A1135" s="7" t="s">
        <v>4119</v>
      </c>
      <c r="B1135" s="8" t="str">
        <f>IFERROR(__xludf.DUMMYFUNCTION("REGEXREPLACE(A1135, ""[^0-9a-zA-Z .'Ã]"","""")"),"Lars von Trier")</f>
        <v>Lars von Trier</v>
      </c>
      <c r="C1135" s="9">
        <v>177.0</v>
      </c>
      <c r="D1135" s="10">
        <v>4157491.0</v>
      </c>
      <c r="E1135" s="9" t="s">
        <v>4120</v>
      </c>
      <c r="F1135" s="9">
        <f t="shared" si="1"/>
        <v>3</v>
      </c>
      <c r="G1135" s="9" t="s">
        <v>571</v>
      </c>
      <c r="H1135" s="11" t="str">
        <f>IFERROR(__xludf.DUMMYFUNCTION("REGEXREPLACE(G1135, ""[^0-9a-zA-Z .'Ã]"","""")"),"Catherine Deneuve")</f>
        <v>Catherine Deneuve</v>
      </c>
      <c r="I1135" s="11" t="s">
        <v>4121</v>
      </c>
      <c r="J1135" s="9">
        <v>79330.0</v>
      </c>
      <c r="K1135" s="9" t="s">
        <v>4122</v>
      </c>
      <c r="L1135" s="9">
        <v>690.0</v>
      </c>
      <c r="M1135" s="9" t="s">
        <v>24</v>
      </c>
      <c r="N1135" s="9" t="s">
        <v>4016</v>
      </c>
      <c r="O1135" s="10">
        <v>1.28E7</v>
      </c>
      <c r="P1135" s="10">
        <f t="shared" si="2"/>
        <v>0</v>
      </c>
      <c r="Q1135" s="12">
        <f t="shared" si="3"/>
        <v>8642509</v>
      </c>
      <c r="R1135" s="9">
        <v>2000.0</v>
      </c>
      <c r="S1135" s="9">
        <v>8.0</v>
      </c>
    </row>
    <row r="1136" ht="15.75" customHeight="1">
      <c r="A1136" s="25" t="s">
        <v>4123</v>
      </c>
      <c r="B1136" s="8" t="str">
        <f>IFERROR(__xludf.DUMMYFUNCTION("REGEXREPLACE(A1136, ""[^0-9a-zA-Z .'Ã]"","""")"),"Robin Budd")</f>
        <v>Robin Budd</v>
      </c>
      <c r="C1136" s="26">
        <v>80.0</v>
      </c>
      <c r="D1136" s="27">
        <v>4.8423368E7</v>
      </c>
      <c r="E1136" s="26" t="s">
        <v>865</v>
      </c>
      <c r="F1136" s="9">
        <f t="shared" si="1"/>
        <v>4</v>
      </c>
      <c r="G1136" s="26" t="s">
        <v>3192</v>
      </c>
      <c r="H1136" s="11" t="str">
        <f>IFERROR(__xludf.DUMMYFUNCTION("REGEXREPLACE(G1136, ""[^0-9a-zA-Z .'Ã]"","""")"),"Roger Rees")</f>
        <v>Roger Rees</v>
      </c>
      <c r="I1136" s="28" t="s">
        <v>4124</v>
      </c>
      <c r="J1136" s="26">
        <v>13324.0</v>
      </c>
      <c r="K1136" s="26" t="s">
        <v>4125</v>
      </c>
      <c r="L1136" s="26">
        <v>79.0</v>
      </c>
      <c r="M1136" s="26" t="s">
        <v>24</v>
      </c>
      <c r="N1136" s="26" t="s">
        <v>25</v>
      </c>
      <c r="O1136" s="27">
        <v>2.0E7</v>
      </c>
      <c r="P1136" s="10">
        <f t="shared" si="2"/>
        <v>28423368</v>
      </c>
      <c r="Q1136" s="12">
        <f t="shared" si="3"/>
        <v>0</v>
      </c>
      <c r="R1136" s="26">
        <v>2002.0</v>
      </c>
      <c r="S1136" s="26">
        <v>5.8</v>
      </c>
    </row>
    <row r="1137" ht="15.75" customHeight="1">
      <c r="A1137" s="21" t="s">
        <v>4126</v>
      </c>
      <c r="B1137" s="8" t="str">
        <f>IFERROR(__xludf.DUMMYFUNCTION("REGEXREPLACE(A1137, ""[^0-9a-zA-Z .'Ã]"","""")"),"Daniel Espinosa")</f>
        <v>Daniel Espinosa</v>
      </c>
      <c r="C1137" s="22">
        <v>298.0</v>
      </c>
      <c r="D1137" s="23">
        <v>1.26149655E8</v>
      </c>
      <c r="E1137" s="22" t="s">
        <v>1177</v>
      </c>
      <c r="F1137" s="9">
        <f t="shared" si="1"/>
        <v>4</v>
      </c>
      <c r="G1137" s="22" t="s">
        <v>70</v>
      </c>
      <c r="H1137" s="11" t="str">
        <f>IFERROR(__xludf.DUMMYFUNCTION("REGEXREPLACE(G1137, ""[^0-9a-zA-Z .'Ã]"","""")"),"Denzel Washington")</f>
        <v>Denzel Washington</v>
      </c>
      <c r="I1137" s="24" t="s">
        <v>4127</v>
      </c>
      <c r="J1137" s="22">
        <v>166693.0</v>
      </c>
      <c r="K1137" s="22" t="s">
        <v>4128</v>
      </c>
      <c r="L1137" s="22">
        <v>276.0</v>
      </c>
      <c r="M1137" s="22" t="s">
        <v>24</v>
      </c>
      <c r="N1137" s="22" t="s">
        <v>25</v>
      </c>
      <c r="O1137" s="23">
        <v>8.5E7</v>
      </c>
      <c r="P1137" s="10">
        <f t="shared" si="2"/>
        <v>41149655</v>
      </c>
      <c r="Q1137" s="12">
        <f t="shared" si="3"/>
        <v>0</v>
      </c>
      <c r="R1137" s="22">
        <v>2012.0</v>
      </c>
      <c r="S1137" s="22">
        <v>6.8</v>
      </c>
    </row>
    <row r="1138" ht="15.75" customHeight="1">
      <c r="A1138" s="7" t="s">
        <v>3218</v>
      </c>
      <c r="B1138" s="8" t="str">
        <f>IFERROR(__xludf.DUMMYFUNCTION("REGEXREPLACE(A1138, ""[^0-9a-zA-Z .'Ã]"","""")"),"John Frankenheimer")</f>
        <v>John Frankenheimer</v>
      </c>
      <c r="C1138" s="9">
        <v>149.0</v>
      </c>
      <c r="D1138" s="10">
        <v>4.1609593E7</v>
      </c>
      <c r="E1138" s="9" t="s">
        <v>711</v>
      </c>
      <c r="F1138" s="9">
        <f t="shared" si="1"/>
        <v>4</v>
      </c>
      <c r="G1138" s="9" t="s">
        <v>883</v>
      </c>
      <c r="H1138" s="11" t="str">
        <f>IFERROR(__xludf.DUMMYFUNCTION("REGEXREPLACE(G1138, ""[^0-9a-zA-Z .'Ã]"","""")"),"Robert De Niro")</f>
        <v>Robert De Niro</v>
      </c>
      <c r="I1138" s="11" t="s">
        <v>4129</v>
      </c>
      <c r="J1138" s="9">
        <v>145422.0</v>
      </c>
      <c r="K1138" s="9" t="s">
        <v>4130</v>
      </c>
      <c r="L1138" s="9">
        <v>572.0</v>
      </c>
      <c r="M1138" s="9" t="s">
        <v>24</v>
      </c>
      <c r="N1138" s="9" t="s">
        <v>130</v>
      </c>
      <c r="O1138" s="10">
        <v>5.5E7</v>
      </c>
      <c r="P1138" s="10">
        <f t="shared" si="2"/>
        <v>0</v>
      </c>
      <c r="Q1138" s="12">
        <f t="shared" si="3"/>
        <v>13390407</v>
      </c>
      <c r="R1138" s="9">
        <v>1998.0</v>
      </c>
      <c r="S1138" s="9">
        <v>7.3</v>
      </c>
    </row>
    <row r="1139" ht="15.75" customHeight="1">
      <c r="A1139" s="29" t="s">
        <v>3820</v>
      </c>
      <c r="B1139" s="8" t="str">
        <f>IFERROR(__xludf.DUMMYFUNCTION("REGEXREPLACE(A1139, ""[^0-9a-zA-Z .'Ã]"","""")"),"Baz Luhrmann")</f>
        <v>Baz Luhrmann</v>
      </c>
      <c r="C1139" s="30">
        <v>106.0</v>
      </c>
      <c r="D1139" s="31">
        <v>4.6338728E7</v>
      </c>
      <c r="E1139" s="30" t="s">
        <v>232</v>
      </c>
      <c r="F1139" s="9">
        <f t="shared" si="1"/>
        <v>2</v>
      </c>
      <c r="G1139" s="30" t="s">
        <v>1351</v>
      </c>
      <c r="H1139" s="11" t="str">
        <f>IFERROR(__xludf.DUMMYFUNCTION("REGEXREPLACE(G1139, ""[^0-9a-zA-Z .'Ã]"","""")"),"Leonardo DiCaprio")</f>
        <v>Leonardo DiCaprio</v>
      </c>
      <c r="I1139" s="32" t="s">
        <v>4131</v>
      </c>
      <c r="J1139" s="30">
        <v>167750.0</v>
      </c>
      <c r="K1139" s="30" t="s">
        <v>4132</v>
      </c>
      <c r="L1139" s="30">
        <v>506.0</v>
      </c>
      <c r="M1139" s="30" t="s">
        <v>24</v>
      </c>
      <c r="N1139" s="30" t="s">
        <v>25</v>
      </c>
      <c r="O1139" s="31">
        <v>1.45E7</v>
      </c>
      <c r="P1139" s="10">
        <f t="shared" si="2"/>
        <v>31838728</v>
      </c>
      <c r="Q1139" s="12">
        <f t="shared" si="3"/>
        <v>0</v>
      </c>
      <c r="R1139" s="30">
        <v>1996.0</v>
      </c>
      <c r="S1139" s="30">
        <v>6.8</v>
      </c>
    </row>
    <row r="1140" ht="15.75" customHeight="1">
      <c r="A1140" s="17" t="s">
        <v>4133</v>
      </c>
      <c r="B1140" s="8" t="str">
        <f>IFERROR(__xludf.DUMMYFUNCTION("REGEXREPLACE(A1140, ""[^0-9a-zA-Z .'Ã]"","""")"),"Sara Sugarman")</f>
        <v>Sara Sugarman</v>
      </c>
      <c r="C1140" s="18">
        <v>74.0</v>
      </c>
      <c r="D1140" s="19">
        <v>2.9302097E7</v>
      </c>
      <c r="E1140" s="18" t="s">
        <v>4134</v>
      </c>
      <c r="F1140" s="9">
        <f t="shared" si="1"/>
        <v>4</v>
      </c>
      <c r="G1140" s="18" t="s">
        <v>4135</v>
      </c>
      <c r="H1140" s="11" t="str">
        <f>IFERROR(__xludf.DUMMYFUNCTION("REGEXREPLACE(G1140, ""[^0-9a-zA-Z .'Ã]"","""")"),"Adam Garcia")</f>
        <v>Adam Garcia</v>
      </c>
      <c r="I1140" s="20" t="s">
        <v>4136</v>
      </c>
      <c r="J1140" s="18">
        <v>23408.0</v>
      </c>
      <c r="K1140" s="18" t="s">
        <v>4137</v>
      </c>
      <c r="L1140" s="18">
        <v>105.0</v>
      </c>
      <c r="M1140" s="18" t="s">
        <v>24</v>
      </c>
      <c r="N1140" s="18" t="s">
        <v>173</v>
      </c>
      <c r="O1140" s="19">
        <v>1.5E7</v>
      </c>
      <c r="P1140" s="10">
        <f t="shared" si="2"/>
        <v>14302097</v>
      </c>
      <c r="Q1140" s="12">
        <f t="shared" si="3"/>
        <v>0</v>
      </c>
      <c r="R1140" s="18">
        <v>2004.0</v>
      </c>
      <c r="S1140" s="18">
        <v>4.6</v>
      </c>
    </row>
    <row r="1141" ht="15.75" customHeight="1">
      <c r="A1141" s="29" t="s">
        <v>4138</v>
      </c>
      <c r="B1141" s="8" t="str">
        <f>IFERROR(__xludf.DUMMYFUNCTION("REGEXREPLACE(A1141, ""[^0-9a-zA-Z .'Ã]"","""")"),"Michael Meredith")</f>
        <v>Michael Meredith</v>
      </c>
      <c r="C1141" s="30">
        <v>23.0</v>
      </c>
      <c r="D1141" s="31">
        <v>19348.0</v>
      </c>
      <c r="E1141" s="30" t="s">
        <v>454</v>
      </c>
      <c r="F1141" s="9">
        <f t="shared" si="1"/>
        <v>2</v>
      </c>
      <c r="G1141" s="30" t="s">
        <v>1400</v>
      </c>
      <c r="H1141" s="11" t="str">
        <f>IFERROR(__xludf.DUMMYFUNCTION("REGEXREPLACE(G1141, ""[^0-9a-zA-Z .'Ã]"","""")"),"Jeff Bridges")</f>
        <v>Jeff Bridges</v>
      </c>
      <c r="I1141" s="32" t="s">
        <v>4139</v>
      </c>
      <c r="J1141" s="30">
        <v>2941.0</v>
      </c>
      <c r="K1141" s="30" t="s">
        <v>4140</v>
      </c>
      <c r="L1141" s="30">
        <v>11.0</v>
      </c>
      <c r="M1141" s="30" t="s">
        <v>24</v>
      </c>
      <c r="N1141" s="30" t="s">
        <v>25</v>
      </c>
      <c r="O1141" s="31">
        <v>1.0E7</v>
      </c>
      <c r="P1141" s="10">
        <f t="shared" si="2"/>
        <v>0</v>
      </c>
      <c r="Q1141" s="12">
        <f t="shared" si="3"/>
        <v>9980652</v>
      </c>
      <c r="R1141" s="30">
        <v>2009.0</v>
      </c>
      <c r="S1141" s="30">
        <v>5.5</v>
      </c>
    </row>
    <row r="1142" ht="15.75" customHeight="1">
      <c r="A1142" s="7" t="s">
        <v>4141</v>
      </c>
      <c r="B1142" s="8" t="str">
        <f>IFERROR(__xludf.DUMMYFUNCTION("REGEXREPLACE(A1142, ""[^0-9a-zA-Z .'Ã]"","""")"),"Darren Stein")</f>
        <v>Darren Stein</v>
      </c>
      <c r="C1142" s="9">
        <v>49.0</v>
      </c>
      <c r="D1142" s="10">
        <v>3071947.0</v>
      </c>
      <c r="E1142" s="9" t="s">
        <v>589</v>
      </c>
      <c r="F1142" s="9">
        <f t="shared" si="1"/>
        <v>3</v>
      </c>
      <c r="G1142" s="9" t="s">
        <v>3591</v>
      </c>
      <c r="H1142" s="11" t="str">
        <f>IFERROR(__xludf.DUMMYFUNCTION("REGEXREPLACE(G1142, ""[^0-9a-zA-Z .'Ã]"","""")"),"Julie Benz")</f>
        <v>Julie Benz</v>
      </c>
      <c r="I1142" s="11" t="s">
        <v>4142</v>
      </c>
      <c r="J1142" s="9">
        <v>18711.0</v>
      </c>
      <c r="K1142" s="9" t="s">
        <v>4143</v>
      </c>
      <c r="L1142" s="9">
        <v>183.0</v>
      </c>
      <c r="M1142" s="9" t="s">
        <v>24</v>
      </c>
      <c r="N1142" s="9" t="s">
        <v>25</v>
      </c>
      <c r="O1142" s="10">
        <v>3500000.0</v>
      </c>
      <c r="P1142" s="10">
        <f t="shared" si="2"/>
        <v>0</v>
      </c>
      <c r="Q1142" s="12">
        <f t="shared" si="3"/>
        <v>428053</v>
      </c>
      <c r="R1142" s="9">
        <v>1999.0</v>
      </c>
      <c r="S1142" s="9">
        <v>5.4</v>
      </c>
    </row>
    <row r="1143" ht="15.75" customHeight="1">
      <c r="A1143" s="25" t="s">
        <v>4001</v>
      </c>
      <c r="B1143" s="8" t="str">
        <f>IFERROR(__xludf.DUMMYFUNCTION("REGEXREPLACE(A1143, ""[^0-9a-zA-Z .'Ã]"","""")"),"Garry Marshall")</f>
        <v>Garry Marshall</v>
      </c>
      <c r="C1143" s="26">
        <v>77.0</v>
      </c>
      <c r="D1143" s="27">
        <v>9.5149435E7</v>
      </c>
      <c r="E1143" s="26" t="s">
        <v>289</v>
      </c>
      <c r="F1143" s="9">
        <f t="shared" si="1"/>
        <v>3</v>
      </c>
      <c r="G1143" s="26" t="s">
        <v>419</v>
      </c>
      <c r="H1143" s="11" t="str">
        <f>IFERROR(__xludf.DUMMYFUNCTION("REGEXREPLACE(G1143, ""[^0-9a-zA-Z .'Ã]"","""")"),"Anne Hathaway")</f>
        <v>Anne Hathaway</v>
      </c>
      <c r="I1143" s="28" t="s">
        <v>4144</v>
      </c>
      <c r="J1143" s="26">
        <v>53687.0</v>
      </c>
      <c r="K1143" s="26" t="s">
        <v>4145</v>
      </c>
      <c r="L1143" s="26">
        <v>152.0</v>
      </c>
      <c r="M1143" s="26" t="s">
        <v>24</v>
      </c>
      <c r="N1143" s="26" t="s">
        <v>25</v>
      </c>
      <c r="O1143" s="27">
        <v>4.0E7</v>
      </c>
      <c r="P1143" s="10">
        <f t="shared" si="2"/>
        <v>55149435</v>
      </c>
      <c r="Q1143" s="12">
        <f t="shared" si="3"/>
        <v>0</v>
      </c>
      <c r="R1143" s="26">
        <v>2004.0</v>
      </c>
      <c r="S1143" s="26">
        <v>5.7</v>
      </c>
    </row>
    <row r="1144" ht="15.75" customHeight="1">
      <c r="A1144" s="21" t="s">
        <v>4146</v>
      </c>
      <c r="B1144" s="8" t="str">
        <f>IFERROR(__xludf.DUMMYFUNCTION("REGEXREPLACE(A1144, ""[^0-9a-zA-Z -.'Ã]"","""")"),"Aki KaurismÃki")</f>
        <v>Aki KaurismÃki</v>
      </c>
      <c r="C1144" s="22">
        <v>205.0</v>
      </c>
      <c r="D1144" s="23">
        <v>611709.0</v>
      </c>
      <c r="E1144" s="22" t="s">
        <v>454</v>
      </c>
      <c r="F1144" s="9">
        <f t="shared" si="1"/>
        <v>2</v>
      </c>
      <c r="G1144" s="22" t="s">
        <v>4147</v>
      </c>
      <c r="H1144" s="11" t="str">
        <f>IFERROR(__xludf.DUMMYFUNCTION("REGEXREPLACE(G1144, ""[^0-9a-zA-Z .'Ã]"","""")"),"JeanPierre LÃaud")</f>
        <v>JeanPierre LÃaud</v>
      </c>
      <c r="I1144" s="24" t="s">
        <v>4148</v>
      </c>
      <c r="J1144" s="22">
        <v>15267.0</v>
      </c>
      <c r="K1144" s="22" t="s">
        <v>4149</v>
      </c>
      <c r="L1144" s="22">
        <v>41.0</v>
      </c>
      <c r="M1144" s="22" t="s">
        <v>658</v>
      </c>
      <c r="N1144" s="22" t="s">
        <v>4150</v>
      </c>
      <c r="O1144" s="23">
        <v>3850000.0</v>
      </c>
      <c r="P1144" s="10">
        <f t="shared" si="2"/>
        <v>0</v>
      </c>
      <c r="Q1144" s="12">
        <f t="shared" si="3"/>
        <v>3238291</v>
      </c>
      <c r="R1144" s="22">
        <v>2011.0</v>
      </c>
      <c r="S1144" s="22">
        <v>7.2</v>
      </c>
    </row>
    <row r="1145" ht="15.75" customHeight="1">
      <c r="A1145" s="7" t="s">
        <v>4151</v>
      </c>
      <c r="B1145" s="8" t="str">
        <f>IFERROR(__xludf.DUMMYFUNCTION("REGEXREPLACE(A1145, ""[^0-9a-zA-Z .'Ã]"","""")"),"Frank Coraci")</f>
        <v>Frank Coraci</v>
      </c>
      <c r="C1145" s="9">
        <v>173.0</v>
      </c>
      <c r="D1145" s="10">
        <v>1.37340146E8</v>
      </c>
      <c r="E1145" s="9" t="s">
        <v>59</v>
      </c>
      <c r="F1145" s="9">
        <f t="shared" si="1"/>
        <v>4</v>
      </c>
      <c r="G1145" s="9" t="s">
        <v>616</v>
      </c>
      <c r="H1145" s="11" t="str">
        <f>IFERROR(__xludf.DUMMYFUNCTION("REGEXREPLACE(G1145, ""[^0-9a-zA-Z .'Ã]"","""")"),"Adam Sandler")</f>
        <v>Adam Sandler</v>
      </c>
      <c r="I1145" s="11" t="s">
        <v>4152</v>
      </c>
      <c r="J1145" s="9">
        <v>246492.0</v>
      </c>
      <c r="K1145" s="9" t="s">
        <v>4153</v>
      </c>
      <c r="L1145" s="9">
        <v>685.0</v>
      </c>
      <c r="M1145" s="9" t="s">
        <v>24</v>
      </c>
      <c r="N1145" s="9" t="s">
        <v>25</v>
      </c>
      <c r="O1145" s="10">
        <v>7.0E7</v>
      </c>
      <c r="P1145" s="10">
        <f t="shared" si="2"/>
        <v>67340146</v>
      </c>
      <c r="Q1145" s="12">
        <f t="shared" si="3"/>
        <v>0</v>
      </c>
      <c r="R1145" s="9">
        <v>2006.0</v>
      </c>
      <c r="S1145" s="9">
        <v>6.4</v>
      </c>
    </row>
    <row r="1146" ht="15.75" customHeight="1">
      <c r="A1146" s="21" t="s">
        <v>4154</v>
      </c>
      <c r="B1146" s="8" t="str">
        <f>IFERROR(__xludf.DUMMYFUNCTION("REGEXREPLACE(A1146, ""[^0-9a-zA-Z .'Ã]"","""")"),"Joe Johnston")</f>
        <v>Joe Johnston</v>
      </c>
      <c r="C1146" s="22">
        <v>140.0</v>
      </c>
      <c r="D1146" s="23">
        <v>6.7286731E7</v>
      </c>
      <c r="E1146" s="22" t="s">
        <v>4155</v>
      </c>
      <c r="F1146" s="9">
        <f t="shared" si="1"/>
        <v>3</v>
      </c>
      <c r="G1146" s="22" t="s">
        <v>878</v>
      </c>
      <c r="H1146" s="11" t="str">
        <f>IFERROR(__xludf.DUMMYFUNCTION("REGEXREPLACE(G1146, ""[^0-9a-zA-Z .'Ã]"","""")"),"J.K. Simmons")</f>
        <v>J.K. Simmons</v>
      </c>
      <c r="I1146" s="24" t="s">
        <v>4156</v>
      </c>
      <c r="J1146" s="22">
        <v>67856.0</v>
      </c>
      <c r="K1146" s="22" t="s">
        <v>4157</v>
      </c>
      <c r="L1146" s="22">
        <v>345.0</v>
      </c>
      <c r="M1146" s="22" t="s">
        <v>24</v>
      </c>
      <c r="N1146" s="22" t="s">
        <v>25</v>
      </c>
      <c r="O1146" s="23">
        <v>1.0E8</v>
      </c>
      <c r="P1146" s="10">
        <f t="shared" si="2"/>
        <v>0</v>
      </c>
      <c r="Q1146" s="12">
        <f t="shared" si="3"/>
        <v>32713269</v>
      </c>
      <c r="R1146" s="22">
        <v>2004.0</v>
      </c>
      <c r="S1146" s="22">
        <v>6.7</v>
      </c>
    </row>
    <row r="1147" ht="15.75" customHeight="1">
      <c r="A1147" s="21" t="s">
        <v>4158</v>
      </c>
      <c r="B1147" s="8" t="str">
        <f>IFERROR(__xludf.DUMMYFUNCTION("REGEXREPLACE(A1147, ""[^0-9a-zA-Z .'Ã]"","""")"),"Alex Rivera")</f>
        <v>Alex Rivera</v>
      </c>
      <c r="C1147" s="22">
        <v>47.0</v>
      </c>
      <c r="D1147" s="23">
        <v>75727.0</v>
      </c>
      <c r="E1147" s="22" t="s">
        <v>4159</v>
      </c>
      <c r="F1147" s="9">
        <f t="shared" si="1"/>
        <v>4</v>
      </c>
      <c r="G1147" s="22" t="s">
        <v>4160</v>
      </c>
      <c r="H1147" s="11" t="str">
        <f>IFERROR(__xludf.DUMMYFUNCTION("REGEXREPLACE(G1147, ""[^0-9a-zA-Z .'Ã]"","""")"),"Leonor Varela")</f>
        <v>Leonor Varela</v>
      </c>
      <c r="I1147" s="24" t="s">
        <v>4161</v>
      </c>
      <c r="J1147" s="22">
        <v>5699.0</v>
      </c>
      <c r="K1147" s="22" t="s">
        <v>4162</v>
      </c>
      <c r="L1147" s="22">
        <v>40.0</v>
      </c>
      <c r="M1147" s="22" t="s">
        <v>1553</v>
      </c>
      <c r="N1147" s="22" t="s">
        <v>25</v>
      </c>
      <c r="O1147" s="23">
        <v>2500000.0</v>
      </c>
      <c r="P1147" s="10">
        <f t="shared" si="2"/>
        <v>0</v>
      </c>
      <c r="Q1147" s="12">
        <f t="shared" si="3"/>
        <v>2424273</v>
      </c>
      <c r="R1147" s="22">
        <v>2008.0</v>
      </c>
      <c r="S1147" s="22">
        <v>5.9</v>
      </c>
    </row>
    <row r="1148" ht="15.75" customHeight="1">
      <c r="A1148" s="7" t="s">
        <v>1767</v>
      </c>
      <c r="B1148" s="8" t="str">
        <f>IFERROR(__xludf.DUMMYFUNCTION("REGEXREPLACE(A1148, ""[^0-9a-zA-Z .'Ã]"","""")"),"Barry Levinson")</f>
        <v>Barry Levinson</v>
      </c>
      <c r="C1148" s="9">
        <v>108.0</v>
      </c>
      <c r="D1148" s="10">
        <v>3.6976367E7</v>
      </c>
      <c r="E1148" s="9" t="s">
        <v>1592</v>
      </c>
      <c r="F1148" s="9">
        <f t="shared" si="1"/>
        <v>4</v>
      </c>
      <c r="G1148" s="9" t="s">
        <v>684</v>
      </c>
      <c r="H1148" s="11" t="str">
        <f>IFERROR(__xludf.DUMMYFUNCTION("REGEXREPLACE(G1148, ""[^0-9a-zA-Z .'Ã]"","""")"),"Peter Coyote")</f>
        <v>Peter Coyote</v>
      </c>
      <c r="I1148" s="11" t="s">
        <v>4163</v>
      </c>
      <c r="J1148" s="9">
        <v>81611.0</v>
      </c>
      <c r="K1148" s="9" t="s">
        <v>4164</v>
      </c>
      <c r="L1148" s="9">
        <v>274.0</v>
      </c>
      <c r="M1148" s="9" t="s">
        <v>24</v>
      </c>
      <c r="N1148" s="9" t="s">
        <v>25</v>
      </c>
      <c r="O1148" s="10">
        <v>7.5E7</v>
      </c>
      <c r="P1148" s="10">
        <f t="shared" si="2"/>
        <v>0</v>
      </c>
      <c r="Q1148" s="12">
        <f t="shared" si="3"/>
        <v>38023633</v>
      </c>
      <c r="R1148" s="9">
        <v>1998.0</v>
      </c>
      <c r="S1148" s="9">
        <v>6.0</v>
      </c>
    </row>
    <row r="1149" ht="15.75" customHeight="1">
      <c r="A1149" s="7" t="s">
        <v>1915</v>
      </c>
      <c r="B1149" s="8" t="str">
        <f>IFERROR(__xludf.DUMMYFUNCTION("REGEXREPLACE(A1149, ""[^0-9a-zA-Z .'Ã]"","""")"),"Craig Mazin")</f>
        <v>Craig Mazin</v>
      </c>
      <c r="C1149" s="9">
        <v>29.0</v>
      </c>
      <c r="D1149" s="10">
        <v>12996.0</v>
      </c>
      <c r="E1149" s="9" t="s">
        <v>246</v>
      </c>
      <c r="F1149" s="9">
        <f t="shared" si="1"/>
        <v>4</v>
      </c>
      <c r="G1149" s="9" t="s">
        <v>642</v>
      </c>
      <c r="H1149" s="11" t="str">
        <f>IFERROR(__xludf.DUMMYFUNCTION("REGEXREPLACE(G1149, ""[^0-9a-zA-Z .'Ã]"","""")"),"Judy Greer")</f>
        <v>Judy Greer</v>
      </c>
      <c r="I1149" s="11" t="s">
        <v>4165</v>
      </c>
      <c r="J1149" s="9">
        <v>1938.0</v>
      </c>
      <c r="K1149" s="9" t="s">
        <v>4166</v>
      </c>
      <c r="L1149" s="9">
        <v>54.0</v>
      </c>
      <c r="M1149" s="9" t="s">
        <v>24</v>
      </c>
      <c r="N1149" s="9" t="s">
        <v>25</v>
      </c>
      <c r="O1149" s="10">
        <v>1000000.0</v>
      </c>
      <c r="P1149" s="10">
        <f t="shared" si="2"/>
        <v>0</v>
      </c>
      <c r="Q1149" s="12">
        <f t="shared" si="3"/>
        <v>987004</v>
      </c>
      <c r="R1149" s="9">
        <v>2000.0</v>
      </c>
      <c r="S1149" s="9">
        <v>6.0</v>
      </c>
    </row>
    <row r="1150" ht="15.75" customHeight="1">
      <c r="A1150" s="29" t="s">
        <v>4167</v>
      </c>
      <c r="B1150" s="8" t="str">
        <f>IFERROR(__xludf.DUMMYFUNCTION("REGEXREPLACE(A1150, ""[^0-9a-zA-Z .'Ã]"","""")"),"David Moreau")</f>
        <v>David Moreau</v>
      </c>
      <c r="C1150" s="30">
        <v>172.0</v>
      </c>
      <c r="D1150" s="31">
        <v>3.1397498E7</v>
      </c>
      <c r="E1150" s="30" t="s">
        <v>565</v>
      </c>
      <c r="F1150" s="9">
        <f t="shared" si="1"/>
        <v>2</v>
      </c>
      <c r="G1150" s="30" t="s">
        <v>2259</v>
      </c>
      <c r="H1150" s="11" t="str">
        <f>IFERROR(__xludf.DUMMYFUNCTION("REGEXREPLACE(G1150, ""[^0-9a-zA-Z .'Ã]"","""")"),"ChloÃ Grace Moretz")</f>
        <v>ChloÃ Grace Moretz</v>
      </c>
      <c r="I1150" s="32" t="s">
        <v>4168</v>
      </c>
      <c r="J1150" s="30">
        <v>44130.0</v>
      </c>
      <c r="K1150" s="30" t="s">
        <v>4169</v>
      </c>
      <c r="L1150" s="30">
        <v>156.0</v>
      </c>
      <c r="M1150" s="30" t="s">
        <v>24</v>
      </c>
      <c r="N1150" s="30" t="s">
        <v>25</v>
      </c>
      <c r="O1150" s="31">
        <v>1.2E7</v>
      </c>
      <c r="P1150" s="10">
        <f t="shared" si="2"/>
        <v>19397498</v>
      </c>
      <c r="Q1150" s="12">
        <f t="shared" si="3"/>
        <v>0</v>
      </c>
      <c r="R1150" s="30">
        <v>2008.0</v>
      </c>
      <c r="S1150" s="30">
        <v>5.4</v>
      </c>
    </row>
    <row r="1151" ht="15.75" customHeight="1">
      <c r="A1151" s="21" t="s">
        <v>4170</v>
      </c>
      <c r="B1151" s="8" t="str">
        <f>IFERROR(__xludf.DUMMYFUNCTION("REGEXREPLACE(A1151, ""[^0-9a-zA-Z .'Ã]"","""")"),"Mark Osborne")</f>
        <v>Mark Osborne</v>
      </c>
      <c r="C1151" s="22">
        <v>119.0</v>
      </c>
      <c r="D1151" s="23">
        <v>1339152.0</v>
      </c>
      <c r="E1151" s="22" t="s">
        <v>4171</v>
      </c>
      <c r="F1151" s="9">
        <f t="shared" si="1"/>
        <v>5</v>
      </c>
      <c r="G1151" s="22" t="s">
        <v>1400</v>
      </c>
      <c r="H1151" s="11" t="str">
        <f>IFERROR(__xludf.DUMMYFUNCTION("REGEXREPLACE(G1151, ""[^0-9a-zA-Z .'Ã]"","""")"),"Jeff Bridges")</f>
        <v>Jeff Bridges</v>
      </c>
      <c r="I1151" s="24" t="s">
        <v>4172</v>
      </c>
      <c r="J1151" s="22">
        <v>28276.0</v>
      </c>
      <c r="K1151" s="22" t="s">
        <v>4173</v>
      </c>
      <c r="L1151" s="22">
        <v>64.0</v>
      </c>
      <c r="M1151" s="22" t="s">
        <v>24</v>
      </c>
      <c r="N1151" s="22" t="s">
        <v>608</v>
      </c>
      <c r="O1151" s="23">
        <v>8.12E7</v>
      </c>
      <c r="P1151" s="10">
        <f t="shared" si="2"/>
        <v>0</v>
      </c>
      <c r="Q1151" s="12">
        <f t="shared" si="3"/>
        <v>79860848</v>
      </c>
      <c r="R1151" s="22">
        <v>2015.0</v>
      </c>
      <c r="S1151" s="22">
        <v>7.8</v>
      </c>
    </row>
    <row r="1152" ht="15.75" customHeight="1">
      <c r="A1152" s="13" t="s">
        <v>4174</v>
      </c>
      <c r="B1152" s="8" t="str">
        <f>IFERROR(__xludf.DUMMYFUNCTION("REGEXREPLACE(A1152, ""[^0-9a-zA-Z .'Ã]"","""")"),"Ted Demme")</f>
        <v>Ted Demme</v>
      </c>
      <c r="C1152" s="14">
        <v>147.0</v>
      </c>
      <c r="D1152" s="15">
        <v>5.293713E7</v>
      </c>
      <c r="E1152" s="14" t="s">
        <v>1774</v>
      </c>
      <c r="F1152" s="9">
        <f t="shared" si="1"/>
        <v>3</v>
      </c>
      <c r="G1152" s="14" t="s">
        <v>85</v>
      </c>
      <c r="H1152" s="11" t="str">
        <f>IFERROR(__xludf.DUMMYFUNCTION("REGEXREPLACE(G1152, ""[^0-9a-zA-Z .'Ã]"","""")"),"Johnny Depp")</f>
        <v>Johnny Depp</v>
      </c>
      <c r="I1152" s="16" t="s">
        <v>4175</v>
      </c>
      <c r="J1152" s="14">
        <v>198066.0</v>
      </c>
      <c r="K1152" s="14" t="s">
        <v>4176</v>
      </c>
      <c r="L1152" s="14">
        <v>426.0</v>
      </c>
      <c r="M1152" s="14" t="s">
        <v>24</v>
      </c>
      <c r="N1152" s="14" t="s">
        <v>25</v>
      </c>
      <c r="O1152" s="15">
        <v>3.0E7</v>
      </c>
      <c r="P1152" s="10">
        <f t="shared" si="2"/>
        <v>22937130</v>
      </c>
      <c r="Q1152" s="12">
        <f t="shared" si="3"/>
        <v>0</v>
      </c>
      <c r="R1152" s="14">
        <v>2001.0</v>
      </c>
      <c r="S1152" s="14">
        <v>7.6</v>
      </c>
    </row>
    <row r="1153" ht="15.75" customHeight="1">
      <c r="A1153" s="13" t="s">
        <v>1894</v>
      </c>
      <c r="B1153" s="8" t="str">
        <f>IFERROR(__xludf.DUMMYFUNCTION("REGEXREPLACE(A1153, ""[^0-9a-zA-Z .'Ã]"","""")"),"Luc Besson")</f>
        <v>Luc Besson</v>
      </c>
      <c r="C1153" s="14">
        <v>433.0</v>
      </c>
      <c r="D1153" s="15">
        <v>1.26546825E8</v>
      </c>
      <c r="E1153" s="14" t="s">
        <v>1734</v>
      </c>
      <c r="F1153" s="9">
        <f t="shared" si="1"/>
        <v>3</v>
      </c>
      <c r="G1153" s="14" t="s">
        <v>436</v>
      </c>
      <c r="H1153" s="11" t="str">
        <f>IFERROR(__xludf.DUMMYFUNCTION("REGEXREPLACE(G1153, ""[^0-9a-zA-Z .'Ã]"","""")"),"Scarlett Johansson")</f>
        <v>Scarlett Johansson</v>
      </c>
      <c r="I1153" s="16" t="s">
        <v>4177</v>
      </c>
      <c r="J1153" s="14">
        <v>327367.0</v>
      </c>
      <c r="K1153" s="14" t="s">
        <v>4178</v>
      </c>
      <c r="L1153" s="14">
        <v>918.0</v>
      </c>
      <c r="M1153" s="14" t="s">
        <v>24</v>
      </c>
      <c r="N1153" s="14" t="s">
        <v>608</v>
      </c>
      <c r="O1153" s="15">
        <v>4.0E7</v>
      </c>
      <c r="P1153" s="10">
        <f t="shared" si="2"/>
        <v>86546825</v>
      </c>
      <c r="Q1153" s="12">
        <f t="shared" si="3"/>
        <v>0</v>
      </c>
      <c r="R1153" s="14">
        <v>2014.0</v>
      </c>
      <c r="S1153" s="14">
        <v>6.4</v>
      </c>
    </row>
    <row r="1154" ht="15.75" customHeight="1">
      <c r="A1154" s="7" t="s">
        <v>4179</v>
      </c>
      <c r="B1154" s="8" t="str">
        <f>IFERROR(__xludf.DUMMYFUNCTION("REGEXREPLACE(A1154, ""[^0-9a-zA-Z .'Ã]"","""")"),"Jay Russell")</f>
        <v>Jay Russell</v>
      </c>
      <c r="C1154" s="9">
        <v>79.0</v>
      </c>
      <c r="D1154" s="10">
        <v>3.409964E7</v>
      </c>
      <c r="E1154" s="9" t="s">
        <v>273</v>
      </c>
      <c r="F1154" s="9">
        <f t="shared" si="1"/>
        <v>3</v>
      </c>
      <c r="G1154" s="9" t="s">
        <v>4180</v>
      </c>
      <c r="H1154" s="11" t="str">
        <f>IFERROR(__xludf.DUMMYFUNCTION("REGEXREPLACE(G1154, ""[^0-9a-zA-Z .'Ã]"","""")"),"Clint Howard")</f>
        <v>Clint Howard</v>
      </c>
      <c r="I1154" s="11" t="s">
        <v>4181</v>
      </c>
      <c r="J1154" s="9">
        <v>16651.0</v>
      </c>
      <c r="K1154" s="9" t="s">
        <v>4182</v>
      </c>
      <c r="L1154" s="9">
        <v>149.0</v>
      </c>
      <c r="M1154" s="9" t="s">
        <v>24</v>
      </c>
      <c r="N1154" s="9" t="s">
        <v>25</v>
      </c>
      <c r="O1154" s="10">
        <v>5000000.0</v>
      </c>
      <c r="P1154" s="10">
        <f t="shared" si="2"/>
        <v>29099640</v>
      </c>
      <c r="Q1154" s="12">
        <f t="shared" si="3"/>
        <v>0</v>
      </c>
      <c r="R1154" s="9">
        <v>2000.0</v>
      </c>
      <c r="S1154" s="9">
        <v>7.0</v>
      </c>
    </row>
    <row r="1155" ht="15.75" customHeight="1">
      <c r="A1155" s="7" t="s">
        <v>4170</v>
      </c>
      <c r="B1155" s="8" t="str">
        <f>IFERROR(__xludf.DUMMYFUNCTION("REGEXREPLACE(A1155, ""[^0-9a-zA-Z .'Ã]"","""")"),"Mark Osborne")</f>
        <v>Mark Osborne</v>
      </c>
      <c r="C1155" s="9">
        <v>266.0</v>
      </c>
      <c r="D1155" s="10">
        <v>2.15395021E8</v>
      </c>
      <c r="E1155" s="9" t="s">
        <v>256</v>
      </c>
      <c r="F1155" s="9">
        <f t="shared" si="1"/>
        <v>5</v>
      </c>
      <c r="G1155" s="9" t="s">
        <v>844</v>
      </c>
      <c r="H1155" s="11" t="str">
        <f>IFERROR(__xludf.DUMMYFUNCTION("REGEXREPLACE(G1155, ""[^0-9a-zA-Z .'Ã]"","""")"),"Angelina Jolie Pitt")</f>
        <v>Angelina Jolie Pitt</v>
      </c>
      <c r="I1155" s="11" t="s">
        <v>4183</v>
      </c>
      <c r="J1155" s="9">
        <v>307029.0</v>
      </c>
      <c r="K1155" s="9" t="s">
        <v>4184</v>
      </c>
      <c r="L1155" s="9">
        <v>360.0</v>
      </c>
      <c r="M1155" s="9" t="s">
        <v>24</v>
      </c>
      <c r="N1155" s="9" t="s">
        <v>25</v>
      </c>
      <c r="O1155" s="10">
        <v>1.3E8</v>
      </c>
      <c r="P1155" s="10">
        <f t="shared" si="2"/>
        <v>85395021</v>
      </c>
      <c r="Q1155" s="12">
        <f t="shared" si="3"/>
        <v>0</v>
      </c>
      <c r="R1155" s="9">
        <v>2008.0</v>
      </c>
      <c r="S1155" s="9">
        <v>7.6</v>
      </c>
    </row>
    <row r="1156" ht="15.75" customHeight="1">
      <c r="A1156" s="21" t="s">
        <v>4185</v>
      </c>
      <c r="B1156" s="8" t="str">
        <f>IFERROR(__xludf.DUMMYFUNCTION("REGEXREPLACE(A1156, ""[^0-9a-zA-Z .'Ã]"","""")"),"Joe Carnahan")</f>
        <v>Joe Carnahan</v>
      </c>
      <c r="C1156" s="22">
        <v>408.0</v>
      </c>
      <c r="D1156" s="23">
        <v>5.1533608E7</v>
      </c>
      <c r="E1156" s="22" t="s">
        <v>925</v>
      </c>
      <c r="F1156" s="9">
        <f t="shared" si="1"/>
        <v>4</v>
      </c>
      <c r="G1156" s="22" t="s">
        <v>605</v>
      </c>
      <c r="H1156" s="11" t="str">
        <f>IFERROR(__xludf.DUMMYFUNCTION("REGEXREPLACE(G1156, ""[^0-9a-zA-Z .'Ã]"","""")"),"Liam Neeson")</f>
        <v>Liam Neeson</v>
      </c>
      <c r="I1156" s="24" t="s">
        <v>4186</v>
      </c>
      <c r="J1156" s="22">
        <v>203111.0</v>
      </c>
      <c r="K1156" s="22" t="s">
        <v>4187</v>
      </c>
      <c r="L1156" s="22">
        <v>755.0</v>
      </c>
      <c r="M1156" s="22" t="s">
        <v>24</v>
      </c>
      <c r="N1156" s="22" t="s">
        <v>25</v>
      </c>
      <c r="O1156" s="23">
        <v>2.5E7</v>
      </c>
      <c r="P1156" s="10">
        <f t="shared" si="2"/>
        <v>26533608</v>
      </c>
      <c r="Q1156" s="12">
        <f t="shared" si="3"/>
        <v>0</v>
      </c>
      <c r="R1156" s="22">
        <v>2011.0</v>
      </c>
      <c r="S1156" s="22">
        <v>6.8</v>
      </c>
    </row>
    <row r="1157" ht="15.75" customHeight="1">
      <c r="A1157" s="25" t="s">
        <v>4188</v>
      </c>
      <c r="B1157" s="8" t="str">
        <f>IFERROR(__xludf.DUMMYFUNCTION("REGEXREPLACE(A1157, ""[^0-9a-zA-Z .'Ã]"","""")"),"Stephen Hopkins")</f>
        <v>Stephen Hopkins</v>
      </c>
      <c r="C1157" s="26">
        <v>190.0</v>
      </c>
      <c r="D1157" s="27">
        <v>2.5117498E7</v>
      </c>
      <c r="E1157" s="26" t="s">
        <v>306</v>
      </c>
      <c r="F1157" s="9">
        <f t="shared" si="1"/>
        <v>2</v>
      </c>
      <c r="G1157" s="26" t="s">
        <v>4189</v>
      </c>
      <c r="H1157" s="11" t="str">
        <f>IFERROR(__xludf.DUMMYFUNCTION("REGEXREPLACE(G1157, ""[^0-9a-zA-Z .'Ã]"","""")"),"Stephen Rea")</f>
        <v>Stephen Rea</v>
      </c>
      <c r="I1157" s="28" t="s">
        <v>4190</v>
      </c>
      <c r="J1157" s="26">
        <v>37412.0</v>
      </c>
      <c r="K1157" s="26" t="s">
        <v>4191</v>
      </c>
      <c r="L1157" s="26">
        <v>178.0</v>
      </c>
      <c r="M1157" s="26" t="s">
        <v>24</v>
      </c>
      <c r="N1157" s="26" t="s">
        <v>25</v>
      </c>
      <c r="O1157" s="27">
        <v>4.0E7</v>
      </c>
      <c r="P1157" s="10">
        <f t="shared" si="2"/>
        <v>0</v>
      </c>
      <c r="Q1157" s="12">
        <f t="shared" si="3"/>
        <v>14882502</v>
      </c>
      <c r="R1157" s="26">
        <v>2007.0</v>
      </c>
      <c r="S1157" s="26">
        <v>5.7</v>
      </c>
    </row>
    <row r="1158" ht="15.75" customHeight="1">
      <c r="A1158" s="13" t="s">
        <v>4192</v>
      </c>
      <c r="B1158" s="8" t="str">
        <f>IFERROR(__xludf.DUMMYFUNCTION("REGEXREPLACE(A1158, ""[^0-9a-zA-Z .'Ã]"","""")"),"Mel Smith")</f>
        <v>Mel Smith</v>
      </c>
      <c r="C1158" s="14">
        <v>43.0</v>
      </c>
      <c r="D1158" s="15">
        <v>226792.0</v>
      </c>
      <c r="E1158" s="14" t="s">
        <v>4193</v>
      </c>
      <c r="F1158" s="9">
        <f t="shared" si="1"/>
        <v>3</v>
      </c>
      <c r="G1158" s="14" t="s">
        <v>1397</v>
      </c>
      <c r="H1158" s="11" t="str">
        <f>IFERROR(__xludf.DUMMYFUNCTION("REGEXREPLACE(G1158, ""[^0-9a-zA-Z .'Ã]"","""")"),"Minnie Driver")</f>
        <v>Minnie Driver</v>
      </c>
      <c r="I1158" s="16" t="s">
        <v>4194</v>
      </c>
      <c r="J1158" s="14">
        <v>3080.0</v>
      </c>
      <c r="K1158" s="14" t="s">
        <v>4195</v>
      </c>
      <c r="L1158" s="14">
        <v>44.0</v>
      </c>
      <c r="M1158" s="14" t="s">
        <v>24</v>
      </c>
      <c r="N1158" s="14" t="s">
        <v>130</v>
      </c>
      <c r="O1158" s="15">
        <v>1.0E7</v>
      </c>
      <c r="P1158" s="10">
        <f t="shared" si="2"/>
        <v>0</v>
      </c>
      <c r="Q1158" s="12">
        <f t="shared" si="3"/>
        <v>9773208</v>
      </c>
      <c r="R1158" s="14">
        <v>2001.0</v>
      </c>
      <c r="S1158" s="14">
        <v>6.2</v>
      </c>
    </row>
    <row r="1159" ht="15.75" customHeight="1">
      <c r="A1159" s="25" t="s">
        <v>4196</v>
      </c>
      <c r="B1159" s="8" t="str">
        <f>IFERROR(__xludf.DUMMYFUNCTION("REGEXREPLACE(A1159, ""[^0-9a-zA-Z .'Ã]"","""")"),"Andrew Davis")</f>
        <v>Andrew Davis</v>
      </c>
      <c r="C1159" s="26">
        <v>119.0</v>
      </c>
      <c r="D1159" s="27">
        <v>1.8387576E8</v>
      </c>
      <c r="E1159" s="26" t="s">
        <v>4197</v>
      </c>
      <c r="F1159" s="9">
        <f t="shared" si="1"/>
        <v>6</v>
      </c>
      <c r="G1159" s="26" t="s">
        <v>637</v>
      </c>
      <c r="H1159" s="11" t="str">
        <f>IFERROR(__xludf.DUMMYFUNCTION("REGEXREPLACE(G1159, ""[^0-9a-zA-Z .'Ã]"","""")"),"Harrison Ford")</f>
        <v>Harrison Ford</v>
      </c>
      <c r="I1159" s="28" t="s">
        <v>4198</v>
      </c>
      <c r="J1159" s="26">
        <v>213668.0</v>
      </c>
      <c r="K1159" s="26" t="s">
        <v>4199</v>
      </c>
      <c r="L1159" s="26">
        <v>270.0</v>
      </c>
      <c r="M1159" s="26" t="s">
        <v>24</v>
      </c>
      <c r="N1159" s="26" t="s">
        <v>25</v>
      </c>
      <c r="O1159" s="27">
        <v>4.4E7</v>
      </c>
      <c r="P1159" s="10">
        <f t="shared" si="2"/>
        <v>139875760</v>
      </c>
      <c r="Q1159" s="12">
        <f t="shared" si="3"/>
        <v>0</v>
      </c>
      <c r="R1159" s="26">
        <v>1993.0</v>
      </c>
      <c r="S1159" s="26">
        <v>7.8</v>
      </c>
    </row>
    <row r="1160" ht="15.75" customHeight="1">
      <c r="A1160" s="7" t="s">
        <v>4200</v>
      </c>
      <c r="B1160" s="8" t="str">
        <f>IFERROR(__xludf.DUMMYFUNCTION("REGEXREPLACE(A1160, ""[^0-9a-zA-Z .'Ã]"","""")"),"Mel Brooks")</f>
        <v>Mel Brooks</v>
      </c>
      <c r="C1160" s="9">
        <v>129.0</v>
      </c>
      <c r="D1160" s="10">
        <v>8.63E7</v>
      </c>
      <c r="E1160" s="9" t="s">
        <v>137</v>
      </c>
      <c r="F1160" s="9">
        <f t="shared" si="1"/>
        <v>1</v>
      </c>
      <c r="G1160" s="9" t="s">
        <v>4201</v>
      </c>
      <c r="H1160" s="11" t="str">
        <f>IFERROR(__xludf.DUMMYFUNCTION("REGEXREPLACE(G1160, ""[^0-9a-zA-Z .'Ã]"","""")"),"Madeline Kahn")</f>
        <v>Madeline Kahn</v>
      </c>
      <c r="I1160" s="11" t="s">
        <v>4202</v>
      </c>
      <c r="J1160" s="9">
        <v>112671.0</v>
      </c>
      <c r="K1160" s="9" t="s">
        <v>4203</v>
      </c>
      <c r="L1160" s="9">
        <v>315.0</v>
      </c>
      <c r="M1160" s="9" t="s">
        <v>24</v>
      </c>
      <c r="N1160" s="9" t="s">
        <v>25</v>
      </c>
      <c r="O1160" s="10">
        <v>2800000.0</v>
      </c>
      <c r="P1160" s="10">
        <f t="shared" si="2"/>
        <v>83500000</v>
      </c>
      <c r="Q1160" s="12">
        <f t="shared" si="3"/>
        <v>0</v>
      </c>
      <c r="R1160" s="9">
        <v>1974.0</v>
      </c>
      <c r="S1160" s="9">
        <v>8.0</v>
      </c>
    </row>
    <row r="1161" ht="15.75" customHeight="1">
      <c r="A1161" s="17" t="s">
        <v>1946</v>
      </c>
      <c r="B1161" s="8" t="str">
        <f>IFERROR(__xludf.DUMMYFUNCTION("REGEXREPLACE(A1161, ""[^0-9a-zA-Z .'Ã]"","""")"),"David Koepp")</f>
        <v>David Koepp</v>
      </c>
      <c r="C1161" s="18">
        <v>248.0</v>
      </c>
      <c r="D1161" s="19">
        <v>2.0275446E7</v>
      </c>
      <c r="E1161" s="18" t="s">
        <v>152</v>
      </c>
      <c r="F1161" s="9">
        <f t="shared" si="1"/>
        <v>3</v>
      </c>
      <c r="G1161" s="18" t="s">
        <v>764</v>
      </c>
      <c r="H1161" s="11" t="str">
        <f>IFERROR(__xludf.DUMMYFUNCTION("REGEXREPLACE(G1161, ""[^0-9a-zA-Z .'Ã]"","""")"),"Joseph GordonLevitt")</f>
        <v>Joseph GordonLevitt</v>
      </c>
      <c r="I1161" s="20" t="s">
        <v>4204</v>
      </c>
      <c r="J1161" s="18">
        <v>95274.0</v>
      </c>
      <c r="K1161" s="18" t="s">
        <v>4205</v>
      </c>
      <c r="L1161" s="18">
        <v>178.0</v>
      </c>
      <c r="M1161" s="18" t="s">
        <v>24</v>
      </c>
      <c r="N1161" s="18" t="s">
        <v>25</v>
      </c>
      <c r="O1161" s="19">
        <v>3.5E7</v>
      </c>
      <c r="P1161" s="10">
        <f t="shared" si="2"/>
        <v>0</v>
      </c>
      <c r="Q1161" s="12">
        <f t="shared" si="3"/>
        <v>14724554</v>
      </c>
      <c r="R1161" s="18">
        <v>2012.0</v>
      </c>
      <c r="S1161" s="18">
        <v>6.5</v>
      </c>
    </row>
    <row r="1162" ht="15.75" customHeight="1">
      <c r="A1162" s="13" t="s">
        <v>860</v>
      </c>
      <c r="B1162" s="8" t="str">
        <f>IFERROR(__xludf.DUMMYFUNCTION("REGEXREPLACE(A1162, ""[^0-9a-zA-Z .'Ã]"","""")"),"Michael Bay")</f>
        <v>Michael Bay</v>
      </c>
      <c r="C1162" s="14">
        <v>366.0</v>
      </c>
      <c r="D1162" s="15">
        <v>4.02076689E8</v>
      </c>
      <c r="E1162" s="14" t="s">
        <v>185</v>
      </c>
      <c r="F1162" s="9">
        <f t="shared" si="1"/>
        <v>3</v>
      </c>
      <c r="G1162" s="14" t="s">
        <v>4206</v>
      </c>
      <c r="H1162" s="11" t="str">
        <f>IFERROR(__xludf.DUMMYFUNCTION("REGEXREPLACE(G1162, ""[^0-9a-zA-Z .'Ã]"","""")"),"Glenn Morshower")</f>
        <v>Glenn Morshower</v>
      </c>
      <c r="I1162" s="16" t="s">
        <v>4207</v>
      </c>
      <c r="J1162" s="14">
        <v>323207.0</v>
      </c>
      <c r="K1162" s="14" t="s">
        <v>4208</v>
      </c>
      <c r="L1162" s="14">
        <v>1439.0</v>
      </c>
      <c r="M1162" s="14" t="s">
        <v>24</v>
      </c>
      <c r="N1162" s="14" t="s">
        <v>25</v>
      </c>
      <c r="O1162" s="15">
        <v>2.0E8</v>
      </c>
      <c r="P1162" s="10">
        <f t="shared" si="2"/>
        <v>202076689</v>
      </c>
      <c r="Q1162" s="12">
        <f t="shared" si="3"/>
        <v>0</v>
      </c>
      <c r="R1162" s="14">
        <v>2009.0</v>
      </c>
      <c r="S1162" s="14">
        <v>6.0</v>
      </c>
    </row>
    <row r="1163" ht="15.75" customHeight="1">
      <c r="A1163" s="7" t="s">
        <v>4209</v>
      </c>
      <c r="B1163" s="8" t="str">
        <f>IFERROR(__xludf.DUMMYFUNCTION("REGEXREPLACE(A1163, ""[^0-9a-zA-Z .'Ã]"","""")"),"Kevin Greutert")</f>
        <v>Kevin Greutert</v>
      </c>
      <c r="C1163" s="9">
        <v>178.0</v>
      </c>
      <c r="D1163" s="10">
        <v>4.5670855E7</v>
      </c>
      <c r="E1163" s="9" t="s">
        <v>565</v>
      </c>
      <c r="F1163" s="9">
        <f t="shared" si="1"/>
        <v>2</v>
      </c>
      <c r="G1163" s="9" t="s">
        <v>3458</v>
      </c>
      <c r="H1163" s="11" t="str">
        <f>IFERROR(__xludf.DUMMYFUNCTION("REGEXREPLACE(G1163, ""[^0-9a-zA-Z .'Ã]"","""")"),"Costas Mandylor")</f>
        <v>Costas Mandylor</v>
      </c>
      <c r="I1163" s="11" t="s">
        <v>4210</v>
      </c>
      <c r="J1163" s="9">
        <v>67978.0</v>
      </c>
      <c r="K1163" s="9" t="s">
        <v>4211</v>
      </c>
      <c r="L1163" s="9">
        <v>279.0</v>
      </c>
      <c r="M1163" s="9" t="s">
        <v>24</v>
      </c>
      <c r="N1163" s="9" t="s">
        <v>624</v>
      </c>
      <c r="O1163" s="10">
        <v>2.0E7</v>
      </c>
      <c r="P1163" s="10">
        <f t="shared" si="2"/>
        <v>25670855</v>
      </c>
      <c r="Q1163" s="12">
        <f t="shared" si="3"/>
        <v>0</v>
      </c>
      <c r="R1163" s="9">
        <v>2010.0</v>
      </c>
      <c r="S1163" s="9">
        <v>5.6</v>
      </c>
    </row>
    <row r="1164" ht="15.75" customHeight="1">
      <c r="A1164" s="25" t="s">
        <v>2409</v>
      </c>
      <c r="B1164" s="8" t="str">
        <f>IFERROR(__xludf.DUMMYFUNCTION("REGEXREPLACE(A1164, ""[^0-9a-zA-Z .'Ã]"","""")"),"Stephen Frears")</f>
        <v>Stephen Frears</v>
      </c>
      <c r="C1164" s="26">
        <v>46.0</v>
      </c>
      <c r="D1164" s="27">
        <v>5600000.0</v>
      </c>
      <c r="E1164" s="26" t="s">
        <v>4212</v>
      </c>
      <c r="F1164" s="9">
        <f t="shared" si="1"/>
        <v>4</v>
      </c>
      <c r="G1164" s="26" t="s">
        <v>533</v>
      </c>
      <c r="H1164" s="11" t="str">
        <f>IFERROR(__xludf.DUMMYFUNCTION("REGEXREPLACE(G1164, ""[^0-9a-zA-Z .'Ã]"","""")"),"Julia Roberts")</f>
        <v>Julia Roberts</v>
      </c>
      <c r="I1164" s="28" t="s">
        <v>4213</v>
      </c>
      <c r="J1164" s="26">
        <v>11913.0</v>
      </c>
      <c r="K1164" s="26" t="s">
        <v>4214</v>
      </c>
      <c r="L1164" s="26">
        <v>97.0</v>
      </c>
      <c r="M1164" s="26" t="s">
        <v>24</v>
      </c>
      <c r="N1164" s="26" t="s">
        <v>25</v>
      </c>
      <c r="O1164" s="27">
        <v>4.7E7</v>
      </c>
      <c r="P1164" s="10">
        <f t="shared" si="2"/>
        <v>0</v>
      </c>
      <c r="Q1164" s="12">
        <f t="shared" si="3"/>
        <v>41400000</v>
      </c>
      <c r="R1164" s="26">
        <v>1996.0</v>
      </c>
      <c r="S1164" s="26">
        <v>5.8</v>
      </c>
    </row>
    <row r="1165" ht="15.75" customHeight="1">
      <c r="A1165" s="21" t="s">
        <v>4215</v>
      </c>
      <c r="B1165" s="8" t="str">
        <f>IFERROR(__xludf.DUMMYFUNCTION("REGEXREPLACE(A1165, ""[^0-9a-zA-Z .'Ã]"","""")"),"Hugh Johnson")</f>
        <v>Hugh Johnson</v>
      </c>
      <c r="C1165" s="22">
        <v>68.0</v>
      </c>
      <c r="D1165" s="23">
        <v>1.122794E7</v>
      </c>
      <c r="E1165" s="22" t="s">
        <v>4216</v>
      </c>
      <c r="F1165" s="9">
        <f t="shared" si="1"/>
        <v>5</v>
      </c>
      <c r="G1165" s="22" t="s">
        <v>4217</v>
      </c>
      <c r="H1165" s="11" t="str">
        <f>IFERROR(__xludf.DUMMYFUNCTION("REGEXREPLACE(G1165, ""[^0-9a-zA-Z .'Ã]"","""")"),"David Paymer")</f>
        <v>David Paymer</v>
      </c>
      <c r="I1165" s="24" t="s">
        <v>4218</v>
      </c>
      <c r="J1165" s="22">
        <v>8367.0</v>
      </c>
      <c r="K1165" s="22" t="s">
        <v>4219</v>
      </c>
      <c r="L1165" s="22">
        <v>94.0</v>
      </c>
      <c r="M1165" s="22" t="s">
        <v>24</v>
      </c>
      <c r="N1165" s="22" t="s">
        <v>25</v>
      </c>
      <c r="O1165" s="23">
        <v>3.4E7</v>
      </c>
      <c r="P1165" s="10">
        <f t="shared" si="2"/>
        <v>0</v>
      </c>
      <c r="Q1165" s="12">
        <f t="shared" si="3"/>
        <v>22772060</v>
      </c>
      <c r="R1165" s="22">
        <v>1999.0</v>
      </c>
      <c r="S1165" s="22">
        <v>5.2</v>
      </c>
    </row>
    <row r="1166" ht="15.75" customHeight="1">
      <c r="A1166" s="7" t="s">
        <v>3467</v>
      </c>
      <c r="B1166" s="8" t="str">
        <f>IFERROR(__xludf.DUMMYFUNCTION("REGEXREPLACE(A1166, ""[^0-9a-zA-Z -.'Ã]"","""")"),"Lasse HallstrÃm")</f>
        <v>Lasse HallstrÃm</v>
      </c>
      <c r="C1166" s="9">
        <v>107.0</v>
      </c>
      <c r="D1166" s="10">
        <v>8535575.0</v>
      </c>
      <c r="E1166" s="9" t="s">
        <v>103</v>
      </c>
      <c r="F1166" s="9">
        <f t="shared" si="1"/>
        <v>1</v>
      </c>
      <c r="G1166" s="9" t="s">
        <v>170</v>
      </c>
      <c r="H1166" s="11" t="str">
        <f>IFERROR(__xludf.DUMMYFUNCTION("REGEXREPLACE(G1166, ""[^0-9a-zA-Z .'Ã]"","""")"),"Morgan Freeman")</f>
        <v>Morgan Freeman</v>
      </c>
      <c r="I1166" s="11" t="s">
        <v>4220</v>
      </c>
      <c r="J1166" s="9">
        <v>24033.0</v>
      </c>
      <c r="K1166" s="9" t="s">
        <v>4221</v>
      </c>
      <c r="L1166" s="9">
        <v>152.0</v>
      </c>
      <c r="M1166" s="9" t="s">
        <v>24</v>
      </c>
      <c r="N1166" s="9" t="s">
        <v>25</v>
      </c>
      <c r="O1166" s="10">
        <v>3.0E7</v>
      </c>
      <c r="P1166" s="10">
        <f t="shared" si="2"/>
        <v>0</v>
      </c>
      <c r="Q1166" s="12">
        <f t="shared" si="3"/>
        <v>21464425</v>
      </c>
      <c r="R1166" s="9">
        <v>2005.0</v>
      </c>
      <c r="S1166" s="9">
        <v>7.0</v>
      </c>
    </row>
    <row r="1167" ht="15.75" customHeight="1">
      <c r="A1167" s="7" t="s">
        <v>4222</v>
      </c>
      <c r="B1167" s="8" t="str">
        <f>IFERROR(__xludf.DUMMYFUNCTION("REGEXREPLACE(A1167, ""[^0-9a-zA-Z .'Ã]"","""")"),"Bruce Paltrow")</f>
        <v>Bruce Paltrow</v>
      </c>
      <c r="C1167" s="9">
        <v>65.0</v>
      </c>
      <c r="D1167" s="10">
        <v>4734235.0</v>
      </c>
      <c r="E1167" s="9" t="s">
        <v>462</v>
      </c>
      <c r="F1167" s="9">
        <f t="shared" si="1"/>
        <v>3</v>
      </c>
      <c r="G1167" s="9" t="s">
        <v>4223</v>
      </c>
      <c r="H1167" s="11" t="str">
        <f>IFERROR(__xludf.DUMMYFUNCTION("REGEXREPLACE(G1167, ""[^0-9a-zA-Z .'Ã]"","""")"),"Lochlyn Munro")</f>
        <v>Lochlyn Munro</v>
      </c>
      <c r="I1167" s="11" t="s">
        <v>4224</v>
      </c>
      <c r="J1167" s="9">
        <v>8217.0</v>
      </c>
      <c r="K1167" s="9" t="s">
        <v>4225</v>
      </c>
      <c r="L1167" s="9">
        <v>123.0</v>
      </c>
      <c r="M1167" s="9" t="s">
        <v>24</v>
      </c>
      <c r="N1167" s="9" t="s">
        <v>25</v>
      </c>
      <c r="O1167" s="10">
        <v>1.5E7</v>
      </c>
      <c r="P1167" s="10">
        <f t="shared" si="2"/>
        <v>0</v>
      </c>
      <c r="Q1167" s="12">
        <f t="shared" si="3"/>
        <v>10265765</v>
      </c>
      <c r="R1167" s="9">
        <v>2000.0</v>
      </c>
      <c r="S1167" s="9">
        <v>6.0</v>
      </c>
    </row>
    <row r="1168" ht="15.75" customHeight="1">
      <c r="A1168" s="13" t="s">
        <v>4226</v>
      </c>
      <c r="B1168" s="8" t="str">
        <f>IFERROR(__xludf.DUMMYFUNCTION("REGEXREPLACE(A1168, ""[^0-9a-zA-Z .'Ã]"","""")"),"Gurinder Chadha")</f>
        <v>Gurinder Chadha</v>
      </c>
      <c r="C1168" s="14">
        <v>119.0</v>
      </c>
      <c r="D1168" s="15">
        <v>6601079.0</v>
      </c>
      <c r="E1168" s="14" t="s">
        <v>1403</v>
      </c>
      <c r="F1168" s="9">
        <f t="shared" si="1"/>
        <v>4</v>
      </c>
      <c r="G1168" s="14" t="s">
        <v>4227</v>
      </c>
      <c r="H1168" s="11" t="str">
        <f>IFERROR(__xludf.DUMMYFUNCTION("REGEXREPLACE(G1168, ""[^0-9a-zA-Z .'Ã]"","""")"),"Indira Varma")</f>
        <v>Indira Varma</v>
      </c>
      <c r="I1168" s="16" t="s">
        <v>4228</v>
      </c>
      <c r="J1168" s="14">
        <v>17436.0</v>
      </c>
      <c r="K1168" s="14" t="s">
        <v>4229</v>
      </c>
      <c r="L1168" s="14">
        <v>276.0</v>
      </c>
      <c r="M1168" s="14" t="s">
        <v>24</v>
      </c>
      <c r="N1168" s="14" t="s">
        <v>130</v>
      </c>
      <c r="O1168" s="15">
        <v>7000000.0</v>
      </c>
      <c r="P1168" s="10">
        <f t="shared" si="2"/>
        <v>0</v>
      </c>
      <c r="Q1168" s="12">
        <f t="shared" si="3"/>
        <v>398921</v>
      </c>
      <c r="R1168" s="14">
        <v>2004.0</v>
      </c>
      <c r="S1168" s="14">
        <v>6.2</v>
      </c>
    </row>
    <row r="1169" ht="15.75" customHeight="1">
      <c r="A1169" s="17" t="s">
        <v>4230</v>
      </c>
      <c r="B1169" s="8" t="str">
        <f>IFERROR(__xludf.DUMMYFUNCTION("REGEXREPLACE(A1169, ""[^0-9a-zA-Z .'Ã]"","""")"),"Vicente Amorim")</f>
        <v>Vicente Amorim</v>
      </c>
      <c r="C1169" s="18">
        <v>67.0</v>
      </c>
      <c r="D1169" s="19">
        <v>23091.0</v>
      </c>
      <c r="E1169" s="18" t="s">
        <v>3427</v>
      </c>
      <c r="F1169" s="9">
        <f t="shared" si="1"/>
        <v>3</v>
      </c>
      <c r="G1169" s="18" t="s">
        <v>484</v>
      </c>
      <c r="H1169" s="11" t="str">
        <f>IFERROR(__xludf.DUMMYFUNCTION("REGEXREPLACE(G1169, ""[^0-9a-zA-Z .'Ã]"","""")"),"Viggo Mortensen")</f>
        <v>Viggo Mortensen</v>
      </c>
      <c r="I1169" s="20" t="s">
        <v>4231</v>
      </c>
      <c r="J1169" s="18">
        <v>5664.0</v>
      </c>
      <c r="K1169" s="18" t="s">
        <v>4232</v>
      </c>
      <c r="L1169" s="18">
        <v>42.0</v>
      </c>
      <c r="M1169" s="18" t="s">
        <v>24</v>
      </c>
      <c r="N1169" s="18" t="s">
        <v>130</v>
      </c>
      <c r="O1169" s="19">
        <v>1.5E7</v>
      </c>
      <c r="P1169" s="10">
        <f t="shared" si="2"/>
        <v>0</v>
      </c>
      <c r="Q1169" s="12">
        <f t="shared" si="3"/>
        <v>14976909</v>
      </c>
      <c r="R1169" s="18">
        <v>2008.0</v>
      </c>
      <c r="S1169" s="18">
        <v>6.2</v>
      </c>
    </row>
    <row r="1170" ht="15.75" customHeight="1">
      <c r="A1170" s="7" t="s">
        <v>1740</v>
      </c>
      <c r="B1170" s="8" t="str">
        <f>IFERROR(__xludf.DUMMYFUNCTION("REGEXREPLACE(A1170, ""[^0-9a-zA-Z .'Ã]"","""")"),"Woody Allen")</f>
        <v>Woody Allen</v>
      </c>
      <c r="C1170" s="9">
        <v>278.0</v>
      </c>
      <c r="D1170" s="10">
        <v>2.3089926E7</v>
      </c>
      <c r="E1170" s="9" t="s">
        <v>1854</v>
      </c>
      <c r="F1170" s="9">
        <f t="shared" si="1"/>
        <v>3</v>
      </c>
      <c r="G1170" s="9" t="s">
        <v>436</v>
      </c>
      <c r="H1170" s="11" t="str">
        <f>IFERROR(__xludf.DUMMYFUNCTION("REGEXREPLACE(G1170, ""[^0-9a-zA-Z .'Ã]"","""")"),"Scarlett Johansson")</f>
        <v>Scarlett Johansson</v>
      </c>
      <c r="I1170" s="11" t="s">
        <v>4233</v>
      </c>
      <c r="J1170" s="9">
        <v>166269.0</v>
      </c>
      <c r="K1170" s="9" t="s">
        <v>4234</v>
      </c>
      <c r="L1170" s="9">
        <v>735.0</v>
      </c>
      <c r="M1170" s="9" t="s">
        <v>24</v>
      </c>
      <c r="N1170" s="9" t="s">
        <v>130</v>
      </c>
      <c r="O1170" s="10">
        <v>1.5E7</v>
      </c>
      <c r="P1170" s="10">
        <f t="shared" si="2"/>
        <v>8089926</v>
      </c>
      <c r="Q1170" s="12">
        <f t="shared" si="3"/>
        <v>0</v>
      </c>
      <c r="R1170" s="9">
        <v>2005.0</v>
      </c>
      <c r="S1170" s="9">
        <v>7.7</v>
      </c>
    </row>
    <row r="1171" ht="15.75" customHeight="1">
      <c r="A1171" s="25" t="s">
        <v>4235</v>
      </c>
      <c r="B1171" s="8" t="str">
        <f>IFERROR(__xludf.DUMMYFUNCTION("REGEXREPLACE(A1171, ""[^0-9a-zA-Z .'Ã]"","""")"),"James Algar")</f>
        <v>James Algar</v>
      </c>
      <c r="C1171" s="26">
        <v>129.0</v>
      </c>
      <c r="D1171" s="27">
        <v>6.0507228E7</v>
      </c>
      <c r="E1171" s="26" t="s">
        <v>4236</v>
      </c>
      <c r="F1171" s="9">
        <f t="shared" si="1"/>
        <v>4</v>
      </c>
      <c r="G1171" s="26" t="s">
        <v>4237</v>
      </c>
      <c r="H1171" s="11" t="str">
        <f>IFERROR(__xludf.DUMMYFUNCTION("REGEXREPLACE(G1171, ""[^0-9a-zA-Z .'Ã]"","""")"),"Quincy Jones")</f>
        <v>Quincy Jones</v>
      </c>
      <c r="I1171" s="28" t="s">
        <v>4238</v>
      </c>
      <c r="J1171" s="26">
        <v>27543.0</v>
      </c>
      <c r="K1171" s="26" t="s">
        <v>4239</v>
      </c>
      <c r="L1171" s="26">
        <v>186.0</v>
      </c>
      <c r="M1171" s="26" t="s">
        <v>24</v>
      </c>
      <c r="N1171" s="26" t="s">
        <v>25</v>
      </c>
      <c r="O1171" s="27">
        <v>8.0E7</v>
      </c>
      <c r="P1171" s="10">
        <f t="shared" si="2"/>
        <v>0</v>
      </c>
      <c r="Q1171" s="12">
        <f t="shared" si="3"/>
        <v>19492772</v>
      </c>
      <c r="R1171" s="26">
        <v>1999.0</v>
      </c>
      <c r="S1171" s="26">
        <v>7.3</v>
      </c>
    </row>
    <row r="1172" ht="15.75" customHeight="1">
      <c r="A1172" s="21" t="s">
        <v>505</v>
      </c>
      <c r="B1172" s="8" t="str">
        <f>IFERROR(__xludf.DUMMYFUNCTION("REGEXREPLACE(A1172, ""[^0-9a-zA-Z .'Ã]"","""")"),"Jon Favreau")</f>
        <v>Jon Favreau</v>
      </c>
      <c r="C1172" s="22">
        <v>486.0</v>
      </c>
      <c r="D1172" s="23">
        <v>3.1829818E8</v>
      </c>
      <c r="E1172" s="22" t="s">
        <v>185</v>
      </c>
      <c r="F1172" s="9">
        <f t="shared" si="1"/>
        <v>3</v>
      </c>
      <c r="G1172" s="22" t="s">
        <v>327</v>
      </c>
      <c r="H1172" s="11" t="str">
        <f>IFERROR(__xludf.DUMMYFUNCTION("REGEXREPLACE(G1172, ""[^0-9a-zA-Z .'Ã]"","""")"),"Robert Downey Jr.")</f>
        <v>Robert Downey Jr.</v>
      </c>
      <c r="I1172" s="24" t="s">
        <v>4240</v>
      </c>
      <c r="J1172" s="22">
        <v>696338.0</v>
      </c>
      <c r="K1172" s="22" t="s">
        <v>4241</v>
      </c>
      <c r="L1172" s="22">
        <v>1055.0</v>
      </c>
      <c r="M1172" s="22" t="s">
        <v>24</v>
      </c>
      <c r="N1172" s="22" t="s">
        <v>25</v>
      </c>
      <c r="O1172" s="23">
        <v>1.4E8</v>
      </c>
      <c r="P1172" s="10">
        <f t="shared" si="2"/>
        <v>178298180</v>
      </c>
      <c r="Q1172" s="12">
        <f t="shared" si="3"/>
        <v>0</v>
      </c>
      <c r="R1172" s="22">
        <v>2008.0</v>
      </c>
      <c r="S1172" s="22">
        <v>7.9</v>
      </c>
    </row>
    <row r="1173" ht="15.75" customHeight="1">
      <c r="A1173" s="21" t="s">
        <v>305</v>
      </c>
      <c r="B1173" s="8" t="str">
        <f>IFERROR(__xludf.DUMMYFUNCTION("REGEXREPLACE(A1173, ""[^0-9a-zA-Z .'Ã]"","""")"),"M. Night Shyamalan")</f>
        <v>M. Night Shyamalan</v>
      </c>
      <c r="C1173" s="22">
        <v>280.0</v>
      </c>
      <c r="D1173" s="23">
        <v>1.31564731E8</v>
      </c>
      <c r="E1173" s="22" t="s">
        <v>348</v>
      </c>
      <c r="F1173" s="9">
        <f t="shared" si="1"/>
        <v>4</v>
      </c>
      <c r="G1173" s="22" t="s">
        <v>4242</v>
      </c>
      <c r="H1173" s="11" t="str">
        <f>IFERROR(__xludf.DUMMYFUNCTION("REGEXREPLACE(G1173, ""[^0-9a-zA-Z .'Ã]"","""")"),"Seychelle Gabriel")</f>
        <v>Seychelle Gabriel</v>
      </c>
      <c r="I1173" s="24" t="s">
        <v>4243</v>
      </c>
      <c r="J1173" s="22">
        <v>118951.0</v>
      </c>
      <c r="K1173" s="22" t="s">
        <v>4244</v>
      </c>
      <c r="L1173" s="22">
        <v>1382.0</v>
      </c>
      <c r="M1173" s="22" t="s">
        <v>24</v>
      </c>
      <c r="N1173" s="22" t="s">
        <v>25</v>
      </c>
      <c r="O1173" s="23">
        <v>1.5E8</v>
      </c>
      <c r="P1173" s="10">
        <f t="shared" si="2"/>
        <v>0</v>
      </c>
      <c r="Q1173" s="12">
        <f t="shared" si="3"/>
        <v>18435269</v>
      </c>
      <c r="R1173" s="22">
        <v>2010.0</v>
      </c>
      <c r="S1173" s="22">
        <v>4.2</v>
      </c>
    </row>
    <row r="1174" ht="15.75" customHeight="1">
      <c r="A1174" s="25" t="s">
        <v>4245</v>
      </c>
      <c r="B1174" s="8" t="str">
        <f>IFERROR(__xludf.DUMMYFUNCTION("REGEXREPLACE(A1174, ""[^0-9a-zA-Z .'Ã]"","""")"),"Lynne Ramsay")</f>
        <v>Lynne Ramsay</v>
      </c>
      <c r="C1174" s="26">
        <v>389.0</v>
      </c>
      <c r="D1174" s="27">
        <v>1738692.0</v>
      </c>
      <c r="E1174" s="26" t="s">
        <v>369</v>
      </c>
      <c r="F1174" s="9">
        <f t="shared" si="1"/>
        <v>2</v>
      </c>
      <c r="G1174" s="26" t="s">
        <v>526</v>
      </c>
      <c r="H1174" s="11" t="str">
        <f>IFERROR(__xludf.DUMMYFUNCTION("REGEXREPLACE(G1174, ""[^0-9a-zA-Z .'Ã]"","""")"),"Ezra Miller")</f>
        <v>Ezra Miller</v>
      </c>
      <c r="I1174" s="28" t="s">
        <v>4246</v>
      </c>
      <c r="J1174" s="26">
        <v>95529.0</v>
      </c>
      <c r="K1174" s="26" t="s">
        <v>4247</v>
      </c>
      <c r="L1174" s="26">
        <v>301.0</v>
      </c>
      <c r="M1174" s="26" t="s">
        <v>24</v>
      </c>
      <c r="N1174" s="26" t="s">
        <v>130</v>
      </c>
      <c r="O1174" s="27">
        <v>7000000.0</v>
      </c>
      <c r="P1174" s="10">
        <f t="shared" si="2"/>
        <v>0</v>
      </c>
      <c r="Q1174" s="12">
        <f t="shared" si="3"/>
        <v>5261308</v>
      </c>
      <c r="R1174" s="26">
        <v>2011.0</v>
      </c>
      <c r="S1174" s="26">
        <v>7.5</v>
      </c>
    </row>
    <row r="1175" ht="15.75" customHeight="1">
      <c r="A1175" s="17" t="s">
        <v>4248</v>
      </c>
      <c r="B1175" s="8" t="str">
        <f>IFERROR(__xludf.DUMMYFUNCTION("REGEXREPLACE(A1175, ""[^0-9a-zA-Z .'Ã]"","""")"),"Thomas Vinterberg")</f>
        <v>Thomas Vinterberg</v>
      </c>
      <c r="C1175" s="18">
        <v>98.0</v>
      </c>
      <c r="D1175" s="19">
        <v>1647780.0</v>
      </c>
      <c r="E1175" s="18" t="s">
        <v>103</v>
      </c>
      <c r="F1175" s="9">
        <f t="shared" si="1"/>
        <v>1</v>
      </c>
      <c r="G1175" s="18" t="s">
        <v>4249</v>
      </c>
      <c r="H1175" s="11" t="str">
        <f>IFERROR(__xludf.DUMMYFUNCTION("REGEXREPLACE(G1175, ""[^0-9a-zA-Z .'Ã]"","""")"),"Ulrich Thomsen")</f>
        <v>Ulrich Thomsen</v>
      </c>
      <c r="I1175" s="20" t="s">
        <v>4250</v>
      </c>
      <c r="J1175" s="18">
        <v>65951.0</v>
      </c>
      <c r="K1175" s="18" t="s">
        <v>4251</v>
      </c>
      <c r="L1175" s="18">
        <v>258.0</v>
      </c>
      <c r="M1175" s="18" t="s">
        <v>4252</v>
      </c>
      <c r="N1175" s="18" t="s">
        <v>4016</v>
      </c>
      <c r="O1175" s="19">
        <v>1300000.0</v>
      </c>
      <c r="P1175" s="10">
        <f t="shared" si="2"/>
        <v>347780</v>
      </c>
      <c r="Q1175" s="12">
        <f t="shared" si="3"/>
        <v>0</v>
      </c>
      <c r="R1175" s="18">
        <v>1998.0</v>
      </c>
      <c r="S1175" s="18">
        <v>8.1</v>
      </c>
    </row>
    <row r="1176" ht="15.75" customHeight="1">
      <c r="A1176" s="21" t="s">
        <v>4253</v>
      </c>
      <c r="B1176" s="8" t="str">
        <f>IFERROR(__xludf.DUMMYFUNCTION("REGEXREPLACE(A1176, ""[^0-9a-zA-Z .'Ã]"","""")"),"Peter Berg")</f>
        <v>Peter Berg</v>
      </c>
      <c r="C1176" s="22">
        <v>234.0</v>
      </c>
      <c r="D1176" s="23">
        <v>4.745645E7</v>
      </c>
      <c r="E1176" s="22" t="s">
        <v>175</v>
      </c>
      <c r="F1176" s="9">
        <f t="shared" si="1"/>
        <v>3</v>
      </c>
      <c r="G1176" s="22" t="s">
        <v>862</v>
      </c>
      <c r="H1176" s="11" t="str">
        <f>IFERROR(__xludf.DUMMYFUNCTION("REGEXREPLACE(G1176, ""[^0-9a-zA-Z .'Ã]"","""")"),"Jennifer Garner")</f>
        <v>Jennifer Garner</v>
      </c>
      <c r="I1176" s="24" t="s">
        <v>4254</v>
      </c>
      <c r="J1176" s="22">
        <v>101386.0</v>
      </c>
      <c r="K1176" s="22" t="s">
        <v>4255</v>
      </c>
      <c r="L1176" s="22">
        <v>289.0</v>
      </c>
      <c r="M1176" s="22" t="s">
        <v>24</v>
      </c>
      <c r="N1176" s="22" t="s">
        <v>25</v>
      </c>
      <c r="O1176" s="23">
        <v>7.0E7</v>
      </c>
      <c r="P1176" s="10">
        <f t="shared" si="2"/>
        <v>0</v>
      </c>
      <c r="Q1176" s="12">
        <f t="shared" si="3"/>
        <v>22543550</v>
      </c>
      <c r="R1176" s="22">
        <v>2007.0</v>
      </c>
      <c r="S1176" s="22">
        <v>7.1</v>
      </c>
    </row>
    <row r="1177" ht="15.75" customHeight="1">
      <c r="A1177" s="7" t="s">
        <v>4256</v>
      </c>
      <c r="B1177" s="8" t="str">
        <f>IFERROR(__xludf.DUMMYFUNCTION("REGEXREPLACE(A1177, ""[^0-9a-zA-Z .'Ã]"","""")"),"Michael Apted")</f>
        <v>Michael Apted</v>
      </c>
      <c r="C1177" s="9">
        <v>116.0</v>
      </c>
      <c r="D1177" s="10">
        <v>6002756.0</v>
      </c>
      <c r="E1177" s="9" t="s">
        <v>1124</v>
      </c>
      <c r="F1177" s="9">
        <f t="shared" si="1"/>
        <v>3</v>
      </c>
      <c r="G1177" s="9" t="s">
        <v>830</v>
      </c>
      <c r="H1177" s="11" t="str">
        <f>IFERROR(__xludf.DUMMYFUNCTION("REGEXREPLACE(G1177, ""[^0-9a-zA-Z .'Ã]"","""")"),"Gerard Butler")</f>
        <v>Gerard Butler</v>
      </c>
      <c r="I1177" s="11" t="s">
        <v>4257</v>
      </c>
      <c r="J1177" s="9">
        <v>24997.0</v>
      </c>
      <c r="K1177" s="9" t="s">
        <v>4258</v>
      </c>
      <c r="L1177" s="9">
        <v>75.0</v>
      </c>
      <c r="M1177" s="9" t="s">
        <v>24</v>
      </c>
      <c r="N1177" s="9" t="s">
        <v>25</v>
      </c>
      <c r="O1177" s="10">
        <v>2.0E7</v>
      </c>
      <c r="P1177" s="10">
        <f t="shared" si="2"/>
        <v>0</v>
      </c>
      <c r="Q1177" s="12">
        <f t="shared" si="3"/>
        <v>13997244</v>
      </c>
      <c r="R1177" s="9">
        <v>2012.0</v>
      </c>
      <c r="S1177" s="9">
        <v>7.2</v>
      </c>
    </row>
    <row r="1178" ht="15.75" customHeight="1">
      <c r="A1178" s="13" t="s">
        <v>872</v>
      </c>
      <c r="B1178" s="8" t="str">
        <f>IFERROR(__xludf.DUMMYFUNCTION("REGEXREPLACE(A1178, ""[^0-9a-zA-Z .'Ã]"","""")"),"Michael Haneke")</f>
        <v>Michael Haneke</v>
      </c>
      <c r="C1178" s="14">
        <v>292.0</v>
      </c>
      <c r="D1178" s="15">
        <v>2222647.0</v>
      </c>
      <c r="E1178" s="14" t="s">
        <v>79</v>
      </c>
      <c r="F1178" s="9">
        <f t="shared" si="1"/>
        <v>2</v>
      </c>
      <c r="G1178" s="14" t="s">
        <v>4259</v>
      </c>
      <c r="H1178" s="11" t="str">
        <f>IFERROR(__xludf.DUMMYFUNCTION("REGEXREPLACE(G1178, ""[^0-9a-zA-Z .'Ã]"","""")"),"Ulrich Tukur")</f>
        <v>Ulrich Tukur</v>
      </c>
      <c r="I1178" s="16" t="s">
        <v>4260</v>
      </c>
      <c r="J1178" s="14">
        <v>52958.0</v>
      </c>
      <c r="K1178" s="14" t="s">
        <v>4261</v>
      </c>
      <c r="L1178" s="14">
        <v>193.0</v>
      </c>
      <c r="M1178" s="14" t="s">
        <v>1042</v>
      </c>
      <c r="N1178" s="14" t="s">
        <v>173</v>
      </c>
      <c r="O1178" s="15">
        <v>1.2E7</v>
      </c>
      <c r="P1178" s="10">
        <f t="shared" si="2"/>
        <v>0</v>
      </c>
      <c r="Q1178" s="12">
        <f t="shared" si="3"/>
        <v>9777353</v>
      </c>
      <c r="R1178" s="14">
        <v>2009.0</v>
      </c>
      <c r="S1178" s="14">
        <v>7.8</v>
      </c>
    </row>
    <row r="1179" ht="15.75" customHeight="1">
      <c r="A1179" s="25" t="s">
        <v>4262</v>
      </c>
      <c r="B1179" s="8" t="str">
        <f>IFERROR(__xludf.DUMMYFUNCTION("REGEXREPLACE(A1179, ""[^0-9a-zA-Z .'Ã]"","""")"),"Jason Eisener")</f>
        <v>Jason Eisener</v>
      </c>
      <c r="C1179" s="26">
        <v>272.0</v>
      </c>
      <c r="D1179" s="27">
        <v>703002.0</v>
      </c>
      <c r="E1179" s="26" t="s">
        <v>4263</v>
      </c>
      <c r="F1179" s="9">
        <f t="shared" si="1"/>
        <v>3</v>
      </c>
      <c r="G1179" s="26" t="s">
        <v>3864</v>
      </c>
      <c r="H1179" s="11" t="str">
        <f>IFERROR(__xludf.DUMMYFUNCTION("REGEXREPLACE(G1179, ""[^0-9a-zA-Z .'Ã]"","""")"),"Gregory Smith")</f>
        <v>Gregory Smith</v>
      </c>
      <c r="I1179" s="28" t="s">
        <v>4264</v>
      </c>
      <c r="J1179" s="26">
        <v>37495.0</v>
      </c>
      <c r="K1179" s="26" t="s">
        <v>4265</v>
      </c>
      <c r="L1179" s="26">
        <v>230.0</v>
      </c>
      <c r="M1179" s="26" t="s">
        <v>24</v>
      </c>
      <c r="N1179" s="26" t="s">
        <v>624</v>
      </c>
      <c r="O1179" s="27">
        <v>3000000.0</v>
      </c>
      <c r="P1179" s="10">
        <f t="shared" si="2"/>
        <v>0</v>
      </c>
      <c r="Q1179" s="12">
        <f t="shared" si="3"/>
        <v>2296998</v>
      </c>
      <c r="R1179" s="26">
        <v>2011.0</v>
      </c>
      <c r="S1179" s="26">
        <v>6.1</v>
      </c>
    </row>
    <row r="1180" ht="15.75" customHeight="1">
      <c r="A1180" s="7" t="s">
        <v>1391</v>
      </c>
      <c r="B1180" s="8" t="str">
        <f>IFERROR(__xludf.DUMMYFUNCTION("REGEXREPLACE(A1180, ""[^0-9a-zA-Z .'Ã]"","""")"),"Kevin Reynolds")</f>
        <v>Kevin Reynolds</v>
      </c>
      <c r="C1180" s="9">
        <v>122.0</v>
      </c>
      <c r="D1180" s="10">
        <v>3.6874745E7</v>
      </c>
      <c r="E1180" s="9" t="s">
        <v>4266</v>
      </c>
      <c r="F1180" s="9">
        <f t="shared" si="1"/>
        <v>4</v>
      </c>
      <c r="G1180" s="9" t="s">
        <v>4267</v>
      </c>
      <c r="H1180" s="11" t="str">
        <f>IFERROR(__xludf.DUMMYFUNCTION("REGEXREPLACE(G1180, ""[^0-9a-zA-Z .'Ã]"","""")"),"Peter Firth")</f>
        <v>Peter Firth</v>
      </c>
      <c r="I1180" s="11" t="s">
        <v>4268</v>
      </c>
      <c r="J1180" s="9">
        <v>12276.0</v>
      </c>
      <c r="K1180" s="9" t="s">
        <v>4269</v>
      </c>
      <c r="L1180" s="9">
        <v>117.0</v>
      </c>
      <c r="M1180" s="9" t="s">
        <v>24</v>
      </c>
      <c r="N1180" s="9" t="s">
        <v>25</v>
      </c>
      <c r="O1180" s="10">
        <v>2.0E7</v>
      </c>
      <c r="P1180" s="10">
        <f t="shared" si="2"/>
        <v>16874745</v>
      </c>
      <c r="Q1180" s="12">
        <f t="shared" si="3"/>
        <v>0</v>
      </c>
      <c r="R1180" s="9">
        <v>2016.0</v>
      </c>
      <c r="S1180" s="9">
        <v>6.3</v>
      </c>
    </row>
    <row r="1181" ht="15.75" customHeight="1">
      <c r="A1181" s="17" t="s">
        <v>2409</v>
      </c>
      <c r="B1181" s="8" t="str">
        <f>IFERROR(__xludf.DUMMYFUNCTION("REGEXREPLACE(A1181, ""[^0-9a-zA-Z .'Ã]"","""")"),"Stephen Frears")</f>
        <v>Stephen Frears</v>
      </c>
      <c r="C1181" s="18">
        <v>280.0</v>
      </c>
      <c r="D1181" s="19">
        <v>5.6437947E7</v>
      </c>
      <c r="E1181" s="18" t="s">
        <v>359</v>
      </c>
      <c r="F1181" s="9">
        <f t="shared" si="1"/>
        <v>2</v>
      </c>
      <c r="G1181" s="18" t="s">
        <v>4270</v>
      </c>
      <c r="H1181" s="11" t="str">
        <f>IFERROR(__xludf.DUMMYFUNCTION("REGEXREPLACE(G1181, ""[^0-9a-zA-Z .'Ã]"","""")"),"Roger Allam")</f>
        <v>Roger Allam</v>
      </c>
      <c r="I1181" s="20" t="s">
        <v>4271</v>
      </c>
      <c r="J1181" s="18">
        <v>85333.0</v>
      </c>
      <c r="K1181" s="18" t="s">
        <v>4272</v>
      </c>
      <c r="L1181" s="18">
        <v>421.0</v>
      </c>
      <c r="M1181" s="18" t="s">
        <v>24</v>
      </c>
      <c r="N1181" s="18" t="s">
        <v>130</v>
      </c>
      <c r="O1181" s="19">
        <v>9800000.0</v>
      </c>
      <c r="P1181" s="10">
        <f t="shared" si="2"/>
        <v>46637947</v>
      </c>
      <c r="Q1181" s="12">
        <f t="shared" si="3"/>
        <v>0</v>
      </c>
      <c r="R1181" s="18">
        <v>2006.0</v>
      </c>
      <c r="S1181" s="18">
        <v>7.3</v>
      </c>
    </row>
    <row r="1182" ht="15.75" customHeight="1">
      <c r="A1182" s="25" t="s">
        <v>4273</v>
      </c>
      <c r="B1182" s="8" t="str">
        <f>IFERROR(__xludf.DUMMYFUNCTION("REGEXREPLACE(A1182, ""[^0-9a-zA-Z .'Ã]"","""")"),"Peyton Reed")</f>
        <v>Peyton Reed</v>
      </c>
      <c r="C1182" s="26">
        <v>517.0</v>
      </c>
      <c r="D1182" s="27">
        <v>1.80191634E8</v>
      </c>
      <c r="E1182" s="26" t="s">
        <v>1387</v>
      </c>
      <c r="F1182" s="9">
        <f t="shared" si="1"/>
        <v>4</v>
      </c>
      <c r="G1182" s="26" t="s">
        <v>642</v>
      </c>
      <c r="H1182" s="11" t="str">
        <f>IFERROR(__xludf.DUMMYFUNCTION("REGEXREPLACE(G1182, ""[^0-9a-zA-Z .'Ã]"","""")"),"Judy Greer")</f>
        <v>Judy Greer</v>
      </c>
      <c r="I1182" s="28" t="s">
        <v>4274</v>
      </c>
      <c r="J1182" s="26">
        <v>313866.0</v>
      </c>
      <c r="K1182" s="26" t="s">
        <v>4275</v>
      </c>
      <c r="L1182" s="26">
        <v>549.0</v>
      </c>
      <c r="M1182" s="26" t="s">
        <v>24</v>
      </c>
      <c r="N1182" s="26" t="s">
        <v>25</v>
      </c>
      <c r="O1182" s="27">
        <v>1.3E8</v>
      </c>
      <c r="P1182" s="10">
        <f t="shared" si="2"/>
        <v>50191634</v>
      </c>
      <c r="Q1182" s="12">
        <f t="shared" si="3"/>
        <v>0</v>
      </c>
      <c r="R1182" s="26">
        <v>2015.0</v>
      </c>
      <c r="S1182" s="26">
        <v>7.4</v>
      </c>
    </row>
    <row r="1183" ht="15.75" customHeight="1">
      <c r="A1183" s="17" t="s">
        <v>3529</v>
      </c>
      <c r="B1183" s="8" t="str">
        <f>IFERROR(__xludf.DUMMYFUNCTION("REGEXREPLACE(A1183, ""[^0-9a-zA-Z .'Ã]"","""")"),"Mark Rosman")</f>
        <v>Mark Rosman</v>
      </c>
      <c r="C1183" s="18">
        <v>69.0</v>
      </c>
      <c r="D1183" s="19">
        <v>5.143116E7</v>
      </c>
      <c r="E1183" s="18" t="s">
        <v>289</v>
      </c>
      <c r="F1183" s="9">
        <f t="shared" si="1"/>
        <v>3</v>
      </c>
      <c r="G1183" s="18" t="s">
        <v>4276</v>
      </c>
      <c r="H1183" s="11" t="str">
        <f>IFERROR(__xludf.DUMMYFUNCTION("REGEXREPLACE(G1183, ""[^0-9a-zA-Z .'Ã]"","""")"),"Dan Byrd")</f>
        <v>Dan Byrd</v>
      </c>
      <c r="I1183" s="20" t="s">
        <v>4277</v>
      </c>
      <c r="J1183" s="18">
        <v>62861.0</v>
      </c>
      <c r="K1183" s="18" t="s">
        <v>4278</v>
      </c>
      <c r="L1183" s="18">
        <v>232.0</v>
      </c>
      <c r="M1183" s="18" t="s">
        <v>24</v>
      </c>
      <c r="N1183" s="18" t="s">
        <v>25</v>
      </c>
      <c r="O1183" s="19">
        <v>2.0E7</v>
      </c>
      <c r="P1183" s="10">
        <f t="shared" si="2"/>
        <v>31431160</v>
      </c>
      <c r="Q1183" s="12">
        <f t="shared" si="3"/>
        <v>0</v>
      </c>
      <c r="R1183" s="18">
        <v>2004.0</v>
      </c>
      <c r="S1183" s="18">
        <v>5.9</v>
      </c>
    </row>
    <row r="1184" ht="15.75" customHeight="1">
      <c r="A1184" s="13" t="s">
        <v>315</v>
      </c>
      <c r="B1184" s="8" t="str">
        <f>IFERROR(__xludf.DUMMYFUNCTION("REGEXREPLACE(A1184, ""[^0-9a-zA-Z .'Ã]"","""")"),"Steven Soderbergh")</f>
        <v>Steven Soderbergh</v>
      </c>
      <c r="C1184" s="14">
        <v>394.0</v>
      </c>
      <c r="D1184" s="15">
        <v>1.8934858E7</v>
      </c>
      <c r="E1184" s="14" t="s">
        <v>1096</v>
      </c>
      <c r="F1184" s="9">
        <f t="shared" si="1"/>
        <v>2</v>
      </c>
      <c r="G1184" s="14" t="s">
        <v>176</v>
      </c>
      <c r="H1184" s="11" t="str">
        <f>IFERROR(__xludf.DUMMYFUNCTION("REGEXREPLACE(G1184, ""[^0-9a-zA-Z .'Ã]"","""")"),"Channing Tatum")</f>
        <v>Channing Tatum</v>
      </c>
      <c r="I1184" s="16" t="s">
        <v>4279</v>
      </c>
      <c r="J1184" s="14">
        <v>72646.0</v>
      </c>
      <c r="K1184" s="14" t="s">
        <v>4280</v>
      </c>
      <c r="L1184" s="14">
        <v>397.0</v>
      </c>
      <c r="M1184" s="14" t="s">
        <v>24</v>
      </c>
      <c r="N1184" s="14" t="s">
        <v>593</v>
      </c>
      <c r="O1184" s="15">
        <v>2.3E7</v>
      </c>
      <c r="P1184" s="10">
        <f t="shared" si="2"/>
        <v>0</v>
      </c>
      <c r="Q1184" s="12">
        <f t="shared" si="3"/>
        <v>4065142</v>
      </c>
      <c r="R1184" s="14">
        <v>2011.0</v>
      </c>
      <c r="S1184" s="14">
        <v>5.8</v>
      </c>
    </row>
    <row r="1185" ht="15.75" customHeight="1">
      <c r="A1185" s="7" t="s">
        <v>2997</v>
      </c>
      <c r="B1185" s="8" t="str">
        <f>IFERROR(__xludf.DUMMYFUNCTION("REGEXREPLACE(A1185, ""[^0-9a-zA-Z .'Ã]"","""")"),"Chris Columbus")</f>
        <v>Chris Columbus</v>
      </c>
      <c r="C1185" s="9">
        <v>93.0</v>
      </c>
      <c r="D1185" s="10">
        <v>5.8220776E7</v>
      </c>
      <c r="E1185" s="9" t="s">
        <v>2112</v>
      </c>
      <c r="F1185" s="9">
        <f t="shared" si="1"/>
        <v>3</v>
      </c>
      <c r="G1185" s="9" t="s">
        <v>673</v>
      </c>
      <c r="H1185" s="11" t="str">
        <f>IFERROR(__xludf.DUMMYFUNCTION("REGEXREPLACE(G1185, ""[^0-9a-zA-Z .'Ã]"","""")"),"Robin Williams")</f>
        <v>Robin Williams</v>
      </c>
      <c r="I1185" s="11" t="s">
        <v>4281</v>
      </c>
      <c r="J1185" s="9">
        <v>87785.0</v>
      </c>
      <c r="K1185" s="9" t="s">
        <v>4282</v>
      </c>
      <c r="L1185" s="9">
        <v>362.0</v>
      </c>
      <c r="M1185" s="9" t="s">
        <v>24</v>
      </c>
      <c r="N1185" s="9" t="s">
        <v>25</v>
      </c>
      <c r="O1185" s="10">
        <v>1.0E8</v>
      </c>
      <c r="P1185" s="10">
        <f t="shared" si="2"/>
        <v>0</v>
      </c>
      <c r="Q1185" s="12">
        <f t="shared" si="3"/>
        <v>41779224</v>
      </c>
      <c r="R1185" s="9">
        <v>1999.0</v>
      </c>
      <c r="S1185" s="9">
        <v>6.8</v>
      </c>
    </row>
    <row r="1186" ht="15.75" customHeight="1">
      <c r="A1186" s="21" t="s">
        <v>2838</v>
      </c>
      <c r="B1186" s="8" t="str">
        <f>IFERROR(__xludf.DUMMYFUNCTION("REGEXREPLACE(A1186, ""[^0-9a-zA-Z .'Ã]"","""")"),"Lawrence Kasdan")</f>
        <v>Lawrence Kasdan</v>
      </c>
      <c r="C1186" s="22">
        <v>65.0</v>
      </c>
      <c r="D1186" s="23">
        <v>4554569.0</v>
      </c>
      <c r="E1186" s="22" t="s">
        <v>454</v>
      </c>
      <c r="F1186" s="9">
        <f t="shared" si="1"/>
        <v>2</v>
      </c>
      <c r="G1186" s="22" t="s">
        <v>3033</v>
      </c>
      <c r="H1186" s="11" t="str">
        <f>IFERROR(__xludf.DUMMYFUNCTION("REGEXREPLACE(G1186, ""[^0-9a-zA-Z .'Ã]"","""")"),"Zooey Deschanel")</f>
        <v>Zooey Deschanel</v>
      </c>
      <c r="I1186" s="24" t="s">
        <v>4283</v>
      </c>
      <c r="J1186" s="22">
        <v>8134.0</v>
      </c>
      <c r="K1186" s="22" t="s">
        <v>4284</v>
      </c>
      <c r="L1186" s="22">
        <v>123.0</v>
      </c>
      <c r="M1186" s="22" t="s">
        <v>24</v>
      </c>
      <c r="N1186" s="22" t="s">
        <v>25</v>
      </c>
      <c r="O1186" s="23">
        <v>2.8E7</v>
      </c>
      <c r="P1186" s="10">
        <f t="shared" si="2"/>
        <v>0</v>
      </c>
      <c r="Q1186" s="12">
        <f t="shared" si="3"/>
        <v>23445431</v>
      </c>
      <c r="R1186" s="22">
        <v>1999.0</v>
      </c>
      <c r="S1186" s="22">
        <v>6.9</v>
      </c>
    </row>
    <row r="1187" ht="15.75" customHeight="1">
      <c r="A1187" s="7" t="s">
        <v>4285</v>
      </c>
      <c r="B1187" s="8" t="str">
        <f>IFERROR(__xludf.DUMMYFUNCTION("REGEXREPLACE(A1187, ""[^0-9a-zA-Z .'Ã]"","""")"),"Jay Duplass")</f>
        <v>Jay Duplass</v>
      </c>
      <c r="C1187" s="9">
        <v>223.0</v>
      </c>
      <c r="D1187" s="10">
        <v>7455447.0</v>
      </c>
      <c r="E1187" s="9" t="s">
        <v>159</v>
      </c>
      <c r="F1187" s="9">
        <f t="shared" si="1"/>
        <v>3</v>
      </c>
      <c r="G1187" s="9" t="s">
        <v>3172</v>
      </c>
      <c r="H1187" s="11" t="str">
        <f>IFERROR(__xludf.DUMMYFUNCTION("REGEXREPLACE(G1187, ""[^0-9a-zA-Z .'Ã]"","""")"),"Matt Walsh")</f>
        <v>Matt Walsh</v>
      </c>
      <c r="I1187" s="11" t="s">
        <v>4286</v>
      </c>
      <c r="J1187" s="9">
        <v>29967.0</v>
      </c>
      <c r="K1187" s="9" t="s">
        <v>4287</v>
      </c>
      <c r="L1187" s="9">
        <v>126.0</v>
      </c>
      <c r="M1187" s="9" t="s">
        <v>24</v>
      </c>
      <c r="N1187" s="9" t="s">
        <v>25</v>
      </c>
      <c r="O1187" s="10">
        <v>7000000.0</v>
      </c>
      <c r="P1187" s="10">
        <f t="shared" si="2"/>
        <v>455447</v>
      </c>
      <c r="Q1187" s="12">
        <f t="shared" si="3"/>
        <v>0</v>
      </c>
      <c r="R1187" s="9">
        <v>2010.0</v>
      </c>
      <c r="S1187" s="9">
        <v>6.3</v>
      </c>
    </row>
    <row r="1188" ht="15.75" customHeight="1">
      <c r="A1188" s="7" t="s">
        <v>1655</v>
      </c>
      <c r="B1188" s="8" t="str">
        <f>IFERROR(__xludf.DUMMYFUNCTION("REGEXREPLACE(A1188, ""[^0-9a-zA-Z .'Ã]"","""")"),"Francis Ford Coppola")</f>
        <v>Francis Ford Coppola</v>
      </c>
      <c r="C1188" s="9">
        <v>91.0</v>
      </c>
      <c r="D1188" s="10">
        <v>4.5856732E7</v>
      </c>
      <c r="E1188" s="9" t="s">
        <v>113</v>
      </c>
      <c r="F1188" s="9">
        <f t="shared" si="1"/>
        <v>3</v>
      </c>
      <c r="G1188" s="9" t="s">
        <v>585</v>
      </c>
      <c r="H1188" s="11" t="str">
        <f>IFERROR(__xludf.DUMMYFUNCTION("REGEXREPLACE(G1188, ""[^0-9a-zA-Z .'Ã]"","""")"),"Matt Damon")</f>
        <v>Matt Damon</v>
      </c>
      <c r="I1188" s="11" t="s">
        <v>4288</v>
      </c>
      <c r="J1188" s="9">
        <v>46221.0</v>
      </c>
      <c r="K1188" s="9" t="s">
        <v>4289</v>
      </c>
      <c r="L1188" s="9">
        <v>141.0</v>
      </c>
      <c r="M1188" s="9" t="s">
        <v>24</v>
      </c>
      <c r="N1188" s="9" t="s">
        <v>25</v>
      </c>
      <c r="O1188" s="10">
        <v>4.0E7</v>
      </c>
      <c r="P1188" s="10">
        <f t="shared" si="2"/>
        <v>5856732</v>
      </c>
      <c r="Q1188" s="12">
        <f t="shared" si="3"/>
        <v>0</v>
      </c>
      <c r="R1188" s="9">
        <v>1997.0</v>
      </c>
      <c r="S1188" s="9">
        <v>7.1</v>
      </c>
    </row>
    <row r="1189" ht="15.75" customHeight="1">
      <c r="A1189" s="21" t="s">
        <v>4290</v>
      </c>
      <c r="B1189" s="8" t="str">
        <f>IFERROR(__xludf.DUMMYFUNCTION("REGEXREPLACE(A1189, ""[^0-9a-zA-Z .'Ã]"","""")"),"Jill Sprecher")</f>
        <v>Jill Sprecher</v>
      </c>
      <c r="C1189" s="22">
        <v>79.0</v>
      </c>
      <c r="D1189" s="23">
        <v>3287435.0</v>
      </c>
      <c r="E1189" s="22" t="s">
        <v>103</v>
      </c>
      <c r="F1189" s="9">
        <f t="shared" si="1"/>
        <v>1</v>
      </c>
      <c r="G1189" s="22" t="s">
        <v>80</v>
      </c>
      <c r="H1189" s="11" t="str">
        <f>IFERROR(__xludf.DUMMYFUNCTION("REGEXREPLACE(G1189, ""[^0-9a-zA-Z .'Ã]"","""")"),"Matthew McConaughey")</f>
        <v>Matthew McConaughey</v>
      </c>
      <c r="I1189" s="24" t="s">
        <v>4291</v>
      </c>
      <c r="J1189" s="22">
        <v>8603.0</v>
      </c>
      <c r="K1189" s="22" t="s">
        <v>4292</v>
      </c>
      <c r="L1189" s="22">
        <v>115.0</v>
      </c>
      <c r="M1189" s="22" t="s">
        <v>24</v>
      </c>
      <c r="N1189" s="22" t="s">
        <v>25</v>
      </c>
      <c r="O1189" s="23">
        <v>4500000.0</v>
      </c>
      <c r="P1189" s="10">
        <f t="shared" si="2"/>
        <v>0</v>
      </c>
      <c r="Q1189" s="12">
        <f t="shared" si="3"/>
        <v>1212565</v>
      </c>
      <c r="R1189" s="22">
        <v>2001.0</v>
      </c>
      <c r="S1189" s="22">
        <v>7.1</v>
      </c>
    </row>
    <row r="1190" ht="15.75" customHeight="1">
      <c r="A1190" s="29" t="s">
        <v>4293</v>
      </c>
      <c r="B1190" s="8" t="str">
        <f>IFERROR(__xludf.DUMMYFUNCTION("REGEXREPLACE(A1190, ""[^0-9a-zA-Z .'Ã]"","""")"),"Daniel Sackheim")</f>
        <v>Daniel Sackheim</v>
      </c>
      <c r="C1190" s="30">
        <v>95.0</v>
      </c>
      <c r="D1190" s="31">
        <v>1.7951431E7</v>
      </c>
      <c r="E1190" s="30" t="s">
        <v>435</v>
      </c>
      <c r="F1190" s="9">
        <f t="shared" si="1"/>
        <v>4</v>
      </c>
      <c r="G1190" s="30" t="s">
        <v>4294</v>
      </c>
      <c r="H1190" s="11" t="str">
        <f>IFERROR(__xludf.DUMMYFUNCTION("REGEXREPLACE(G1190, ""[^0-9a-zA-Z .'Ã]"","""")"),"Chris Noth")</f>
        <v>Chris Noth</v>
      </c>
      <c r="I1190" s="32" t="s">
        <v>4295</v>
      </c>
      <c r="J1190" s="30">
        <v>25462.0</v>
      </c>
      <c r="K1190" s="30" t="s">
        <v>4296</v>
      </c>
      <c r="L1190" s="30">
        <v>200.0</v>
      </c>
      <c r="M1190" s="30" t="s">
        <v>24</v>
      </c>
      <c r="N1190" s="30" t="s">
        <v>25</v>
      </c>
      <c r="O1190" s="31">
        <v>3.0E7</v>
      </c>
      <c r="P1190" s="10">
        <f t="shared" si="2"/>
        <v>0</v>
      </c>
      <c r="Q1190" s="12">
        <f t="shared" si="3"/>
        <v>12048569</v>
      </c>
      <c r="R1190" s="30">
        <v>2001.0</v>
      </c>
      <c r="S1190" s="30">
        <v>5.8</v>
      </c>
    </row>
    <row r="1191" ht="15.75" customHeight="1">
      <c r="A1191" s="7" t="s">
        <v>767</v>
      </c>
      <c r="B1191" s="8" t="str">
        <f>IFERROR(__xludf.DUMMYFUNCTION("REGEXREPLACE(A1191, ""[^0-9a-zA-Z .'Ã]"","""")"),"Mike Binder")</f>
        <v>Mike Binder</v>
      </c>
      <c r="C1191" s="9">
        <v>91.0</v>
      </c>
      <c r="D1191" s="10">
        <v>2.1569041E7</v>
      </c>
      <c r="E1191" s="9" t="s">
        <v>103</v>
      </c>
      <c r="F1191" s="9">
        <f t="shared" si="1"/>
        <v>1</v>
      </c>
      <c r="G1191" s="9" t="s">
        <v>4297</v>
      </c>
      <c r="H1191" s="11" t="str">
        <f>IFERROR(__xludf.DUMMYFUNCTION("REGEXREPLACE(G1191, ""[^0-9a-zA-Z .'Ã]"","""")"),"Jennifer Ehle")</f>
        <v>Jennifer Ehle</v>
      </c>
      <c r="I1191" s="11" t="s">
        <v>4298</v>
      </c>
      <c r="J1191" s="9">
        <v>8058.0</v>
      </c>
      <c r="K1191" s="9" t="s">
        <v>4299</v>
      </c>
      <c r="L1191" s="9">
        <v>57.0</v>
      </c>
      <c r="M1191" s="9" t="s">
        <v>24</v>
      </c>
      <c r="N1191" s="9" t="s">
        <v>25</v>
      </c>
      <c r="O1191" s="10">
        <v>9000000.0</v>
      </c>
      <c r="P1191" s="10">
        <f t="shared" si="2"/>
        <v>12569041</v>
      </c>
      <c r="Q1191" s="12">
        <f t="shared" si="3"/>
        <v>0</v>
      </c>
      <c r="R1191" s="9">
        <v>2014.0</v>
      </c>
      <c r="S1191" s="9">
        <v>6.6</v>
      </c>
    </row>
    <row r="1192" ht="15.75" customHeight="1">
      <c r="A1192" s="13" t="s">
        <v>4300</v>
      </c>
      <c r="B1192" s="8" t="str">
        <f>IFERROR(__xludf.DUMMYFUNCTION("REGEXREPLACE(A1192, ""[^0-9a-zA-Z .'Ã]"","""")"),"Robert Iscove")</f>
        <v>Robert Iscove</v>
      </c>
      <c r="C1192" s="14">
        <v>96.0</v>
      </c>
      <c r="D1192" s="15">
        <v>6.3319509E7</v>
      </c>
      <c r="E1192" s="14" t="s">
        <v>89</v>
      </c>
      <c r="F1192" s="9">
        <f t="shared" si="1"/>
        <v>2</v>
      </c>
      <c r="G1192" s="14" t="s">
        <v>802</v>
      </c>
      <c r="H1192" s="11" t="str">
        <f>IFERROR(__xludf.DUMMYFUNCTION("REGEXREPLACE(G1192, ""[^0-9a-zA-Z .'Ã]"","""")"),"Paul Walker")</f>
        <v>Paul Walker</v>
      </c>
      <c r="I1192" s="16" t="s">
        <v>4301</v>
      </c>
      <c r="J1192" s="14">
        <v>67115.0</v>
      </c>
      <c r="K1192" s="14" t="s">
        <v>4302</v>
      </c>
      <c r="L1192" s="14">
        <v>389.0</v>
      </c>
      <c r="M1192" s="14" t="s">
        <v>24</v>
      </c>
      <c r="N1192" s="14" t="s">
        <v>25</v>
      </c>
      <c r="O1192" s="15">
        <v>1.0E7</v>
      </c>
      <c r="P1192" s="10">
        <f t="shared" si="2"/>
        <v>53319509</v>
      </c>
      <c r="Q1192" s="12">
        <f t="shared" si="3"/>
        <v>0</v>
      </c>
      <c r="R1192" s="14">
        <v>1999.0</v>
      </c>
      <c r="S1192" s="14">
        <v>5.8</v>
      </c>
    </row>
    <row r="1193" ht="15.75" customHeight="1">
      <c r="A1193" s="17" t="s">
        <v>4303</v>
      </c>
      <c r="B1193" s="8" t="str">
        <f>IFERROR(__xludf.DUMMYFUNCTION("REGEXREPLACE(A1193, ""[^0-9a-zA-Z .'Ã]"","""")"),"Martin Lawrence")</f>
        <v>Martin Lawrence</v>
      </c>
      <c r="C1193" s="18">
        <v>11.0</v>
      </c>
      <c r="D1193" s="19">
        <v>3.4746109E7</v>
      </c>
      <c r="E1193" s="18" t="s">
        <v>3963</v>
      </c>
      <c r="F1193" s="9">
        <f t="shared" si="1"/>
        <v>5</v>
      </c>
      <c r="G1193" s="18" t="s">
        <v>4304</v>
      </c>
      <c r="H1193" s="11" t="str">
        <f>IFERROR(__xludf.DUMMYFUNCTION("REGEXREPLACE(G1193, ""[^0-9a-zA-Z .'Ã]"","""")"),"Faizon Love")</f>
        <v>Faizon Love</v>
      </c>
      <c r="I1193" s="20" t="s">
        <v>4305</v>
      </c>
      <c r="J1193" s="18">
        <v>3122.0</v>
      </c>
      <c r="K1193" s="18" t="s">
        <v>4306</v>
      </c>
      <c r="L1193" s="18">
        <v>14.0</v>
      </c>
      <c r="M1193" s="18" t="s">
        <v>24</v>
      </c>
      <c r="N1193" s="18" t="s">
        <v>25</v>
      </c>
      <c r="O1193" s="19">
        <v>8000000.0</v>
      </c>
      <c r="P1193" s="10">
        <f t="shared" si="2"/>
        <v>26746109</v>
      </c>
      <c r="Q1193" s="12">
        <f t="shared" si="3"/>
        <v>0</v>
      </c>
      <c r="R1193" s="18">
        <v>1996.0</v>
      </c>
      <c r="S1193" s="18">
        <v>5.6</v>
      </c>
    </row>
    <row r="1194" ht="15.75" customHeight="1">
      <c r="A1194" s="7" t="s">
        <v>4307</v>
      </c>
      <c r="B1194" s="8" t="str">
        <f>IFERROR(__xludf.DUMMYFUNCTION("REGEXREPLACE(A1194, ""[^0-9a-zA-Z .'Ã]"","""")"),"Scott Cooper")</f>
        <v>Scott Cooper</v>
      </c>
      <c r="C1194" s="9">
        <v>273.0</v>
      </c>
      <c r="D1194" s="10">
        <v>3.9462438E7</v>
      </c>
      <c r="E1194" s="9" t="s">
        <v>734</v>
      </c>
      <c r="F1194" s="9">
        <f t="shared" si="1"/>
        <v>3</v>
      </c>
      <c r="G1194" s="9" t="s">
        <v>1400</v>
      </c>
      <c r="H1194" s="11" t="str">
        <f>IFERROR(__xludf.DUMMYFUNCTION("REGEXREPLACE(G1194, ""[^0-9a-zA-Z .'Ã]"","""")"),"Jeff Bridges")</f>
        <v>Jeff Bridges</v>
      </c>
      <c r="I1194" s="11" t="s">
        <v>4308</v>
      </c>
      <c r="J1194" s="9">
        <v>67760.0</v>
      </c>
      <c r="K1194" s="9" t="s">
        <v>4309</v>
      </c>
      <c r="L1194" s="9">
        <v>226.0</v>
      </c>
      <c r="M1194" s="9" t="s">
        <v>24</v>
      </c>
      <c r="N1194" s="9" t="s">
        <v>25</v>
      </c>
      <c r="O1194" s="10">
        <v>7000000.0</v>
      </c>
      <c r="P1194" s="10">
        <f t="shared" si="2"/>
        <v>32462438</v>
      </c>
      <c r="Q1194" s="12">
        <f t="shared" si="3"/>
        <v>0</v>
      </c>
      <c r="R1194" s="9">
        <v>2009.0</v>
      </c>
      <c r="S1194" s="9">
        <v>7.3</v>
      </c>
    </row>
    <row r="1195" ht="15.75" customHeight="1">
      <c r="A1195" s="13" t="s">
        <v>4041</v>
      </c>
      <c r="B1195" s="8" t="str">
        <f>IFERROR(__xludf.DUMMYFUNCTION("REGEXREPLACE(A1195, ""[^0-9a-zA-Z .'Ã]"","""")"),"Catherine Hardwicke")</f>
        <v>Catherine Hardwicke</v>
      </c>
      <c r="C1195" s="14">
        <v>291.0</v>
      </c>
      <c r="D1195" s="15">
        <v>3.7652565E7</v>
      </c>
      <c r="E1195" s="14" t="s">
        <v>819</v>
      </c>
      <c r="F1195" s="9">
        <f t="shared" si="1"/>
        <v>4</v>
      </c>
      <c r="G1195" s="14" t="s">
        <v>772</v>
      </c>
      <c r="H1195" s="11" t="str">
        <f>IFERROR(__xludf.DUMMYFUNCTION("REGEXREPLACE(G1195, ""[^0-9a-zA-Z .'Ã]"","""")"),"Gary Oldman")</f>
        <v>Gary Oldman</v>
      </c>
      <c r="I1195" s="16" t="s">
        <v>4310</v>
      </c>
      <c r="J1195" s="14">
        <v>91151.0</v>
      </c>
      <c r="K1195" s="14" t="s">
        <v>4311</v>
      </c>
      <c r="L1195" s="14">
        <v>283.0</v>
      </c>
      <c r="M1195" s="14" t="s">
        <v>24</v>
      </c>
      <c r="N1195" s="14" t="s">
        <v>25</v>
      </c>
      <c r="O1195" s="15">
        <v>4.2E7</v>
      </c>
      <c r="P1195" s="10">
        <f t="shared" si="2"/>
        <v>0</v>
      </c>
      <c r="Q1195" s="12">
        <f t="shared" si="3"/>
        <v>4347435</v>
      </c>
      <c r="R1195" s="14">
        <v>2011.0</v>
      </c>
      <c r="S1195" s="14">
        <v>5.4</v>
      </c>
    </row>
    <row r="1196" ht="15.75" customHeight="1">
      <c r="A1196" s="21" t="s">
        <v>439</v>
      </c>
      <c r="B1196" s="8" t="str">
        <f>IFERROR(__xludf.DUMMYFUNCTION("REGEXREPLACE(A1196, ""[^0-9a-zA-Z .'Ã]"","""")"),"Jay Roach")</f>
        <v>Jay Roach</v>
      </c>
      <c r="C1196" s="22">
        <v>194.0</v>
      </c>
      <c r="D1196" s="23">
        <v>2.13079163E8</v>
      </c>
      <c r="E1196" s="22" t="s">
        <v>265</v>
      </c>
      <c r="F1196" s="9">
        <f t="shared" si="1"/>
        <v>3</v>
      </c>
      <c r="G1196" s="22" t="s">
        <v>4312</v>
      </c>
      <c r="H1196" s="11" t="str">
        <f>IFERROR(__xludf.DUMMYFUNCTION("REGEXREPLACE(G1196, ""[^0-9a-zA-Z .'Ã]"","""")"),"Verne Troyer")</f>
        <v>Verne Troyer</v>
      </c>
      <c r="I1196" s="24" t="s">
        <v>4313</v>
      </c>
      <c r="J1196" s="22">
        <v>162909.0</v>
      </c>
      <c r="K1196" s="22" t="s">
        <v>4314</v>
      </c>
      <c r="L1196" s="22">
        <v>795.0</v>
      </c>
      <c r="M1196" s="22" t="s">
        <v>24</v>
      </c>
      <c r="N1196" s="22" t="s">
        <v>25</v>
      </c>
      <c r="O1196" s="23">
        <v>6.3E7</v>
      </c>
      <c r="P1196" s="10">
        <f t="shared" si="2"/>
        <v>150079163</v>
      </c>
      <c r="Q1196" s="12">
        <f t="shared" si="3"/>
        <v>0</v>
      </c>
      <c r="R1196" s="22">
        <v>2002.0</v>
      </c>
      <c r="S1196" s="22">
        <v>6.2</v>
      </c>
    </row>
    <row r="1197" ht="15.75" customHeight="1">
      <c r="A1197" s="7" t="s">
        <v>4315</v>
      </c>
      <c r="B1197" s="8" t="str">
        <f>IFERROR(__xludf.DUMMYFUNCTION("REGEXREPLACE(A1197, ""[^0-9a-zA-Z .'Ã]"","""")"),"Ralph Ziman")</f>
        <v>Ralph Ziman</v>
      </c>
      <c r="C1197" s="9">
        <v>30.0</v>
      </c>
      <c r="D1197" s="10">
        <v>4958.0</v>
      </c>
      <c r="E1197" s="9" t="s">
        <v>978</v>
      </c>
      <c r="F1197" s="9">
        <f t="shared" si="1"/>
        <v>3</v>
      </c>
      <c r="G1197" s="9" t="s">
        <v>4316</v>
      </c>
      <c r="H1197" s="11" t="str">
        <f>IFERROR(__xludf.DUMMYFUNCTION("REGEXREPLACE(G1197, ""[^0-9a-zA-Z .'Ã]"","""")"),"Rapulana Seiphemo")</f>
        <v>Rapulana Seiphemo</v>
      </c>
      <c r="I1197" s="11" t="s">
        <v>4317</v>
      </c>
      <c r="J1197" s="9">
        <v>9689.0</v>
      </c>
      <c r="K1197" s="9" t="s">
        <v>4318</v>
      </c>
      <c r="L1197" s="9">
        <v>23.0</v>
      </c>
      <c r="M1197" s="9" t="s">
        <v>24</v>
      </c>
      <c r="N1197" s="9" t="s">
        <v>4319</v>
      </c>
      <c r="O1197" s="10">
        <v>2000000.0</v>
      </c>
      <c r="P1197" s="10">
        <f t="shared" si="2"/>
        <v>0</v>
      </c>
      <c r="Q1197" s="12">
        <f t="shared" si="3"/>
        <v>1995042</v>
      </c>
      <c r="R1197" s="9">
        <v>2008.0</v>
      </c>
      <c r="S1197" s="9">
        <v>7.8</v>
      </c>
    </row>
    <row r="1198" ht="15.75" customHeight="1">
      <c r="A1198" s="25" t="s">
        <v>4320</v>
      </c>
      <c r="B1198" s="8" t="str">
        <f>IFERROR(__xludf.DUMMYFUNCTION("REGEXREPLACE(A1198, ""[^0-9a-zA-Z .'Ã]"","""")"),"Daniel Barber")</f>
        <v>Daniel Barber</v>
      </c>
      <c r="C1198" s="26">
        <v>224.0</v>
      </c>
      <c r="D1198" s="27">
        <v>1818681.0</v>
      </c>
      <c r="E1198" s="26" t="s">
        <v>501</v>
      </c>
      <c r="F1198" s="9">
        <f t="shared" si="1"/>
        <v>4</v>
      </c>
      <c r="G1198" s="26" t="s">
        <v>4321</v>
      </c>
      <c r="H1198" s="11" t="str">
        <f>IFERROR(__xludf.DUMMYFUNCTION("REGEXREPLACE(G1198, ""[^0-9a-zA-Z .'Ã]"","""")"),"Joseph Gilgun")</f>
        <v>Joseph Gilgun</v>
      </c>
      <c r="I1198" s="28" t="s">
        <v>4322</v>
      </c>
      <c r="J1198" s="26">
        <v>74435.0</v>
      </c>
      <c r="K1198" s="26" t="s">
        <v>4323</v>
      </c>
      <c r="L1198" s="26">
        <v>224.0</v>
      </c>
      <c r="M1198" s="26" t="s">
        <v>24</v>
      </c>
      <c r="N1198" s="26" t="s">
        <v>130</v>
      </c>
      <c r="O1198" s="27">
        <v>7300000.0</v>
      </c>
      <c r="P1198" s="10">
        <f t="shared" si="2"/>
        <v>0</v>
      </c>
      <c r="Q1198" s="12">
        <f t="shared" si="3"/>
        <v>5481319</v>
      </c>
      <c r="R1198" s="26">
        <v>2009.0</v>
      </c>
      <c r="S1198" s="26">
        <v>7.2</v>
      </c>
    </row>
    <row r="1199" ht="15.75" customHeight="1">
      <c r="A1199" s="7" t="s">
        <v>532</v>
      </c>
      <c r="B1199" s="8" t="str">
        <f>IFERROR(__xludf.DUMMYFUNCTION("REGEXREPLACE(A1199, ""[^0-9a-zA-Z .'Ã]"","""")"),"Donald Petrie")</f>
        <v>Donald Petrie</v>
      </c>
      <c r="C1199" s="9">
        <v>140.0</v>
      </c>
      <c r="D1199" s="10">
        <v>1.0580752E8</v>
      </c>
      <c r="E1199" s="9" t="s">
        <v>89</v>
      </c>
      <c r="F1199" s="9">
        <f t="shared" si="1"/>
        <v>2</v>
      </c>
      <c r="G1199" s="9" t="s">
        <v>80</v>
      </c>
      <c r="H1199" s="11" t="str">
        <f>IFERROR(__xludf.DUMMYFUNCTION("REGEXREPLACE(G1199, ""[^0-9a-zA-Z .'Ã]"","""")"),"Matthew McConaughey")</f>
        <v>Matthew McConaughey</v>
      </c>
      <c r="I1199" s="11" t="s">
        <v>4324</v>
      </c>
      <c r="J1199" s="9">
        <v>156717.0</v>
      </c>
      <c r="K1199" s="9" t="s">
        <v>4325</v>
      </c>
      <c r="L1199" s="9">
        <v>357.0</v>
      </c>
      <c r="M1199" s="9" t="s">
        <v>24</v>
      </c>
      <c r="N1199" s="9" t="s">
        <v>25</v>
      </c>
      <c r="O1199" s="10">
        <v>5.0E7</v>
      </c>
      <c r="P1199" s="10">
        <f t="shared" si="2"/>
        <v>55807520</v>
      </c>
      <c r="Q1199" s="12">
        <f t="shared" si="3"/>
        <v>0</v>
      </c>
      <c r="R1199" s="9">
        <v>2003.0</v>
      </c>
      <c r="S1199" s="9">
        <v>6.4</v>
      </c>
    </row>
    <row r="1200" ht="15.75" customHeight="1">
      <c r="A1200" s="7" t="s">
        <v>4326</v>
      </c>
      <c r="B1200" s="8" t="str">
        <f>IFERROR(__xludf.DUMMYFUNCTION("REGEXREPLACE(A1200, ""[^0-9a-zA-Z .'Ã]"","""")"),"John Lee Hancock")</f>
        <v>John Lee Hancock</v>
      </c>
      <c r="C1200" s="9">
        <v>405.0</v>
      </c>
      <c r="D1200" s="10">
        <v>8.3299761E7</v>
      </c>
      <c r="E1200" s="9" t="s">
        <v>4327</v>
      </c>
      <c r="F1200" s="9">
        <f t="shared" si="1"/>
        <v>5</v>
      </c>
      <c r="G1200" s="9" t="s">
        <v>461</v>
      </c>
      <c r="H1200" s="11" t="str">
        <f>IFERROR(__xludf.DUMMYFUNCTION("REGEXREPLACE(G1200, ""[^0-9a-zA-Z .'Ã]"","""")"),"Tom Hanks")</f>
        <v>Tom Hanks</v>
      </c>
      <c r="I1200" s="11" t="s">
        <v>4328</v>
      </c>
      <c r="J1200" s="9">
        <v>117719.0</v>
      </c>
      <c r="K1200" s="9" t="s">
        <v>4329</v>
      </c>
      <c r="L1200" s="9">
        <v>306.0</v>
      </c>
      <c r="M1200" s="9" t="s">
        <v>24</v>
      </c>
      <c r="N1200" s="9" t="s">
        <v>25</v>
      </c>
      <c r="O1200" s="10">
        <v>3.5E7</v>
      </c>
      <c r="P1200" s="10">
        <f t="shared" si="2"/>
        <v>48299761</v>
      </c>
      <c r="Q1200" s="12">
        <f t="shared" si="3"/>
        <v>0</v>
      </c>
      <c r="R1200" s="9">
        <v>2013.0</v>
      </c>
      <c r="S1200" s="9">
        <v>7.5</v>
      </c>
    </row>
    <row r="1201" ht="15.75" customHeight="1">
      <c r="A1201" s="13" t="s">
        <v>4330</v>
      </c>
      <c r="B1201" s="8" t="str">
        <f>IFERROR(__xludf.DUMMYFUNCTION("REGEXREPLACE(A1201, ""[^0-9a-zA-Z .'Ã]"","""")"),"Jason Friedberg")</f>
        <v>Jason Friedberg</v>
      </c>
      <c r="C1201" s="14">
        <v>112.0</v>
      </c>
      <c r="D1201" s="15">
        <v>3.9737645E7</v>
      </c>
      <c r="E1201" s="14" t="s">
        <v>693</v>
      </c>
      <c r="F1201" s="9">
        <f t="shared" si="1"/>
        <v>2</v>
      </c>
      <c r="G1201" s="14" t="s">
        <v>4331</v>
      </c>
      <c r="H1201" s="11" t="str">
        <f>IFERROR(__xludf.DUMMYFUNCTION("REGEXREPLACE(G1201, ""[^0-9a-zA-Z .'Ã]"","""")"),"David Carradine")</f>
        <v>David Carradine</v>
      </c>
      <c r="I1201" s="16" t="s">
        <v>4332</v>
      </c>
      <c r="J1201" s="14">
        <v>89687.0</v>
      </c>
      <c r="K1201" s="14" t="s">
        <v>4333</v>
      </c>
      <c r="L1201" s="14">
        <v>666.0</v>
      </c>
      <c r="M1201" s="14" t="s">
        <v>24</v>
      </c>
      <c r="N1201" s="14" t="s">
        <v>25</v>
      </c>
      <c r="O1201" s="15">
        <v>2.0E7</v>
      </c>
      <c r="P1201" s="10">
        <f t="shared" si="2"/>
        <v>19737645</v>
      </c>
      <c r="Q1201" s="12">
        <f t="shared" si="3"/>
        <v>0</v>
      </c>
      <c r="R1201" s="14">
        <v>2007.0</v>
      </c>
      <c r="S1201" s="14">
        <v>2.3</v>
      </c>
    </row>
    <row r="1202" ht="15.75" customHeight="1">
      <c r="A1202" s="25" t="s">
        <v>2859</v>
      </c>
      <c r="B1202" s="8" t="str">
        <f>IFERROR(__xludf.DUMMYFUNCTION("REGEXREPLACE(A1202, ""[^0-9a-zA-Z .'Ã]"","""")"),"Louis Leterrier")</f>
        <v>Louis Leterrier</v>
      </c>
      <c r="C1202" s="26">
        <v>163.0</v>
      </c>
      <c r="D1202" s="27">
        <v>4.30956E7</v>
      </c>
      <c r="E1202" s="26" t="s">
        <v>152</v>
      </c>
      <c r="F1202" s="9">
        <f t="shared" si="1"/>
        <v>3</v>
      </c>
      <c r="G1202" s="26" t="s">
        <v>815</v>
      </c>
      <c r="H1202" s="11" t="str">
        <f>IFERROR(__xludf.DUMMYFUNCTION("REGEXREPLACE(G1202, ""[^0-9a-zA-Z .'Ã]"","""")"),"Jason Statham")</f>
        <v>Jason Statham</v>
      </c>
      <c r="I1202" s="28" t="s">
        <v>4334</v>
      </c>
      <c r="J1202" s="26">
        <v>156267.0</v>
      </c>
      <c r="K1202" s="26" t="s">
        <v>4335</v>
      </c>
      <c r="L1202" s="26">
        <v>340.0</v>
      </c>
      <c r="M1202" s="26" t="s">
        <v>24</v>
      </c>
      <c r="N1202" s="26" t="s">
        <v>608</v>
      </c>
      <c r="O1202" s="27">
        <v>3.2E7</v>
      </c>
      <c r="P1202" s="10">
        <f t="shared" si="2"/>
        <v>11095600</v>
      </c>
      <c r="Q1202" s="12">
        <f t="shared" si="3"/>
        <v>0</v>
      </c>
      <c r="R1202" s="26">
        <v>2005.0</v>
      </c>
      <c r="S1202" s="26">
        <v>6.3</v>
      </c>
    </row>
    <row r="1203" ht="15.75" customHeight="1">
      <c r="A1203" s="17" t="s">
        <v>4336</v>
      </c>
      <c r="B1203" s="8" t="str">
        <f>IFERROR(__xludf.DUMMYFUNCTION("REGEXREPLACE(A1203, ""[^0-9a-zA-Z .'Ã]"","""")"),"Geoffrey Sax")</f>
        <v>Geoffrey Sax</v>
      </c>
      <c r="C1203" s="18">
        <v>66.0</v>
      </c>
      <c r="D1203" s="19">
        <v>652526.0</v>
      </c>
      <c r="E1203" s="18" t="s">
        <v>4337</v>
      </c>
      <c r="F1203" s="9">
        <f t="shared" si="1"/>
        <v>4</v>
      </c>
      <c r="G1203" s="18" t="s">
        <v>4019</v>
      </c>
      <c r="H1203" s="11" t="str">
        <f>IFERROR(__xludf.DUMMYFUNCTION("REGEXREPLACE(G1203, ""[^0-9a-zA-Z .'Ã]"","""")"),"Alex Pettyfer")</f>
        <v>Alex Pettyfer</v>
      </c>
      <c r="I1203" s="20" t="s">
        <v>4338</v>
      </c>
      <c r="J1203" s="18">
        <v>20201.0</v>
      </c>
      <c r="K1203" s="18" t="s">
        <v>4339</v>
      </c>
      <c r="L1203" s="18">
        <v>187.0</v>
      </c>
      <c r="M1203" s="18" t="s">
        <v>24</v>
      </c>
      <c r="N1203" s="18" t="s">
        <v>173</v>
      </c>
      <c r="O1203" s="19">
        <v>4.0E7</v>
      </c>
      <c r="P1203" s="10">
        <f t="shared" si="2"/>
        <v>0</v>
      </c>
      <c r="Q1203" s="12">
        <f t="shared" si="3"/>
        <v>39347474</v>
      </c>
      <c r="R1203" s="18">
        <v>2006.0</v>
      </c>
      <c r="S1203" s="18">
        <v>5.1</v>
      </c>
    </row>
    <row r="1204" ht="15.75" customHeight="1">
      <c r="A1204" s="21" t="s">
        <v>3924</v>
      </c>
      <c r="B1204" s="8" t="str">
        <f>IFERROR(__xludf.DUMMYFUNCTION("REGEXREPLACE(A1204, ""[^0-9a-zA-Z .'Ã]"","""")"),"Chris Wedge")</f>
        <v>Chris Wedge</v>
      </c>
      <c r="C1204" s="22">
        <v>203.0</v>
      </c>
      <c r="D1204" s="23">
        <v>1.07515297E8</v>
      </c>
      <c r="E1204" s="22" t="s">
        <v>865</v>
      </c>
      <c r="F1204" s="9">
        <f t="shared" si="1"/>
        <v>4</v>
      </c>
      <c r="G1204" s="22" t="s">
        <v>811</v>
      </c>
      <c r="H1204" s="11" t="str">
        <f>IFERROR(__xludf.DUMMYFUNCTION("REGEXREPLACE(G1204, ""[^0-9a-zA-Z .'Ã]"","""")"),"Josh Hutcherson")</f>
        <v>Josh Hutcherson</v>
      </c>
      <c r="I1204" s="24" t="s">
        <v>4340</v>
      </c>
      <c r="J1204" s="22">
        <v>85833.0</v>
      </c>
      <c r="K1204" s="22" t="s">
        <v>4341</v>
      </c>
      <c r="L1204" s="22">
        <v>113.0</v>
      </c>
      <c r="M1204" s="22" t="s">
        <v>24</v>
      </c>
      <c r="N1204" s="22" t="s">
        <v>25</v>
      </c>
      <c r="O1204" s="23">
        <v>1.0E8</v>
      </c>
      <c r="P1204" s="10">
        <f t="shared" si="2"/>
        <v>7515297</v>
      </c>
      <c r="Q1204" s="12">
        <f t="shared" si="3"/>
        <v>0</v>
      </c>
      <c r="R1204" s="22">
        <v>2013.0</v>
      </c>
      <c r="S1204" s="22">
        <v>6.7</v>
      </c>
    </row>
    <row r="1205" ht="15.75" customHeight="1">
      <c r="A1205" s="7" t="s">
        <v>3404</v>
      </c>
      <c r="B1205" s="8" t="str">
        <f>IFERROR(__xludf.DUMMYFUNCTION("REGEXREPLACE(A1205, ""[^0-9a-zA-Z .'Ã]"","""")"),"Neil Jordan")</f>
        <v>Neil Jordan</v>
      </c>
      <c r="C1205" s="9">
        <v>123.0</v>
      </c>
      <c r="D1205" s="10">
        <v>548934.0</v>
      </c>
      <c r="E1205" s="9" t="s">
        <v>3417</v>
      </c>
      <c r="F1205" s="9">
        <f t="shared" si="1"/>
        <v>3</v>
      </c>
      <c r="G1205" s="9" t="s">
        <v>3272</v>
      </c>
      <c r="H1205" s="11" t="str">
        <f>IFERROR(__xludf.DUMMYFUNCTION("REGEXREPLACE(G1205, ""[^0-9a-zA-Z .'Ã]"","""")"),"Tony Curran")</f>
        <v>Tony Curran</v>
      </c>
      <c r="I1205" s="11" t="s">
        <v>4342</v>
      </c>
      <c r="J1205" s="9">
        <v>16863.0</v>
      </c>
      <c r="K1205" s="9" t="s">
        <v>4343</v>
      </c>
      <c r="L1205" s="9">
        <v>57.0</v>
      </c>
      <c r="M1205" s="9" t="s">
        <v>24</v>
      </c>
      <c r="N1205" s="9" t="s">
        <v>593</v>
      </c>
      <c r="O1205" s="10">
        <v>1.2E7</v>
      </c>
      <c r="P1205" s="10">
        <f t="shared" si="2"/>
        <v>0</v>
      </c>
      <c r="Q1205" s="12">
        <f t="shared" si="3"/>
        <v>11451066</v>
      </c>
      <c r="R1205" s="9">
        <v>2009.0</v>
      </c>
      <c r="S1205" s="9">
        <v>6.8</v>
      </c>
    </row>
    <row r="1206" ht="15.75" customHeight="1">
      <c r="A1206" s="21" t="s">
        <v>3820</v>
      </c>
      <c r="B1206" s="8" t="str">
        <f>IFERROR(__xludf.DUMMYFUNCTION("REGEXREPLACE(A1206, ""[^0-9a-zA-Z .'Ã]"","""")"),"Baz Luhrmann")</f>
        <v>Baz Luhrmann</v>
      </c>
      <c r="C1206" s="22">
        <v>245.0</v>
      </c>
      <c r="D1206" s="23">
        <v>4.9551662E7</v>
      </c>
      <c r="E1206" s="22" t="s">
        <v>570</v>
      </c>
      <c r="F1206" s="9">
        <f t="shared" si="1"/>
        <v>4</v>
      </c>
      <c r="G1206" s="22" t="s">
        <v>4344</v>
      </c>
      <c r="H1206" s="11" t="str">
        <f>IFERROR(__xludf.DUMMYFUNCTION("REGEXREPLACE(G1206, ""[^0-9a-zA-Z .'Ã]"","""")"),"Essie Davis")</f>
        <v>Essie Davis</v>
      </c>
      <c r="I1206" s="24" t="s">
        <v>4345</v>
      </c>
      <c r="J1206" s="22">
        <v>102338.0</v>
      </c>
      <c r="K1206" s="22" t="s">
        <v>4346</v>
      </c>
      <c r="L1206" s="22">
        <v>450.0</v>
      </c>
      <c r="M1206" s="22" t="s">
        <v>24</v>
      </c>
      <c r="N1206" s="22" t="s">
        <v>146</v>
      </c>
      <c r="O1206" s="23">
        <v>1.3E8</v>
      </c>
      <c r="P1206" s="10">
        <f t="shared" si="2"/>
        <v>0</v>
      </c>
      <c r="Q1206" s="12">
        <f t="shared" si="3"/>
        <v>80448338</v>
      </c>
      <c r="R1206" s="22">
        <v>2008.0</v>
      </c>
      <c r="S1206" s="22">
        <v>6.6</v>
      </c>
    </row>
    <row r="1207" ht="15.75" customHeight="1">
      <c r="A1207" s="29" t="s">
        <v>2505</v>
      </c>
      <c r="B1207" s="8" t="str">
        <f>IFERROR(__xludf.DUMMYFUNCTION("REGEXREPLACE(A1207, ""[^0-9a-zA-Z .'Ã]"","""")"),"Tony Scott")</f>
        <v>Tony Scott</v>
      </c>
      <c r="C1207" s="30">
        <v>81.0</v>
      </c>
      <c r="D1207" s="31">
        <v>1.11544445E8</v>
      </c>
      <c r="E1207" s="30" t="s">
        <v>610</v>
      </c>
      <c r="F1207" s="9">
        <f t="shared" si="1"/>
        <v>5</v>
      </c>
      <c r="G1207" s="30" t="s">
        <v>2717</v>
      </c>
      <c r="H1207" s="11" t="str">
        <f>IFERROR(__xludf.DUMMYFUNCTION("REGEXREPLACE(G1207, ""[^0-9a-zA-Z .'Ã]"","""")"),"Will Smith")</f>
        <v>Will Smith</v>
      </c>
      <c r="I1207" s="32" t="s">
        <v>4347</v>
      </c>
      <c r="J1207" s="30">
        <v>188116.0</v>
      </c>
      <c r="K1207" s="30" t="s">
        <v>4348</v>
      </c>
      <c r="L1207" s="30">
        <v>415.0</v>
      </c>
      <c r="M1207" s="30" t="s">
        <v>24</v>
      </c>
      <c r="N1207" s="30" t="s">
        <v>25</v>
      </c>
      <c r="O1207" s="31">
        <v>9.0E7</v>
      </c>
      <c r="P1207" s="10">
        <f t="shared" si="2"/>
        <v>21544445</v>
      </c>
      <c r="Q1207" s="12">
        <f t="shared" si="3"/>
        <v>0</v>
      </c>
      <c r="R1207" s="30">
        <v>1998.0</v>
      </c>
      <c r="S1207" s="30">
        <v>7.3</v>
      </c>
    </row>
    <row r="1208" ht="15.75" customHeight="1">
      <c r="A1208" s="7" t="s">
        <v>4349</v>
      </c>
      <c r="B1208" s="8" t="str">
        <f>IFERROR(__xludf.DUMMYFUNCTION("REGEXREPLACE(A1208, ""[^0-9a-zA-Z .'Ã]"","""")"),"Olivier Assayas")</f>
        <v>Olivier Assayas</v>
      </c>
      <c r="C1208" s="9">
        <v>165.0</v>
      </c>
      <c r="D1208" s="10">
        <v>4857376.0</v>
      </c>
      <c r="E1208" s="9" t="s">
        <v>159</v>
      </c>
      <c r="F1208" s="9">
        <f t="shared" si="1"/>
        <v>3</v>
      </c>
      <c r="G1208" s="9" t="s">
        <v>453</v>
      </c>
      <c r="H1208" s="11" t="str">
        <f>IFERROR(__xludf.DUMMYFUNCTION("REGEXREPLACE(G1208, ""[^0-9a-zA-Z .'Ã]"","""")"),"Steve Buscemi")</f>
        <v>Steve Buscemi</v>
      </c>
      <c r="I1208" s="11" t="s">
        <v>4350</v>
      </c>
      <c r="J1208" s="9">
        <v>63084.0</v>
      </c>
      <c r="K1208" s="9" t="s">
        <v>4351</v>
      </c>
      <c r="L1208" s="9">
        <v>123.0</v>
      </c>
      <c r="M1208" s="9" t="s">
        <v>658</v>
      </c>
      <c r="N1208" s="9" t="s">
        <v>608</v>
      </c>
      <c r="O1208" s="10">
        <v>1.3E7</v>
      </c>
      <c r="P1208" s="10">
        <f t="shared" si="2"/>
        <v>0</v>
      </c>
      <c r="Q1208" s="12">
        <f t="shared" si="3"/>
        <v>8142624</v>
      </c>
      <c r="R1208" s="9">
        <v>2006.0</v>
      </c>
      <c r="S1208" s="9">
        <v>7.3</v>
      </c>
    </row>
    <row r="1209" ht="15.75" customHeight="1">
      <c r="A1209" s="7" t="s">
        <v>2388</v>
      </c>
      <c r="B1209" s="8" t="str">
        <f>IFERROR(__xludf.DUMMYFUNCTION("REGEXREPLACE(A1209, ""[^0-9a-zA-Z .'Ã]"","""")"),"Paul Greengrass")</f>
        <v>Paul Greengrass</v>
      </c>
      <c r="C1209" s="9">
        <v>92.0</v>
      </c>
      <c r="D1209" s="10">
        <v>768045.0</v>
      </c>
      <c r="E1209" s="9" t="s">
        <v>74</v>
      </c>
      <c r="F1209" s="9">
        <f t="shared" si="1"/>
        <v>3</v>
      </c>
      <c r="G1209" s="9" t="s">
        <v>1611</v>
      </c>
      <c r="H1209" s="11" t="str">
        <f>IFERROR(__xludf.DUMMYFUNCTION("REGEXREPLACE(G1209, ""[^0-9a-zA-Z .'Ã]"","""")"),"James Nesbitt")</f>
        <v>James Nesbitt</v>
      </c>
      <c r="I1209" s="11" t="s">
        <v>4352</v>
      </c>
      <c r="J1209" s="9">
        <v>19732.0</v>
      </c>
      <c r="K1209" s="9" t="s">
        <v>4353</v>
      </c>
      <c r="L1209" s="9">
        <v>120.0</v>
      </c>
      <c r="M1209" s="9" t="s">
        <v>24</v>
      </c>
      <c r="N1209" s="9" t="s">
        <v>130</v>
      </c>
      <c r="O1209" s="10">
        <v>2000000.0</v>
      </c>
      <c r="P1209" s="10">
        <f t="shared" si="2"/>
        <v>0</v>
      </c>
      <c r="Q1209" s="12">
        <f t="shared" si="3"/>
        <v>1231955</v>
      </c>
      <c r="R1209" s="9">
        <v>2002.0</v>
      </c>
      <c r="S1209" s="9">
        <v>7.7</v>
      </c>
    </row>
    <row r="1210" ht="15.75" customHeight="1">
      <c r="A1210" s="25" t="s">
        <v>4354</v>
      </c>
      <c r="B1210" s="8" t="str">
        <f>IFERROR(__xludf.DUMMYFUNCTION("REGEXREPLACE(A1210, ""[^0-9a-zA-Z .'Ã]"","""")"),"Kirsten Sheridan")</f>
        <v>Kirsten Sheridan</v>
      </c>
      <c r="C1210" s="26">
        <v>148.0</v>
      </c>
      <c r="D1210" s="27">
        <v>3.1655091E7</v>
      </c>
      <c r="E1210" s="26" t="s">
        <v>418</v>
      </c>
      <c r="F1210" s="9">
        <f t="shared" si="1"/>
        <v>2</v>
      </c>
      <c r="G1210" s="26" t="s">
        <v>673</v>
      </c>
      <c r="H1210" s="11" t="str">
        <f>IFERROR(__xludf.DUMMYFUNCTION("REGEXREPLACE(G1210, ""[^0-9a-zA-Z .'Ã]"","""")"),"Robin Williams")</f>
        <v>Robin Williams</v>
      </c>
      <c r="I1210" s="28" t="s">
        <v>4355</v>
      </c>
      <c r="J1210" s="26">
        <v>87331.0</v>
      </c>
      <c r="K1210" s="26" t="s">
        <v>4356</v>
      </c>
      <c r="L1210" s="26">
        <v>364.0</v>
      </c>
      <c r="M1210" s="26" t="s">
        <v>24</v>
      </c>
      <c r="N1210" s="26" t="s">
        <v>25</v>
      </c>
      <c r="O1210" s="27">
        <v>3.0E7</v>
      </c>
      <c r="P1210" s="10">
        <f t="shared" si="2"/>
        <v>1655091</v>
      </c>
      <c r="Q1210" s="12">
        <f t="shared" si="3"/>
        <v>0</v>
      </c>
      <c r="R1210" s="26">
        <v>2007.0</v>
      </c>
      <c r="S1210" s="26">
        <v>7.5</v>
      </c>
    </row>
    <row r="1211" ht="15.75" customHeight="1">
      <c r="A1211" s="7" t="s">
        <v>2294</v>
      </c>
      <c r="B1211" s="8" t="str">
        <f>IFERROR(__xludf.DUMMYFUNCTION("REGEXREPLACE(A1211, ""[^0-9a-zA-Z .'Ã]"","""")"),"Larry Charles")</f>
        <v>Larry Charles</v>
      </c>
      <c r="C1211" s="9">
        <v>197.0</v>
      </c>
      <c r="D1211" s="10">
        <v>1.2995673E7</v>
      </c>
      <c r="E1211" s="9" t="s">
        <v>4357</v>
      </c>
      <c r="F1211" s="9">
        <f t="shared" si="1"/>
        <v>3</v>
      </c>
      <c r="G1211" s="9" t="s">
        <v>4358</v>
      </c>
      <c r="H1211" s="11" t="str">
        <f>IFERROR(__xludf.DUMMYFUNCTION("REGEXREPLACE(G1211, ""[^0-9a-zA-Z .'Ã]"","""")"),"Bill Maher")</f>
        <v>Bill Maher</v>
      </c>
      <c r="I1211" s="11" t="s">
        <v>4359</v>
      </c>
      <c r="J1211" s="9">
        <v>52286.0</v>
      </c>
      <c r="K1211" s="9" t="s">
        <v>4360</v>
      </c>
      <c r="L1211" s="9">
        <v>345.0</v>
      </c>
      <c r="M1211" s="9" t="s">
        <v>24</v>
      </c>
      <c r="N1211" s="9" t="s">
        <v>25</v>
      </c>
      <c r="O1211" s="10">
        <v>2500000.0</v>
      </c>
      <c r="P1211" s="10">
        <f t="shared" si="2"/>
        <v>10495673</v>
      </c>
      <c r="Q1211" s="12">
        <f t="shared" si="3"/>
        <v>0</v>
      </c>
      <c r="R1211" s="9">
        <v>2008.0</v>
      </c>
      <c r="S1211" s="9">
        <v>7.7</v>
      </c>
    </row>
    <row r="1212" ht="15.75" customHeight="1">
      <c r="A1212" s="13" t="s">
        <v>1588</v>
      </c>
      <c r="B1212" s="8" t="str">
        <f>IFERROR(__xludf.DUMMYFUNCTION("REGEXREPLACE(A1212, ""[^0-9a-zA-Z .'Ã]"","""")"),"Frank Oz")</f>
        <v>Frank Oz</v>
      </c>
      <c r="C1212" s="14">
        <v>141.0</v>
      </c>
      <c r="D1212" s="15">
        <v>7.1069884E7</v>
      </c>
      <c r="E1212" s="14" t="s">
        <v>113</v>
      </c>
      <c r="F1212" s="9">
        <f t="shared" si="1"/>
        <v>3</v>
      </c>
      <c r="G1212" s="14" t="s">
        <v>883</v>
      </c>
      <c r="H1212" s="11" t="str">
        <f>IFERROR(__xludf.DUMMYFUNCTION("REGEXREPLACE(G1212, ""[^0-9a-zA-Z .'Ã]"","""")"),"Robert De Niro")</f>
        <v>Robert De Niro</v>
      </c>
      <c r="I1212" s="16" t="s">
        <v>4361</v>
      </c>
      <c r="J1212" s="14">
        <v>101899.0</v>
      </c>
      <c r="K1212" s="14" t="s">
        <v>4362</v>
      </c>
      <c r="L1212" s="14">
        <v>445.0</v>
      </c>
      <c r="M1212" s="14" t="s">
        <v>24</v>
      </c>
      <c r="N1212" s="14" t="s">
        <v>25</v>
      </c>
      <c r="O1212" s="15">
        <v>6.8E7</v>
      </c>
      <c r="P1212" s="10">
        <f t="shared" si="2"/>
        <v>3069884</v>
      </c>
      <c r="Q1212" s="12">
        <f t="shared" si="3"/>
        <v>0</v>
      </c>
      <c r="R1212" s="14">
        <v>2001.0</v>
      </c>
      <c r="S1212" s="14">
        <v>6.8</v>
      </c>
    </row>
    <row r="1213" ht="15.75" customHeight="1">
      <c r="A1213" s="7" t="s">
        <v>4363</v>
      </c>
      <c r="B1213" s="8" t="str">
        <f>IFERROR(__xludf.DUMMYFUNCTION("REGEXREPLACE(A1213, ""[^0-9a-zA-Z .'Ã]"","""")"),"Heidi Ewing")</f>
        <v>Heidi Ewing</v>
      </c>
      <c r="C1213" s="9">
        <v>73.0</v>
      </c>
      <c r="D1213" s="10">
        <v>100675.0</v>
      </c>
      <c r="E1213" s="9" t="s">
        <v>251</v>
      </c>
      <c r="F1213" s="9">
        <f t="shared" si="1"/>
        <v>1</v>
      </c>
      <c r="G1213" s="9" t="s">
        <v>4364</v>
      </c>
      <c r="H1213" s="11" t="str">
        <f>IFERROR(__xludf.DUMMYFUNCTION("REGEXREPLACE(G1213, ""[^0-9a-zA-Z .'Ã]"","""")"),"Greg Crowe")</f>
        <v>Greg Crowe</v>
      </c>
      <c r="I1213" s="11" t="s">
        <v>4365</v>
      </c>
      <c r="J1213" s="9">
        <v>5695.0</v>
      </c>
      <c r="K1213" s="9" t="s">
        <v>4366</v>
      </c>
      <c r="L1213" s="9">
        <v>23.0</v>
      </c>
      <c r="M1213" s="9" t="s">
        <v>24</v>
      </c>
      <c r="N1213" s="9" t="s">
        <v>25</v>
      </c>
      <c r="O1213" s="10">
        <v>3000000.0</v>
      </c>
      <c r="P1213" s="10">
        <f t="shared" si="2"/>
        <v>0</v>
      </c>
      <c r="Q1213" s="12">
        <f t="shared" si="3"/>
        <v>2899325</v>
      </c>
      <c r="R1213" s="9">
        <v>2010.0</v>
      </c>
      <c r="S1213" s="9">
        <v>6.4</v>
      </c>
    </row>
    <row r="1214" ht="15.75" customHeight="1">
      <c r="A1214" s="21" t="s">
        <v>1844</v>
      </c>
      <c r="B1214" s="8" t="str">
        <f>IFERROR(__xludf.DUMMYFUNCTION("REGEXREPLACE(A1214, ""[^0-9a-zA-Z .'Ã]"","""")"),"Mike Leigh")</f>
        <v>Mike Leigh</v>
      </c>
      <c r="C1214" s="22">
        <v>81.0</v>
      </c>
      <c r="D1214" s="23">
        <v>112935.0</v>
      </c>
      <c r="E1214" s="22" t="s">
        <v>103</v>
      </c>
      <c r="F1214" s="9">
        <f t="shared" si="1"/>
        <v>1</v>
      </c>
      <c r="G1214" s="22" t="s">
        <v>4367</v>
      </c>
      <c r="H1214" s="11" t="str">
        <f>IFERROR(__xludf.DUMMYFUNCTION("REGEXREPLACE(G1214, ""[^0-9a-zA-Z .'Ã]"","""")"),"Lesley Manville")</f>
        <v>Lesley Manville</v>
      </c>
      <c r="I1214" s="24" t="s">
        <v>4368</v>
      </c>
      <c r="J1214" s="22">
        <v>8161.0</v>
      </c>
      <c r="K1214" s="22" t="s">
        <v>4369</v>
      </c>
      <c r="L1214" s="22">
        <v>94.0</v>
      </c>
      <c r="M1214" s="22" t="s">
        <v>24</v>
      </c>
      <c r="N1214" s="22" t="s">
        <v>130</v>
      </c>
      <c r="O1214" s="23">
        <v>9000000.0</v>
      </c>
      <c r="P1214" s="10">
        <f t="shared" si="2"/>
        <v>0</v>
      </c>
      <c r="Q1214" s="12">
        <f t="shared" si="3"/>
        <v>8887065</v>
      </c>
      <c r="R1214" s="22">
        <v>2002.0</v>
      </c>
      <c r="S1214" s="22">
        <v>7.6</v>
      </c>
    </row>
    <row r="1215" ht="15.75" customHeight="1">
      <c r="A1215" s="21" t="s">
        <v>4370</v>
      </c>
      <c r="B1215" s="8" t="str">
        <f>IFERROR(__xludf.DUMMYFUNCTION("REGEXREPLACE(A1215, ""[^0-9a-zA-Z .'Ã]"","""")"),"Jonathan Lynn")</f>
        <v>Jonathan Lynn</v>
      </c>
      <c r="C1215" s="22">
        <v>68.0</v>
      </c>
      <c r="D1215" s="23">
        <v>117190.0</v>
      </c>
      <c r="E1215" s="22" t="s">
        <v>265</v>
      </c>
      <c r="F1215" s="9">
        <f t="shared" si="1"/>
        <v>3</v>
      </c>
      <c r="G1215" s="22" t="s">
        <v>4371</v>
      </c>
      <c r="H1215" s="11" t="str">
        <f>IFERROR(__xludf.DUMMYFUNCTION("REGEXREPLACE(G1215, ""[^0-9a-zA-Z .'Ã]"","""")"),"Rupert Grint")</f>
        <v>Rupert Grint</v>
      </c>
      <c r="I1215" s="24" t="s">
        <v>4372</v>
      </c>
      <c r="J1215" s="22">
        <v>29994.0</v>
      </c>
      <c r="K1215" s="22" t="s">
        <v>4373</v>
      </c>
      <c r="L1215" s="22">
        <v>86.0</v>
      </c>
      <c r="M1215" s="22" t="s">
        <v>24</v>
      </c>
      <c r="N1215" s="22" t="s">
        <v>130</v>
      </c>
      <c r="O1215" s="23">
        <v>8000000.0</v>
      </c>
      <c r="P1215" s="10">
        <f t="shared" si="2"/>
        <v>0</v>
      </c>
      <c r="Q1215" s="12">
        <f t="shared" si="3"/>
        <v>7882810</v>
      </c>
      <c r="R1215" s="22">
        <v>2010.0</v>
      </c>
      <c r="S1215" s="22">
        <v>6.9</v>
      </c>
    </row>
    <row r="1216" ht="15.75" customHeight="1">
      <c r="A1216" s="7" t="s">
        <v>2294</v>
      </c>
      <c r="B1216" s="8" t="str">
        <f>IFERROR(__xludf.DUMMYFUNCTION("REGEXREPLACE(A1216, ""[^0-9a-zA-Z .'Ã]"","""")"),"Larry Charles")</f>
        <v>Larry Charles</v>
      </c>
      <c r="C1216" s="9">
        <v>288.0</v>
      </c>
      <c r="D1216" s="10">
        <v>5.999276E7</v>
      </c>
      <c r="E1216" s="9" t="s">
        <v>137</v>
      </c>
      <c r="F1216" s="9">
        <f t="shared" si="1"/>
        <v>1</v>
      </c>
      <c r="G1216" s="9" t="s">
        <v>4374</v>
      </c>
      <c r="H1216" s="11" t="str">
        <f>IFERROR(__xludf.DUMMYFUNCTION("REGEXREPLACE(G1216, ""[^0-9a-zA-Z .'Ã]"","""")"),"Bono")</f>
        <v>Bono</v>
      </c>
      <c r="I1216" s="11" t="s">
        <v>4375</v>
      </c>
      <c r="J1216" s="9">
        <v>119622.0</v>
      </c>
      <c r="K1216" s="9" t="s">
        <v>4376</v>
      </c>
      <c r="L1216" s="9">
        <v>396.0</v>
      </c>
      <c r="M1216" s="9" t="s">
        <v>24</v>
      </c>
      <c r="N1216" s="9" t="s">
        <v>25</v>
      </c>
      <c r="O1216" s="10">
        <v>4.2E7</v>
      </c>
      <c r="P1216" s="10">
        <f t="shared" si="2"/>
        <v>17992760</v>
      </c>
      <c r="Q1216" s="12">
        <f t="shared" si="3"/>
        <v>0</v>
      </c>
      <c r="R1216" s="9">
        <v>2009.0</v>
      </c>
      <c r="S1216" s="9">
        <v>5.8</v>
      </c>
    </row>
    <row r="1217" ht="15.75" customHeight="1">
      <c r="A1217" s="7" t="s">
        <v>4377</v>
      </c>
      <c r="B1217" s="8" t="str">
        <f>IFERROR(__xludf.DUMMYFUNCTION("REGEXREPLACE(A1217, ""[^0-9a-zA-Z .'Ã]"","""")"),"Christine Jeffs")</f>
        <v>Christine Jeffs</v>
      </c>
      <c r="C1217" s="9">
        <v>195.0</v>
      </c>
      <c r="D1217" s="10">
        <v>1.2055108E7</v>
      </c>
      <c r="E1217" s="9" t="s">
        <v>454</v>
      </c>
      <c r="F1217" s="9">
        <f t="shared" si="1"/>
        <v>2</v>
      </c>
      <c r="G1217" s="9" t="s">
        <v>806</v>
      </c>
      <c r="H1217" s="11" t="str">
        <f>IFERROR(__xludf.DUMMYFUNCTION("REGEXREPLACE(G1217, ""[^0-9a-zA-Z .'Ã]"","""")"),"Clifton Collins Jr.")</f>
        <v>Clifton Collins Jr.</v>
      </c>
      <c r="I1217" s="11" t="s">
        <v>4378</v>
      </c>
      <c r="J1217" s="9">
        <v>61151.0</v>
      </c>
      <c r="K1217" s="9" t="s">
        <v>4379</v>
      </c>
      <c r="L1217" s="9">
        <v>134.0</v>
      </c>
      <c r="M1217" s="9" t="s">
        <v>24</v>
      </c>
      <c r="N1217" s="9" t="s">
        <v>25</v>
      </c>
      <c r="O1217" s="10">
        <v>8000000.0</v>
      </c>
      <c r="P1217" s="10">
        <f t="shared" si="2"/>
        <v>4055108</v>
      </c>
      <c r="Q1217" s="12">
        <f t="shared" si="3"/>
        <v>0</v>
      </c>
      <c r="R1217" s="9">
        <v>2008.0</v>
      </c>
      <c r="S1217" s="9">
        <v>6.9</v>
      </c>
    </row>
    <row r="1218" ht="15.75" customHeight="1">
      <c r="A1218" s="7" t="s">
        <v>4380</v>
      </c>
      <c r="B1218" s="8" t="str">
        <f>IFERROR(__xludf.DUMMYFUNCTION("REGEXREPLACE(A1218, ""[^0-9a-zA-Z .'Ã]"","""")"),"Ole Bornedal")</f>
        <v>Ole Bornedal</v>
      </c>
      <c r="C1218" s="9">
        <v>264.0</v>
      </c>
      <c r="D1218" s="10">
        <v>4.9122319E7</v>
      </c>
      <c r="E1218" s="9" t="s">
        <v>306</v>
      </c>
      <c r="F1218" s="9">
        <f t="shared" si="1"/>
        <v>2</v>
      </c>
      <c r="G1218" s="9" t="s">
        <v>4381</v>
      </c>
      <c r="H1218" s="11" t="str">
        <f>IFERROR(__xludf.DUMMYFUNCTION("REGEXREPLACE(G1218, ""[^0-9a-zA-Z .'Ã]"","""")"),"Kyra Sedgwick")</f>
        <v>Kyra Sedgwick</v>
      </c>
      <c r="I1218" s="11" t="s">
        <v>4382</v>
      </c>
      <c r="J1218" s="9">
        <v>47169.0</v>
      </c>
      <c r="K1218" s="9" t="s">
        <v>4383</v>
      </c>
      <c r="L1218" s="9">
        <v>162.0</v>
      </c>
      <c r="M1218" s="9" t="s">
        <v>24</v>
      </c>
      <c r="N1218" s="9" t="s">
        <v>25</v>
      </c>
      <c r="O1218" s="10">
        <v>1.4E7</v>
      </c>
      <c r="P1218" s="10">
        <f t="shared" si="2"/>
        <v>35122319</v>
      </c>
      <c r="Q1218" s="12">
        <f t="shared" si="3"/>
        <v>0</v>
      </c>
      <c r="R1218" s="9">
        <v>2012.0</v>
      </c>
      <c r="S1218" s="9">
        <v>5.9</v>
      </c>
    </row>
    <row r="1219" ht="15.75" customHeight="1">
      <c r="A1219" s="13" t="s">
        <v>4384</v>
      </c>
      <c r="B1219" s="8" t="str">
        <f>IFERROR(__xludf.DUMMYFUNCTION("REGEXREPLACE(A1219, ""[^0-9a-zA-Z .'Ã]"","""")"),"Jerry Jameson")</f>
        <v>Jerry Jameson</v>
      </c>
      <c r="C1219" s="14">
        <v>39.0</v>
      </c>
      <c r="D1219" s="15">
        <v>2557668.0</v>
      </c>
      <c r="E1219" s="14" t="s">
        <v>113</v>
      </c>
      <c r="F1219" s="9">
        <f t="shared" si="1"/>
        <v>3</v>
      </c>
      <c r="G1219" s="14" t="s">
        <v>3250</v>
      </c>
      <c r="H1219" s="11" t="str">
        <f>IFERROR(__xludf.DUMMYFUNCTION("REGEXREPLACE(G1219, ""[^0-9a-zA-Z .'Ã]"","""")"),"David Oyelowo")</f>
        <v>David Oyelowo</v>
      </c>
      <c r="I1219" s="16" t="s">
        <v>4385</v>
      </c>
      <c r="J1219" s="14">
        <v>3911.0</v>
      </c>
      <c r="K1219" s="14" t="s">
        <v>4386</v>
      </c>
      <c r="L1219" s="14">
        <v>22.0</v>
      </c>
      <c r="M1219" s="14" t="s">
        <v>24</v>
      </c>
      <c r="N1219" s="14" t="s">
        <v>25</v>
      </c>
      <c r="O1219" s="15">
        <v>2000000.0</v>
      </c>
      <c r="P1219" s="10">
        <f t="shared" si="2"/>
        <v>557668</v>
      </c>
      <c r="Q1219" s="12">
        <f t="shared" si="3"/>
        <v>0</v>
      </c>
      <c r="R1219" s="14">
        <v>2015.0</v>
      </c>
      <c r="S1219" s="14">
        <v>5.3</v>
      </c>
    </row>
    <row r="1220" ht="15.75" customHeight="1">
      <c r="A1220" s="17" t="s">
        <v>255</v>
      </c>
      <c r="B1220" s="8" t="str">
        <f>IFERROR(__xludf.DUMMYFUNCTION("REGEXREPLACE(A1220, ""[^0-9a-zA-Z .'Ã]"","""")"),"Eric Darnell")</f>
        <v>Eric Darnell</v>
      </c>
      <c r="C1220" s="18">
        <v>211.0</v>
      </c>
      <c r="D1220" s="19">
        <v>2.16366733E8</v>
      </c>
      <c r="E1220" s="18" t="s">
        <v>1813</v>
      </c>
      <c r="F1220" s="9">
        <f t="shared" si="1"/>
        <v>4</v>
      </c>
      <c r="G1220" s="18" t="s">
        <v>266</v>
      </c>
      <c r="H1220" s="11" t="str">
        <f>IFERROR(__xludf.DUMMYFUNCTION("REGEXREPLACE(G1220, ""[^0-9a-zA-Z .'Ã]"","""")"),"Jada Pinkett Smith")</f>
        <v>Jada Pinkett Smith</v>
      </c>
      <c r="I1220" s="20" t="s">
        <v>4387</v>
      </c>
      <c r="J1220" s="18">
        <v>119213.0</v>
      </c>
      <c r="K1220" s="18" t="s">
        <v>4388</v>
      </c>
      <c r="L1220" s="18">
        <v>154.0</v>
      </c>
      <c r="M1220" s="18" t="s">
        <v>24</v>
      </c>
      <c r="N1220" s="18" t="s">
        <v>25</v>
      </c>
      <c r="O1220" s="19">
        <v>1.45E8</v>
      </c>
      <c r="P1220" s="10">
        <f t="shared" si="2"/>
        <v>71366733</v>
      </c>
      <c r="Q1220" s="12">
        <f t="shared" si="3"/>
        <v>0</v>
      </c>
      <c r="R1220" s="18">
        <v>2012.0</v>
      </c>
      <c r="S1220" s="18">
        <v>6.9</v>
      </c>
    </row>
    <row r="1221" ht="15.75" customHeight="1">
      <c r="A1221" s="25" t="s">
        <v>4389</v>
      </c>
      <c r="B1221" s="8" t="str">
        <f>IFERROR(__xludf.DUMMYFUNCTION("REGEXREPLACE(A1221, ""[^0-9a-zA-Z .'Ã]"","""")"),"Leslie Small")</f>
        <v>Leslie Small</v>
      </c>
      <c r="C1221" s="26">
        <v>26.0</v>
      </c>
      <c r="D1221" s="27">
        <v>3.2230907E7</v>
      </c>
      <c r="E1221" s="26" t="s">
        <v>3781</v>
      </c>
      <c r="F1221" s="9">
        <f t="shared" si="1"/>
        <v>2</v>
      </c>
      <c r="G1221" s="26" t="s">
        <v>4390</v>
      </c>
      <c r="H1221" s="11" t="str">
        <f>IFERROR(__xludf.DUMMYFUNCTION("REGEXREPLACE(G1221, ""[^0-9a-zA-Z .'Ã]"","""")"),"David Jason Perez")</f>
        <v>David Jason Perez</v>
      </c>
      <c r="I1221" s="28" t="s">
        <v>4391</v>
      </c>
      <c r="J1221" s="26">
        <v>6062.0</v>
      </c>
      <c r="K1221" s="26" t="s">
        <v>4392</v>
      </c>
      <c r="L1221" s="26">
        <v>30.0</v>
      </c>
      <c r="M1221" s="26" t="s">
        <v>24</v>
      </c>
      <c r="N1221" s="26" t="s">
        <v>25</v>
      </c>
      <c r="O1221" s="27">
        <v>2500000.0</v>
      </c>
      <c r="P1221" s="10">
        <f t="shared" si="2"/>
        <v>29730907</v>
      </c>
      <c r="Q1221" s="12">
        <f t="shared" si="3"/>
        <v>0</v>
      </c>
      <c r="R1221" s="26">
        <v>2013.0</v>
      </c>
      <c r="S1221" s="26">
        <v>6.7</v>
      </c>
    </row>
    <row r="1222" ht="15.75" customHeight="1">
      <c r="A1222" s="29" t="s">
        <v>4393</v>
      </c>
      <c r="B1222" s="8" t="str">
        <f>IFERROR(__xludf.DUMMYFUNCTION("REGEXREPLACE(A1222, ""[^0-9a-zA-Z .'Ã]"","""")"),"Pierre Morel")</f>
        <v>Pierre Morel</v>
      </c>
      <c r="C1222" s="30">
        <v>224.0</v>
      </c>
      <c r="D1222" s="31">
        <v>1.0640645E7</v>
      </c>
      <c r="E1222" s="30" t="s">
        <v>610</v>
      </c>
      <c r="F1222" s="9">
        <f t="shared" si="1"/>
        <v>5</v>
      </c>
      <c r="G1222" s="30" t="s">
        <v>28</v>
      </c>
      <c r="H1222" s="11" t="str">
        <f>IFERROR(__xludf.DUMMYFUNCTION("REGEXREPLACE(G1222, ""[^0-9a-zA-Z .'Ã]"","""")"),"Ray Winstone")</f>
        <v>Ray Winstone</v>
      </c>
      <c r="I1222" s="32" t="s">
        <v>4394</v>
      </c>
      <c r="J1222" s="30">
        <v>28429.0</v>
      </c>
      <c r="K1222" s="30" t="s">
        <v>4395</v>
      </c>
      <c r="L1222" s="30">
        <v>110.0</v>
      </c>
      <c r="M1222" s="30" t="s">
        <v>24</v>
      </c>
      <c r="N1222" s="30" t="s">
        <v>25</v>
      </c>
      <c r="O1222" s="31">
        <v>4.0E7</v>
      </c>
      <c r="P1222" s="10">
        <f t="shared" si="2"/>
        <v>0</v>
      </c>
      <c r="Q1222" s="12">
        <f t="shared" si="3"/>
        <v>29359355</v>
      </c>
      <c r="R1222" s="30">
        <v>2015.0</v>
      </c>
      <c r="S1222" s="30">
        <v>5.8</v>
      </c>
    </row>
    <row r="1223" ht="15.75" customHeight="1">
      <c r="A1223" s="21" t="s">
        <v>1868</v>
      </c>
      <c r="B1223" s="8" t="str">
        <f>IFERROR(__xludf.DUMMYFUNCTION("REGEXREPLACE(A1223, ""[^0-9a-zA-Z .'Ã]"","""")"),"Brett Ratner")</f>
        <v>Brett Ratner</v>
      </c>
      <c r="C1223" s="22">
        <v>29.0</v>
      </c>
      <c r="D1223" s="23">
        <v>4.1067398E7</v>
      </c>
      <c r="E1223" s="22" t="s">
        <v>790</v>
      </c>
      <c r="F1223" s="9">
        <f t="shared" si="1"/>
        <v>4</v>
      </c>
      <c r="G1223" s="22" t="s">
        <v>4396</v>
      </c>
      <c r="H1223" s="11" t="str">
        <f>IFERROR(__xludf.DUMMYFUNCTION("REGEXREPLACE(G1223, ""[^0-9a-zA-Z .'Ã]"","""")"),"Heather Locklear")</f>
        <v>Heather Locklear</v>
      </c>
      <c r="I1223" s="24" t="s">
        <v>4397</v>
      </c>
      <c r="J1223" s="22">
        <v>22748.0</v>
      </c>
      <c r="K1223" s="22" t="s">
        <v>4398</v>
      </c>
      <c r="L1223" s="22">
        <v>41.0</v>
      </c>
      <c r="M1223" s="22" t="s">
        <v>24</v>
      </c>
      <c r="N1223" s="22" t="s">
        <v>25</v>
      </c>
      <c r="O1223" s="23">
        <v>2.5E7</v>
      </c>
      <c r="P1223" s="10">
        <f t="shared" si="2"/>
        <v>16067398</v>
      </c>
      <c r="Q1223" s="12">
        <f t="shared" si="3"/>
        <v>0</v>
      </c>
      <c r="R1223" s="22">
        <v>1997.0</v>
      </c>
      <c r="S1223" s="22">
        <v>6.1</v>
      </c>
    </row>
    <row r="1224" ht="15.75" customHeight="1">
      <c r="A1224" s="7" t="s">
        <v>310</v>
      </c>
      <c r="B1224" s="8" t="str">
        <f>IFERROR(__xludf.DUMMYFUNCTION("REGEXREPLACE(A1224, ""[^0-9a-zA-Z .'Ã]"","""")"),"D.J. Caruso")</f>
        <v>D.J. Caruso</v>
      </c>
      <c r="C1224" s="9">
        <v>215.0</v>
      </c>
      <c r="D1224" s="10">
        <v>1.01111837E8</v>
      </c>
      <c r="E1224" s="9" t="s">
        <v>1155</v>
      </c>
      <c r="F1224" s="9">
        <f t="shared" si="1"/>
        <v>3</v>
      </c>
      <c r="G1224" s="9" t="s">
        <v>3571</v>
      </c>
      <c r="H1224" s="11" t="str">
        <f>IFERROR(__xludf.DUMMYFUNCTION("REGEXREPLACE(G1224, ""[^0-9a-zA-Z .'Ã]"","""")"),"Rosario Dawson")</f>
        <v>Rosario Dawson</v>
      </c>
      <c r="I1224" s="11" t="s">
        <v>4399</v>
      </c>
      <c r="J1224" s="9">
        <v>150764.0</v>
      </c>
      <c r="K1224" s="9" t="s">
        <v>4400</v>
      </c>
      <c r="L1224" s="9">
        <v>318.0</v>
      </c>
      <c r="M1224" s="9" t="s">
        <v>24</v>
      </c>
      <c r="N1224" s="9" t="s">
        <v>25</v>
      </c>
      <c r="O1224" s="10">
        <v>8.0E7</v>
      </c>
      <c r="P1224" s="10">
        <f t="shared" si="2"/>
        <v>21111837</v>
      </c>
      <c r="Q1224" s="12">
        <f t="shared" si="3"/>
        <v>0</v>
      </c>
      <c r="R1224" s="9">
        <v>2008.0</v>
      </c>
      <c r="S1224" s="9">
        <v>6.6</v>
      </c>
    </row>
    <row r="1225" ht="15.75" customHeight="1">
      <c r="A1225" s="7" t="s">
        <v>4401</v>
      </c>
      <c r="B1225" s="8" t="str">
        <f>IFERROR(__xludf.DUMMYFUNCTION("REGEXREPLACE(A1225, ""[^0-9a-zA-Z .'Ã]"","""")"),"Daniel Lee")</f>
        <v>Daniel Lee</v>
      </c>
      <c r="C1225" s="9">
        <v>68.0</v>
      </c>
      <c r="D1225" s="10">
        <v>72413.0</v>
      </c>
      <c r="E1225" s="9" t="s">
        <v>4402</v>
      </c>
      <c r="F1225" s="9">
        <f t="shared" si="1"/>
        <v>4</v>
      </c>
      <c r="G1225" s="9" t="s">
        <v>4403</v>
      </c>
      <c r="H1225" s="11" t="str">
        <f>IFERROR(__xludf.DUMMYFUNCTION("REGEXREPLACE(G1225, ""[^0-9a-zA-Z .'Ã]"","""")"),"Si Won Choi")</f>
        <v>Si Won Choi</v>
      </c>
      <c r="I1225" s="11" t="s">
        <v>4404</v>
      </c>
      <c r="J1225" s="9">
        <v>11584.0</v>
      </c>
      <c r="K1225" s="9" t="s">
        <v>4405</v>
      </c>
      <c r="L1225" s="9">
        <v>86.0</v>
      </c>
      <c r="M1225" s="9" t="s">
        <v>3260</v>
      </c>
      <c r="N1225" s="9" t="s">
        <v>217</v>
      </c>
      <c r="O1225" s="10">
        <v>6.5E7</v>
      </c>
      <c r="P1225" s="10">
        <f t="shared" si="2"/>
        <v>0</v>
      </c>
      <c r="Q1225" s="12">
        <f t="shared" si="3"/>
        <v>64927587</v>
      </c>
      <c r="R1225" s="9">
        <v>2015.0</v>
      </c>
      <c r="S1225" s="9">
        <v>6.1</v>
      </c>
    </row>
    <row r="1226" ht="15.75" customHeight="1">
      <c r="A1226" s="25" t="s">
        <v>904</v>
      </c>
      <c r="B1226" s="8" t="str">
        <f>IFERROR(__xludf.DUMMYFUNCTION("REGEXREPLACE(A1226, ""[^0-9a-zA-Z .'Ã]"","""")"),"James McTeigue")</f>
        <v>James McTeigue</v>
      </c>
      <c r="C1226" s="26">
        <v>525.0</v>
      </c>
      <c r="D1226" s="27">
        <v>7.0496802E7</v>
      </c>
      <c r="E1226" s="26" t="s">
        <v>175</v>
      </c>
      <c r="F1226" s="9">
        <f t="shared" si="1"/>
        <v>3</v>
      </c>
      <c r="G1226" s="26" t="s">
        <v>1088</v>
      </c>
      <c r="H1226" s="11" t="str">
        <f>IFERROR(__xludf.DUMMYFUNCTION("REGEXREPLACE(G1226, ""[^0-9a-zA-Z .'Ã]"","""")"),"Natalie Portman")</f>
        <v>Natalie Portman</v>
      </c>
      <c r="I1226" s="28" t="s">
        <v>4406</v>
      </c>
      <c r="J1226" s="26">
        <v>791783.0</v>
      </c>
      <c r="K1226" s="26" t="s">
        <v>4407</v>
      </c>
      <c r="L1226" s="26">
        <v>2042.0</v>
      </c>
      <c r="M1226" s="26" t="s">
        <v>24</v>
      </c>
      <c r="N1226" s="26" t="s">
        <v>25</v>
      </c>
      <c r="O1226" s="27">
        <v>5.4E7</v>
      </c>
      <c r="P1226" s="10">
        <f t="shared" si="2"/>
        <v>16496802</v>
      </c>
      <c r="Q1226" s="12">
        <f t="shared" si="3"/>
        <v>0</v>
      </c>
      <c r="R1226" s="26">
        <v>2005.0</v>
      </c>
      <c r="S1226" s="26">
        <v>8.2</v>
      </c>
    </row>
    <row r="1227" ht="15.75" customHeight="1">
      <c r="A1227" s="7" t="s">
        <v>4408</v>
      </c>
      <c r="B1227" s="8" t="str">
        <f>IFERROR(__xludf.DUMMYFUNCTION("REGEXREPLACE(A1227, ""[^0-9a-zA-Z .'Ã]"","""")"),"David Silverman")</f>
        <v>David Silverman</v>
      </c>
      <c r="C1227" s="9">
        <v>299.0</v>
      </c>
      <c r="D1227" s="10">
        <v>1.8313237E8</v>
      </c>
      <c r="E1227" s="9" t="s">
        <v>4409</v>
      </c>
      <c r="F1227" s="9">
        <f t="shared" si="1"/>
        <v>3</v>
      </c>
      <c r="G1227" s="9" t="s">
        <v>4410</v>
      </c>
      <c r="H1227" s="11" t="str">
        <f>IFERROR(__xludf.DUMMYFUNCTION("REGEXREPLACE(G1227, ""[^0-9a-zA-Z .'Ã]"","""")"),"Albert Brooks")</f>
        <v>Albert Brooks</v>
      </c>
      <c r="I1227" s="11" t="s">
        <v>4411</v>
      </c>
      <c r="J1227" s="9">
        <v>259083.0</v>
      </c>
      <c r="K1227" s="9" t="s">
        <v>4412</v>
      </c>
      <c r="L1227" s="9">
        <v>763.0</v>
      </c>
      <c r="M1227" s="9" t="s">
        <v>24</v>
      </c>
      <c r="N1227" s="9" t="s">
        <v>25</v>
      </c>
      <c r="O1227" s="10">
        <v>7.5E7</v>
      </c>
      <c r="P1227" s="10">
        <f t="shared" si="2"/>
        <v>108132370</v>
      </c>
      <c r="Q1227" s="12">
        <f t="shared" si="3"/>
        <v>0</v>
      </c>
      <c r="R1227" s="9">
        <v>2007.0</v>
      </c>
      <c r="S1227" s="9">
        <v>7.4</v>
      </c>
    </row>
    <row r="1228" ht="15.75" customHeight="1">
      <c r="A1228" s="17" t="s">
        <v>4413</v>
      </c>
      <c r="B1228" s="8" t="str">
        <f>IFERROR(__xludf.DUMMYFUNCTION("REGEXREPLACE(A1228, ""[^0-9a-zA-Z .'Ã]"","""")"),"Akira Kurosawa")</f>
        <v>Akira Kurosawa</v>
      </c>
      <c r="C1228" s="18">
        <v>153.0</v>
      </c>
      <c r="D1228" s="19">
        <v>269061.0</v>
      </c>
      <c r="E1228" s="18" t="s">
        <v>3860</v>
      </c>
      <c r="F1228" s="9">
        <f t="shared" si="1"/>
        <v>3</v>
      </c>
      <c r="G1228" s="18" t="s">
        <v>4414</v>
      </c>
      <c r="H1228" s="11" t="str">
        <f>IFERROR(__xludf.DUMMYFUNCTION("REGEXREPLACE(G1228, ""[^0-9a-zA-Z .'Ã]"","""")"),"Takashi Shimura")</f>
        <v>Takashi Shimura</v>
      </c>
      <c r="I1228" s="20" t="s">
        <v>4415</v>
      </c>
      <c r="J1228" s="18">
        <v>229012.0</v>
      </c>
      <c r="K1228" s="18" t="s">
        <v>4416</v>
      </c>
      <c r="L1228" s="18">
        <v>596.0</v>
      </c>
      <c r="M1228" s="18" t="s">
        <v>1534</v>
      </c>
      <c r="N1228" s="18" t="s">
        <v>1535</v>
      </c>
      <c r="O1228" s="19">
        <v>2000000.0</v>
      </c>
      <c r="P1228" s="10">
        <f t="shared" si="2"/>
        <v>0</v>
      </c>
      <c r="Q1228" s="12">
        <f t="shared" si="3"/>
        <v>1730939</v>
      </c>
      <c r="R1228" s="18">
        <v>1954.0</v>
      </c>
      <c r="S1228" s="18">
        <v>8.7</v>
      </c>
    </row>
    <row r="1229" ht="15.75" customHeight="1">
      <c r="A1229" s="17" t="s">
        <v>1554</v>
      </c>
      <c r="B1229" s="8" t="str">
        <f>IFERROR(__xludf.DUMMYFUNCTION("REGEXREPLACE(A1229, ""[^0-9a-zA-Z .'Ã]"","""")"),"Andrzej Bartkowiak")</f>
        <v>Andrzej Bartkowiak</v>
      </c>
      <c r="C1229" s="18">
        <v>103.0</v>
      </c>
      <c r="D1229" s="19">
        <v>8742261.0</v>
      </c>
      <c r="E1229" s="18" t="s">
        <v>610</v>
      </c>
      <c r="F1229" s="9">
        <f t="shared" si="1"/>
        <v>5</v>
      </c>
      <c r="G1229" s="18" t="s">
        <v>4417</v>
      </c>
      <c r="H1229" s="11" t="str">
        <f>IFERROR(__xludf.DUMMYFUNCTION("REGEXREPLACE(G1229, ""[^0-9a-zA-Z .'Ã]"","""")"),"Chris Klein")</f>
        <v>Chris Klein</v>
      </c>
      <c r="I1229" s="20" t="s">
        <v>4418</v>
      </c>
      <c r="J1229" s="18">
        <v>19824.0</v>
      </c>
      <c r="K1229" s="18" t="s">
        <v>4419</v>
      </c>
      <c r="L1229" s="18">
        <v>179.0</v>
      </c>
      <c r="M1229" s="18" t="s">
        <v>24</v>
      </c>
      <c r="N1229" s="18" t="s">
        <v>624</v>
      </c>
      <c r="O1229" s="19">
        <v>1.8E7</v>
      </c>
      <c r="P1229" s="10">
        <f t="shared" si="2"/>
        <v>0</v>
      </c>
      <c r="Q1229" s="12">
        <f t="shared" si="3"/>
        <v>9257739</v>
      </c>
      <c r="R1229" s="18">
        <v>2009.0</v>
      </c>
      <c r="S1229" s="18">
        <v>3.7</v>
      </c>
    </row>
    <row r="1230" ht="15.75" customHeight="1">
      <c r="A1230" s="13" t="s">
        <v>847</v>
      </c>
      <c r="B1230" s="8" t="str">
        <f>IFERROR(__xludf.DUMMYFUNCTION("REGEXREPLACE(A1230, ""[^0-9a-zA-Z .'Ã]"","""")"),"Lana Wachowski")</f>
        <v>Lana Wachowski</v>
      </c>
      <c r="C1230" s="14">
        <v>245.0</v>
      </c>
      <c r="D1230" s="15">
        <v>1.39259759E8</v>
      </c>
      <c r="E1230" s="14" t="s">
        <v>848</v>
      </c>
      <c r="F1230" s="9">
        <f t="shared" si="1"/>
        <v>2</v>
      </c>
      <c r="G1230" s="14" t="s">
        <v>4344</v>
      </c>
      <c r="H1230" s="11" t="str">
        <f>IFERROR(__xludf.DUMMYFUNCTION("REGEXREPLACE(G1230, ""[^0-9a-zA-Z .'Ã]"","""")"),"Essie Davis")</f>
        <v>Essie Davis</v>
      </c>
      <c r="I1230" s="16" t="s">
        <v>4420</v>
      </c>
      <c r="J1230" s="14">
        <v>364948.0</v>
      </c>
      <c r="K1230" s="14" t="s">
        <v>4421</v>
      </c>
      <c r="L1230" s="14">
        <v>2121.0</v>
      </c>
      <c r="M1230" s="14" t="s">
        <v>24</v>
      </c>
      <c r="N1230" s="14" t="s">
        <v>146</v>
      </c>
      <c r="O1230" s="15">
        <v>1.5E8</v>
      </c>
      <c r="P1230" s="10">
        <f t="shared" si="2"/>
        <v>0</v>
      </c>
      <c r="Q1230" s="12">
        <f t="shared" si="3"/>
        <v>10740241</v>
      </c>
      <c r="R1230" s="14">
        <v>2003.0</v>
      </c>
      <c r="S1230" s="14">
        <v>6.7</v>
      </c>
    </row>
    <row r="1231" ht="15.75" customHeight="1">
      <c r="A1231" s="17" t="s">
        <v>2599</v>
      </c>
      <c r="B1231" s="8" t="str">
        <f>IFERROR(__xludf.DUMMYFUNCTION("REGEXREPLACE(A1231, ""[^0-9a-zA-Z .'Ã]"","""")"),"Richard Linklater")</f>
        <v>Richard Linklater</v>
      </c>
      <c r="C1231" s="18">
        <v>160.0</v>
      </c>
      <c r="D1231" s="19">
        <v>1186957.0</v>
      </c>
      <c r="E1231" s="18" t="s">
        <v>103</v>
      </c>
      <c r="F1231" s="9">
        <f t="shared" si="1"/>
        <v>1</v>
      </c>
      <c r="G1231" s="18" t="s">
        <v>4422</v>
      </c>
      <c r="H1231" s="11" t="str">
        <f>IFERROR(__xludf.DUMMYFUNCTION("REGEXREPLACE(G1231, ""[^0-9a-zA-Z .'Ã]"","""")"),"Zoe Kazan")</f>
        <v>Zoe Kazan</v>
      </c>
      <c r="I1231" s="20" t="s">
        <v>4423</v>
      </c>
      <c r="J1231" s="18">
        <v>9264.0</v>
      </c>
      <c r="K1231" s="18" t="s">
        <v>4424</v>
      </c>
      <c r="L1231" s="18">
        <v>69.0</v>
      </c>
      <c r="M1231" s="18" t="s">
        <v>24</v>
      </c>
      <c r="N1231" s="18" t="s">
        <v>130</v>
      </c>
      <c r="O1231" s="19">
        <v>2.5E7</v>
      </c>
      <c r="P1231" s="10">
        <f t="shared" si="2"/>
        <v>0</v>
      </c>
      <c r="Q1231" s="12">
        <f t="shared" si="3"/>
        <v>23813043</v>
      </c>
      <c r="R1231" s="18">
        <v>2008.0</v>
      </c>
      <c r="S1231" s="18">
        <v>6.8</v>
      </c>
    </row>
    <row r="1232" ht="15.75" customHeight="1">
      <c r="A1232" s="21" t="s">
        <v>1282</v>
      </c>
      <c r="B1232" s="8" t="str">
        <f>IFERROR(__xludf.DUMMYFUNCTION("REGEXREPLACE(A1232, ""[^0-9a-zA-Z .'Ã]"","""")"),"George Lucas")</f>
        <v>George Lucas</v>
      </c>
      <c r="C1232" s="22">
        <v>359.0</v>
      </c>
      <c r="D1232" s="23">
        <v>3.80262555E8</v>
      </c>
      <c r="E1232" s="22" t="s">
        <v>1283</v>
      </c>
      <c r="F1232" s="9">
        <f t="shared" si="1"/>
        <v>4</v>
      </c>
      <c r="G1232" s="22" t="s">
        <v>1088</v>
      </c>
      <c r="H1232" s="11" t="str">
        <f>IFERROR(__xludf.DUMMYFUNCTION("REGEXREPLACE(G1232, ""[^0-9a-zA-Z .'Ã]"","""")"),"Natalie Portman")</f>
        <v>Natalie Portman</v>
      </c>
      <c r="I1232" s="24" t="s">
        <v>4425</v>
      </c>
      <c r="J1232" s="22">
        <v>520104.0</v>
      </c>
      <c r="K1232" s="22" t="s">
        <v>4426</v>
      </c>
      <c r="L1232" s="22">
        <v>3286.0</v>
      </c>
      <c r="M1232" s="22" t="s">
        <v>24</v>
      </c>
      <c r="N1232" s="22" t="s">
        <v>25</v>
      </c>
      <c r="O1232" s="23">
        <v>1.13E8</v>
      </c>
      <c r="P1232" s="10">
        <f t="shared" si="2"/>
        <v>267262555</v>
      </c>
      <c r="Q1232" s="12">
        <f t="shared" si="3"/>
        <v>0</v>
      </c>
      <c r="R1232" s="22">
        <v>2005.0</v>
      </c>
      <c r="S1232" s="22">
        <v>7.6</v>
      </c>
    </row>
    <row r="1233" ht="15.75" customHeight="1">
      <c r="A1233" s="7" t="s">
        <v>2505</v>
      </c>
      <c r="B1233" s="8" t="str">
        <f>IFERROR(__xludf.DUMMYFUNCTION("REGEXREPLACE(A1233, ""[^0-9a-zA-Z .'Ã]"","""")"),"Tony Scott")</f>
        <v>Tony Scott</v>
      </c>
      <c r="C1233" s="9">
        <v>142.0</v>
      </c>
      <c r="D1233" s="10">
        <v>26871.0</v>
      </c>
      <c r="E1233" s="9" t="s">
        <v>152</v>
      </c>
      <c r="F1233" s="9">
        <f t="shared" si="1"/>
        <v>3</v>
      </c>
      <c r="G1233" s="9" t="s">
        <v>1426</v>
      </c>
      <c r="H1233" s="11" t="str">
        <f>IFERROR(__xludf.DUMMYFUNCTION("REGEXREPLACE(G1233, ""[^0-9a-zA-Z .'Ã]"","""")"),"Brad Pitt")</f>
        <v>Brad Pitt</v>
      </c>
      <c r="I1233" s="11" t="s">
        <v>4427</v>
      </c>
      <c r="J1233" s="9">
        <v>121259.0</v>
      </c>
      <c r="K1233" s="9" t="s">
        <v>4428</v>
      </c>
      <c r="L1233" s="9">
        <v>361.0</v>
      </c>
      <c r="M1233" s="9" t="s">
        <v>24</v>
      </c>
      <c r="N1233" s="9" t="s">
        <v>173</v>
      </c>
      <c r="O1233" s="10">
        <v>9.2E7</v>
      </c>
      <c r="P1233" s="10">
        <f t="shared" si="2"/>
        <v>0</v>
      </c>
      <c r="Q1233" s="12">
        <f t="shared" si="3"/>
        <v>91973129</v>
      </c>
      <c r="R1233" s="9">
        <v>2001.0</v>
      </c>
      <c r="S1233" s="9">
        <v>7.0</v>
      </c>
    </row>
    <row r="1234" ht="15.75" customHeight="1">
      <c r="A1234" s="7" t="s">
        <v>4429</v>
      </c>
      <c r="B1234" s="8" t="str">
        <f>IFERROR(__xludf.DUMMYFUNCTION("REGEXREPLACE(A1234, ""[^0-9a-zA-Z .'Ã]"","""")"),"Charles Martin Smith")</f>
        <v>Charles Martin Smith</v>
      </c>
      <c r="C1234" s="9">
        <v>54.0</v>
      </c>
      <c r="D1234" s="10">
        <v>4.2019483E7</v>
      </c>
      <c r="E1234" s="9" t="s">
        <v>2166</v>
      </c>
      <c r="F1234" s="9">
        <f t="shared" si="1"/>
        <v>2</v>
      </c>
      <c r="G1234" s="9" t="s">
        <v>170</v>
      </c>
      <c r="H1234" s="11" t="str">
        <f>IFERROR(__xludf.DUMMYFUNCTION("REGEXREPLACE(G1234, ""[^0-9a-zA-Z .'Ã]"","""")"),"Morgan Freeman")</f>
        <v>Morgan Freeman</v>
      </c>
      <c r="I1234" s="11" t="s">
        <v>4430</v>
      </c>
      <c r="J1234" s="9">
        <v>6069.0</v>
      </c>
      <c r="K1234" s="9" t="s">
        <v>4431</v>
      </c>
      <c r="L1234" s="9">
        <v>33.0</v>
      </c>
      <c r="M1234" s="9" t="s">
        <v>24</v>
      </c>
      <c r="N1234" s="9" t="s">
        <v>25</v>
      </c>
      <c r="O1234" s="10">
        <v>3.6E7</v>
      </c>
      <c r="P1234" s="10">
        <f t="shared" si="2"/>
        <v>6019483</v>
      </c>
      <c r="Q1234" s="12">
        <f t="shared" si="3"/>
        <v>0</v>
      </c>
      <c r="R1234" s="9">
        <v>2014.0</v>
      </c>
      <c r="S1234" s="9">
        <v>6.4</v>
      </c>
    </row>
    <row r="1235" ht="15.75" customHeight="1">
      <c r="A1235" s="7" t="s">
        <v>4432</v>
      </c>
      <c r="B1235" s="8" t="str">
        <f>IFERROR(__xludf.DUMMYFUNCTION("REGEXREPLACE(A1235, ""[^0-9a-zA-Z .'Ã]"","""")"),"Michael Corrente")</f>
        <v>Michael Corrente</v>
      </c>
      <c r="C1235" s="9">
        <v>41.0</v>
      </c>
      <c r="D1235" s="10">
        <v>398420.0</v>
      </c>
      <c r="E1235" s="9" t="s">
        <v>54</v>
      </c>
      <c r="F1235" s="9">
        <f t="shared" si="1"/>
        <v>2</v>
      </c>
      <c r="G1235" s="9" t="s">
        <v>4433</v>
      </c>
      <c r="H1235" s="11" t="str">
        <f>IFERROR(__xludf.DUMMYFUNCTION("REGEXREPLACE(G1235, ""[^0-9a-zA-Z .'Ã]"","""")"),"Jerry Ferrara")</f>
        <v>Jerry Ferrara</v>
      </c>
      <c r="I1235" s="11" t="s">
        <v>4434</v>
      </c>
      <c r="J1235" s="9">
        <v>5049.0</v>
      </c>
      <c r="K1235" s="9" t="s">
        <v>4435</v>
      </c>
      <c r="L1235" s="9">
        <v>48.0</v>
      </c>
      <c r="M1235" s="9" t="s">
        <v>24</v>
      </c>
      <c r="N1235" s="9" t="s">
        <v>25</v>
      </c>
      <c r="O1235" s="10">
        <v>8000000.0</v>
      </c>
      <c r="P1235" s="10">
        <f t="shared" si="2"/>
        <v>0</v>
      </c>
      <c r="Q1235" s="12">
        <f t="shared" si="3"/>
        <v>7601580</v>
      </c>
      <c r="R1235" s="9">
        <v>2007.0</v>
      </c>
      <c r="S1235" s="9">
        <v>6.4</v>
      </c>
    </row>
    <row r="1236" ht="15.75" customHeight="1">
      <c r="A1236" s="21" t="s">
        <v>959</v>
      </c>
      <c r="B1236" s="8" t="str">
        <f>IFERROR(__xludf.DUMMYFUNCTION("REGEXREPLACE(A1236, ""[^0-9a-zA-Z .'Ã]"","""")"),"Oliver Stone")</f>
        <v>Oliver Stone</v>
      </c>
      <c r="C1236" s="22">
        <v>297.0</v>
      </c>
      <c r="D1236" s="23">
        <v>5.2474616E7</v>
      </c>
      <c r="E1236" s="22" t="s">
        <v>103</v>
      </c>
      <c r="F1236" s="9">
        <f t="shared" si="1"/>
        <v>1</v>
      </c>
      <c r="G1236" s="22" t="s">
        <v>2174</v>
      </c>
      <c r="H1236" s="11" t="str">
        <f>IFERROR(__xludf.DUMMYFUNCTION("REGEXREPLACE(G1236, ""[^0-9a-zA-Z .'Ã]"","""")"),"Frank Langella")</f>
        <v>Frank Langella</v>
      </c>
      <c r="I1236" s="24" t="s">
        <v>4436</v>
      </c>
      <c r="J1236" s="22">
        <v>84118.0</v>
      </c>
      <c r="K1236" s="22" t="s">
        <v>4437</v>
      </c>
      <c r="L1236" s="22">
        <v>245.0</v>
      </c>
      <c r="M1236" s="22" t="s">
        <v>24</v>
      </c>
      <c r="N1236" s="22" t="s">
        <v>25</v>
      </c>
      <c r="O1236" s="23">
        <v>7.0E7</v>
      </c>
      <c r="P1236" s="10">
        <f t="shared" si="2"/>
        <v>0</v>
      </c>
      <c r="Q1236" s="12">
        <f t="shared" si="3"/>
        <v>17525384</v>
      </c>
      <c r="R1236" s="22">
        <v>2010.0</v>
      </c>
      <c r="S1236" s="22">
        <v>6.3</v>
      </c>
    </row>
    <row r="1237" ht="15.75" customHeight="1">
      <c r="A1237" s="25" t="s">
        <v>4438</v>
      </c>
      <c r="B1237" s="8" t="str">
        <f>IFERROR(__xludf.DUMMYFUNCTION("REGEXREPLACE(A1237, ""[^0-9a-zA-Z .'Ã]"","""")"),"Vicky Jenson")</f>
        <v>Vicky Jenson</v>
      </c>
      <c r="C1237" s="26">
        <v>97.0</v>
      </c>
      <c r="D1237" s="27">
        <v>6373693.0</v>
      </c>
      <c r="E1237" s="26" t="s">
        <v>89</v>
      </c>
      <c r="F1237" s="9">
        <f t="shared" si="1"/>
        <v>2</v>
      </c>
      <c r="G1237" s="26" t="s">
        <v>878</v>
      </c>
      <c r="H1237" s="11" t="str">
        <f>IFERROR(__xludf.DUMMYFUNCTION("REGEXREPLACE(G1237, ""[^0-9a-zA-Z .'Ã]"","""")"),"J.K. Simmons")</f>
        <v>J.K. Simmons</v>
      </c>
      <c r="I1237" s="28" t="s">
        <v>4439</v>
      </c>
      <c r="J1237" s="26">
        <v>11498.0</v>
      </c>
      <c r="K1237" s="26" t="s">
        <v>4440</v>
      </c>
      <c r="L1237" s="26">
        <v>53.0</v>
      </c>
      <c r="M1237" s="26" t="s">
        <v>24</v>
      </c>
      <c r="N1237" s="26" t="s">
        <v>25</v>
      </c>
      <c r="O1237" s="27">
        <v>1.5E7</v>
      </c>
      <c r="P1237" s="10">
        <f t="shared" si="2"/>
        <v>0</v>
      </c>
      <c r="Q1237" s="12">
        <f t="shared" si="3"/>
        <v>8626307</v>
      </c>
      <c r="R1237" s="26">
        <v>2009.0</v>
      </c>
      <c r="S1237" s="26">
        <v>5.3</v>
      </c>
    </row>
    <row r="1238" ht="15.75" customHeight="1">
      <c r="A1238" s="17" t="s">
        <v>4370</v>
      </c>
      <c r="B1238" s="8" t="str">
        <f>IFERROR(__xludf.DUMMYFUNCTION("REGEXREPLACE(A1238, ""[^0-9a-zA-Z .'Ã]"","""")"),"Jonathan Lynn")</f>
        <v>Jonathan Lynn</v>
      </c>
      <c r="C1238" s="18">
        <v>23.0</v>
      </c>
      <c r="D1238" s="19">
        <v>3.04E7</v>
      </c>
      <c r="E1238" s="18" t="s">
        <v>137</v>
      </c>
      <c r="F1238" s="9">
        <f t="shared" si="1"/>
        <v>1</v>
      </c>
      <c r="G1238" s="18" t="s">
        <v>4441</v>
      </c>
      <c r="H1238" s="11" t="str">
        <f>IFERROR(__xludf.DUMMYFUNCTION("REGEXREPLACE(G1238, ""[^0-9a-zA-Z .'Ã]"","""")"),"Austin Pendleton")</f>
        <v>Austin Pendleton</v>
      </c>
      <c r="I1238" s="20" t="s">
        <v>4442</v>
      </c>
      <c r="J1238" s="18">
        <v>17810.0</v>
      </c>
      <c r="K1238" s="18" t="s">
        <v>4443</v>
      </c>
      <c r="L1238" s="18">
        <v>73.0</v>
      </c>
      <c r="M1238" s="18" t="s">
        <v>24</v>
      </c>
      <c r="N1238" s="18" t="s">
        <v>25</v>
      </c>
      <c r="O1238" s="19">
        <v>3.9E7</v>
      </c>
      <c r="P1238" s="10">
        <f t="shared" si="2"/>
        <v>0</v>
      </c>
      <c r="Q1238" s="12">
        <f t="shared" si="3"/>
        <v>8600000</v>
      </c>
      <c r="R1238" s="18">
        <v>1996.0</v>
      </c>
      <c r="S1238" s="18">
        <v>5.7</v>
      </c>
    </row>
    <row r="1239" ht="15.75" customHeight="1">
      <c r="A1239" s="25" t="s">
        <v>4444</v>
      </c>
      <c r="B1239" s="8" t="str">
        <f>IFERROR(__xludf.DUMMYFUNCTION("REGEXREPLACE(A1239, ""[^0-9a-zA-Z .'Ã]"","""")"),"Paul Bolger")</f>
        <v>Paul Bolger</v>
      </c>
      <c r="C1239" s="26">
        <v>93.0</v>
      </c>
      <c r="D1239" s="27">
        <v>1.5519841E7</v>
      </c>
      <c r="E1239" s="26" t="s">
        <v>301</v>
      </c>
      <c r="F1239" s="9">
        <f t="shared" si="1"/>
        <v>5</v>
      </c>
      <c r="G1239" s="26" t="s">
        <v>3489</v>
      </c>
      <c r="H1239" s="11" t="str">
        <f>IFERROR(__xludf.DUMMYFUNCTION("REGEXREPLACE(G1239, ""[^0-9a-zA-Z .'Ã]"","""")"),"Sarah Michelle Gellar")</f>
        <v>Sarah Michelle Gellar</v>
      </c>
      <c r="I1239" s="28" t="s">
        <v>4445</v>
      </c>
      <c r="J1239" s="26">
        <v>8693.0</v>
      </c>
      <c r="K1239" s="26" t="s">
        <v>4446</v>
      </c>
      <c r="L1239" s="26">
        <v>71.0</v>
      </c>
      <c r="M1239" s="26" t="s">
        <v>24</v>
      </c>
      <c r="N1239" s="26" t="s">
        <v>25</v>
      </c>
      <c r="O1239" s="27">
        <v>4.7E7</v>
      </c>
      <c r="P1239" s="10">
        <f t="shared" si="2"/>
        <v>0</v>
      </c>
      <c r="Q1239" s="12">
        <f t="shared" si="3"/>
        <v>31480159</v>
      </c>
      <c r="R1239" s="26">
        <v>2006.0</v>
      </c>
      <c r="S1239" s="26">
        <v>4.5</v>
      </c>
    </row>
    <row r="1240" ht="15.75" customHeight="1">
      <c r="A1240" s="7" t="s">
        <v>4447</v>
      </c>
      <c r="B1240" s="8" t="str">
        <f>IFERROR(__xludf.DUMMYFUNCTION("REGEXREPLACE(A1240, ""[^0-9a-zA-Z .'Ã]"","""")"),"Tim Miller")</f>
        <v>Tim Miller</v>
      </c>
      <c r="C1240" s="9">
        <v>579.0</v>
      </c>
      <c r="D1240" s="10">
        <v>3.63024263E8</v>
      </c>
      <c r="E1240" s="9" t="s">
        <v>4448</v>
      </c>
      <c r="F1240" s="9">
        <f t="shared" si="1"/>
        <v>5</v>
      </c>
      <c r="G1240" s="9" t="s">
        <v>2451</v>
      </c>
      <c r="H1240" s="11" t="str">
        <f>IFERROR(__xludf.DUMMYFUNCTION("REGEXREPLACE(G1240, ""[^0-9a-zA-Z .'Ã]"","""")"),"Ryan Reynolds")</f>
        <v>Ryan Reynolds</v>
      </c>
      <c r="I1240" s="11" t="s">
        <v>4449</v>
      </c>
      <c r="J1240" s="9">
        <v>479047.0</v>
      </c>
      <c r="K1240" s="9" t="s">
        <v>4450</v>
      </c>
      <c r="L1240" s="9">
        <v>1058.0</v>
      </c>
      <c r="M1240" s="9" t="s">
        <v>24</v>
      </c>
      <c r="N1240" s="9" t="s">
        <v>25</v>
      </c>
      <c r="O1240" s="10">
        <v>5.8E7</v>
      </c>
      <c r="P1240" s="10">
        <f t="shared" si="2"/>
        <v>305024263</v>
      </c>
      <c r="Q1240" s="12">
        <f t="shared" si="3"/>
        <v>0</v>
      </c>
      <c r="R1240" s="9">
        <v>2016.0</v>
      </c>
      <c r="S1240" s="9">
        <v>8.1</v>
      </c>
    </row>
    <row r="1241" ht="15.75" customHeight="1">
      <c r="A1241" s="7" t="s">
        <v>4451</v>
      </c>
      <c r="B1241" s="8" t="str">
        <f>IFERROR(__xludf.DUMMYFUNCTION("REGEXREPLACE(A1241, ""[^0-9a-zA-Z .'Ã]"","""")"),"Nancy Meyers")</f>
        <v>Nancy Meyers</v>
      </c>
      <c r="C1241" s="9">
        <v>145.0</v>
      </c>
      <c r="D1241" s="10">
        <v>1.2459096E8</v>
      </c>
      <c r="E1241" s="9" t="s">
        <v>159</v>
      </c>
      <c r="F1241" s="9">
        <f t="shared" si="1"/>
        <v>3</v>
      </c>
      <c r="G1241" s="9" t="s">
        <v>1170</v>
      </c>
      <c r="H1241" s="11" t="str">
        <f>IFERROR(__xludf.DUMMYFUNCTION("REGEXREPLACE(G1241, ""[^0-9a-zA-Z .'Ã]"","""")"),"Keanu Reeves")</f>
        <v>Keanu Reeves</v>
      </c>
      <c r="I1241" s="11" t="s">
        <v>4452</v>
      </c>
      <c r="J1241" s="9">
        <v>91092.0</v>
      </c>
      <c r="K1241" s="9" t="s">
        <v>4453</v>
      </c>
      <c r="L1241" s="9">
        <v>402.0</v>
      </c>
      <c r="M1241" s="9" t="s">
        <v>24</v>
      </c>
      <c r="N1241" s="9" t="s">
        <v>25</v>
      </c>
      <c r="O1241" s="10">
        <v>8.0E7</v>
      </c>
      <c r="P1241" s="10">
        <f t="shared" si="2"/>
        <v>44590960</v>
      </c>
      <c r="Q1241" s="12">
        <f t="shared" si="3"/>
        <v>0</v>
      </c>
      <c r="R1241" s="9">
        <v>2003.0</v>
      </c>
      <c r="S1241" s="9">
        <v>6.7</v>
      </c>
    </row>
    <row r="1242" ht="15.75" customHeight="1">
      <c r="A1242" s="7" t="s">
        <v>1725</v>
      </c>
      <c r="B1242" s="8" t="str">
        <f>IFERROR(__xludf.DUMMYFUNCTION("REGEXREPLACE(A1242, ""[^0-9a-zA-Z .'Ã]"","""")"),"John G. Avildsen")</f>
        <v>John G. Avildsen</v>
      </c>
      <c r="C1242" s="9">
        <v>141.0</v>
      </c>
      <c r="D1242" s="10">
        <v>1.17235247E8</v>
      </c>
      <c r="E1242" s="9" t="s">
        <v>132</v>
      </c>
      <c r="F1242" s="9">
        <f t="shared" si="1"/>
        <v>2</v>
      </c>
      <c r="G1242" s="9" t="s">
        <v>2532</v>
      </c>
      <c r="H1242" s="11" t="str">
        <f>IFERROR(__xludf.DUMMYFUNCTION("REGEXREPLACE(G1242, ""[^0-9a-zA-Z .'Ã]"","""")"),"Sylvester Stallone")</f>
        <v>Sylvester Stallone</v>
      </c>
      <c r="I1242" s="11" t="s">
        <v>4454</v>
      </c>
      <c r="J1242" s="9">
        <v>375240.0</v>
      </c>
      <c r="K1242" s="9" t="s">
        <v>4455</v>
      </c>
      <c r="L1242" s="9">
        <v>542.0</v>
      </c>
      <c r="M1242" s="9" t="s">
        <v>24</v>
      </c>
      <c r="N1242" s="9" t="s">
        <v>25</v>
      </c>
      <c r="O1242" s="10">
        <v>960000.0</v>
      </c>
      <c r="P1242" s="10">
        <f t="shared" si="2"/>
        <v>116275247</v>
      </c>
      <c r="Q1242" s="12">
        <f t="shared" si="3"/>
        <v>0</v>
      </c>
      <c r="R1242" s="9">
        <v>1976.0</v>
      </c>
      <c r="S1242" s="9">
        <v>8.1</v>
      </c>
    </row>
    <row r="1243" ht="15.75" customHeight="1">
      <c r="A1243" s="29" t="s">
        <v>2409</v>
      </c>
      <c r="B1243" s="8" t="str">
        <f>IFERROR(__xludf.DUMMYFUNCTION("REGEXREPLACE(A1243, ""[^0-9a-zA-Z .'Ã]"","""")"),"Stephen Frears")</f>
        <v>Stephen Frears</v>
      </c>
      <c r="C1243" s="30">
        <v>354.0</v>
      </c>
      <c r="D1243" s="31">
        <v>3.7707719E7</v>
      </c>
      <c r="E1243" s="30" t="s">
        <v>359</v>
      </c>
      <c r="F1243" s="9">
        <f t="shared" si="1"/>
        <v>2</v>
      </c>
      <c r="G1243" s="30" t="s">
        <v>322</v>
      </c>
      <c r="H1243" s="11" t="str">
        <f>IFERROR(__xludf.DUMMYFUNCTION("REGEXREPLACE(G1243, ""[^0-9a-zA-Z .'Ã]"","""")"),"Steve Coogan")</f>
        <v>Steve Coogan</v>
      </c>
      <c r="I1243" s="32" t="s">
        <v>4456</v>
      </c>
      <c r="J1243" s="30">
        <v>76094.0</v>
      </c>
      <c r="K1243" s="30" t="s">
        <v>4457</v>
      </c>
      <c r="L1243" s="30">
        <v>233.0</v>
      </c>
      <c r="M1243" s="30" t="s">
        <v>24</v>
      </c>
      <c r="N1243" s="30" t="s">
        <v>130</v>
      </c>
      <c r="O1243" s="31">
        <v>1.2E7</v>
      </c>
      <c r="P1243" s="10">
        <f t="shared" si="2"/>
        <v>25707719</v>
      </c>
      <c r="Q1243" s="12">
        <f t="shared" si="3"/>
        <v>0</v>
      </c>
      <c r="R1243" s="30">
        <v>2013.0</v>
      </c>
      <c r="S1243" s="30">
        <v>7.6</v>
      </c>
    </row>
    <row r="1244" ht="15.75" customHeight="1">
      <c r="A1244" s="7" t="s">
        <v>4458</v>
      </c>
      <c r="B1244" s="8" t="str">
        <f>IFERROR(__xludf.DUMMYFUNCTION("REGEXREPLACE(A1244, ""[^0-9a-zA-Z .'Ã]"","""")"),"Johnny Remo")</f>
        <v>Johnny Remo</v>
      </c>
      <c r="C1244" s="9">
        <v>2.0</v>
      </c>
      <c r="D1244" s="10">
        <v>96734.0</v>
      </c>
      <c r="E1244" s="9" t="s">
        <v>208</v>
      </c>
      <c r="F1244" s="9">
        <f t="shared" si="1"/>
        <v>2</v>
      </c>
      <c r="G1244" s="9" t="s">
        <v>4459</v>
      </c>
      <c r="H1244" s="11" t="str">
        <f>IFERROR(__xludf.DUMMYFUNCTION("REGEXREPLACE(G1244, ""[^0-9a-zA-Z .'Ã]"","""")"),"Matthew Ziff")</f>
        <v>Matthew Ziff</v>
      </c>
      <c r="I1244" s="11" t="s">
        <v>4460</v>
      </c>
      <c r="J1244" s="9">
        <v>606.0</v>
      </c>
      <c r="K1244" s="9" t="s">
        <v>4461</v>
      </c>
      <c r="L1244" s="9">
        <v>5.0</v>
      </c>
      <c r="M1244" s="9" t="s">
        <v>24</v>
      </c>
      <c r="N1244" s="9" t="s">
        <v>25</v>
      </c>
      <c r="O1244" s="10">
        <v>1000000.0</v>
      </c>
      <c r="P1244" s="10">
        <f t="shared" si="2"/>
        <v>0</v>
      </c>
      <c r="Q1244" s="12">
        <f t="shared" si="3"/>
        <v>903266</v>
      </c>
      <c r="R1244" s="9">
        <v>2012.0</v>
      </c>
      <c r="S1244" s="9">
        <v>5.6</v>
      </c>
    </row>
    <row r="1245" ht="15.75" customHeight="1">
      <c r="A1245" s="21" t="s">
        <v>4462</v>
      </c>
      <c r="B1245" s="8" t="str">
        <f>IFERROR(__xludf.DUMMYFUNCTION("REGEXREPLACE(A1245, ""[^0-9a-zA-Z .'Ã]"","""")"),"Alexandre Aja")</f>
        <v>Alexandre Aja</v>
      </c>
      <c r="C1245" s="22">
        <v>265.0</v>
      </c>
      <c r="D1245" s="23">
        <v>4.1777564E7</v>
      </c>
      <c r="E1245" s="22" t="s">
        <v>148</v>
      </c>
      <c r="F1245" s="9">
        <f t="shared" si="1"/>
        <v>1</v>
      </c>
      <c r="G1245" s="22" t="s">
        <v>4276</v>
      </c>
      <c r="H1245" s="11" t="str">
        <f>IFERROR(__xludf.DUMMYFUNCTION("REGEXREPLACE(G1245, ""[^0-9a-zA-Z .'Ã]"","""")"),"Dan Byrd")</f>
        <v>Dan Byrd</v>
      </c>
      <c r="I1245" s="24" t="s">
        <v>4463</v>
      </c>
      <c r="J1245" s="22">
        <v>129719.0</v>
      </c>
      <c r="K1245" s="22" t="s">
        <v>4464</v>
      </c>
      <c r="L1245" s="22">
        <v>855.0</v>
      </c>
      <c r="M1245" s="22" t="s">
        <v>24</v>
      </c>
      <c r="N1245" s="22" t="s">
        <v>25</v>
      </c>
      <c r="O1245" s="23">
        <v>1.5E7</v>
      </c>
      <c r="P1245" s="10">
        <f t="shared" si="2"/>
        <v>26777564</v>
      </c>
      <c r="Q1245" s="12">
        <f t="shared" si="3"/>
        <v>0</v>
      </c>
      <c r="R1245" s="22">
        <v>2006.0</v>
      </c>
      <c r="S1245" s="22">
        <v>6.4</v>
      </c>
    </row>
    <row r="1246" ht="15.75" customHeight="1">
      <c r="A1246" s="21" t="s">
        <v>2026</v>
      </c>
      <c r="B1246" s="8" t="str">
        <f>IFERROR(__xludf.DUMMYFUNCTION("REGEXREPLACE(A1246, ""[^0-9a-zA-Z .'Ã]"","""")"),"Martin McDonagh")</f>
        <v>Martin McDonagh</v>
      </c>
      <c r="C1246" s="22">
        <v>300.0</v>
      </c>
      <c r="D1246" s="23">
        <v>7757130.0</v>
      </c>
      <c r="E1246" s="22" t="s">
        <v>169</v>
      </c>
      <c r="F1246" s="9">
        <f t="shared" si="1"/>
        <v>3</v>
      </c>
      <c r="G1246" s="22" t="s">
        <v>4465</v>
      </c>
      <c r="H1246" s="11" t="str">
        <f>IFERROR(__xludf.DUMMYFUNCTION("REGEXREPLACE(G1246, ""[^0-9a-zA-Z .'Ã]"","""")"),"Elizabeth Berrington")</f>
        <v>Elizabeth Berrington</v>
      </c>
      <c r="I1246" s="24" t="s">
        <v>4466</v>
      </c>
      <c r="J1246" s="22">
        <v>307639.0</v>
      </c>
      <c r="K1246" s="22" t="s">
        <v>4467</v>
      </c>
      <c r="L1246" s="22">
        <v>513.0</v>
      </c>
      <c r="M1246" s="22" t="s">
        <v>24</v>
      </c>
      <c r="N1246" s="22" t="s">
        <v>130</v>
      </c>
      <c r="O1246" s="23">
        <v>1.5E7</v>
      </c>
      <c r="P1246" s="10">
        <f t="shared" si="2"/>
        <v>0</v>
      </c>
      <c r="Q1246" s="12">
        <f t="shared" si="3"/>
        <v>7242870</v>
      </c>
      <c r="R1246" s="22">
        <v>2008.0</v>
      </c>
      <c r="S1246" s="22">
        <v>8.0</v>
      </c>
    </row>
    <row r="1247" ht="15.75" customHeight="1">
      <c r="A1247" s="7" t="s">
        <v>2490</v>
      </c>
      <c r="B1247" s="8" t="str">
        <f>IFERROR(__xludf.DUMMYFUNCTION("REGEXREPLACE(A1247, ""[^0-9a-zA-Z .'Ã]"","""")"),"David Frankel")</f>
        <v>David Frankel</v>
      </c>
      <c r="C1247" s="9">
        <v>180.0</v>
      </c>
      <c r="D1247" s="10">
        <v>1.43151473E8</v>
      </c>
      <c r="E1247" s="9" t="s">
        <v>1486</v>
      </c>
      <c r="F1247" s="9">
        <f t="shared" si="1"/>
        <v>3</v>
      </c>
      <c r="G1247" s="9" t="s">
        <v>332</v>
      </c>
      <c r="H1247" s="11" t="str">
        <f>IFERROR(__xludf.DUMMYFUNCTION("REGEXREPLACE(G1247, ""[^0-9a-zA-Z .'Ã]"","""")"),"Eric Dane")</f>
        <v>Eric Dane</v>
      </c>
      <c r="I1247" s="11" t="s">
        <v>4468</v>
      </c>
      <c r="J1247" s="9">
        <v>116681.0</v>
      </c>
      <c r="K1247" s="9" t="s">
        <v>4469</v>
      </c>
      <c r="L1247" s="9">
        <v>320.0</v>
      </c>
      <c r="M1247" s="9" t="s">
        <v>24</v>
      </c>
      <c r="N1247" s="9" t="s">
        <v>25</v>
      </c>
      <c r="O1247" s="10">
        <v>6.0E7</v>
      </c>
      <c r="P1247" s="10">
        <f t="shared" si="2"/>
        <v>83151473</v>
      </c>
      <c r="Q1247" s="12">
        <f t="shared" si="3"/>
        <v>0</v>
      </c>
      <c r="R1247" s="9">
        <v>2008.0</v>
      </c>
      <c r="S1247" s="9">
        <v>7.1</v>
      </c>
    </row>
    <row r="1248" ht="15.75" customHeight="1">
      <c r="A1248" s="21" t="s">
        <v>4470</v>
      </c>
      <c r="B1248" s="8" t="str">
        <f>IFERROR(__xludf.DUMMYFUNCTION("REGEXREPLACE(A1248, ""[^0-9a-zA-Z .'Ã]"","""")"),"Noel Marshall")</f>
        <v>Noel Marshall</v>
      </c>
      <c r="C1248" s="22">
        <v>50.0</v>
      </c>
      <c r="D1248" s="23">
        <v>2000000.0</v>
      </c>
      <c r="E1248" s="22" t="s">
        <v>2036</v>
      </c>
      <c r="F1248" s="9">
        <f t="shared" si="1"/>
        <v>3</v>
      </c>
      <c r="G1248" s="22" t="s">
        <v>4471</v>
      </c>
      <c r="H1248" s="11" t="str">
        <f>IFERROR(__xludf.DUMMYFUNCTION("REGEXREPLACE(G1248, ""[^0-9a-zA-Z .'Ã]"","""")"),"Tippi Hedren")</f>
        <v>Tippi Hedren</v>
      </c>
      <c r="I1248" s="24" t="s">
        <v>4472</v>
      </c>
      <c r="J1248" s="22">
        <v>1275.0</v>
      </c>
      <c r="K1248" s="22" t="s">
        <v>4473</v>
      </c>
      <c r="L1248" s="22">
        <v>27.0</v>
      </c>
      <c r="M1248" s="22" t="s">
        <v>24</v>
      </c>
      <c r="N1248" s="22" t="s">
        <v>25</v>
      </c>
      <c r="O1248" s="23">
        <v>1.7E7</v>
      </c>
      <c r="P1248" s="10">
        <f t="shared" si="2"/>
        <v>0</v>
      </c>
      <c r="Q1248" s="12">
        <f t="shared" si="3"/>
        <v>15000000</v>
      </c>
      <c r="R1248" s="22">
        <v>1981.0</v>
      </c>
      <c r="S1248" s="22">
        <v>6.4</v>
      </c>
    </row>
    <row r="1249" ht="15.75" customHeight="1">
      <c r="A1249" s="7" t="s">
        <v>4474</v>
      </c>
      <c r="B1249" s="8" t="str">
        <f>IFERROR(__xludf.DUMMYFUNCTION("REGEXREPLACE(A1249, ""[^0-9a-zA-Z .'Ã]"","""")"),"Claude Chabrol")</f>
        <v>Claude Chabrol</v>
      </c>
      <c r="C1249" s="9">
        <v>34.0</v>
      </c>
      <c r="D1249" s="10">
        <v>231417.0</v>
      </c>
      <c r="E1249" s="9" t="s">
        <v>589</v>
      </c>
      <c r="F1249" s="9">
        <f t="shared" si="1"/>
        <v>3</v>
      </c>
      <c r="G1249" s="9" t="s">
        <v>3021</v>
      </c>
      <c r="H1249" s="11" t="str">
        <f>IFERROR(__xludf.DUMMYFUNCTION("REGEXREPLACE(G1249, ""[^0-9a-zA-Z .'Ã]"","""")"),"Isabelle Huppert")</f>
        <v>Isabelle Huppert</v>
      </c>
      <c r="I1249" s="11" t="s">
        <v>4475</v>
      </c>
      <c r="J1249" s="9">
        <v>1649.0</v>
      </c>
      <c r="K1249" s="9" t="s">
        <v>4476</v>
      </c>
      <c r="L1249" s="9">
        <v>21.0</v>
      </c>
      <c r="M1249" s="9" t="s">
        <v>658</v>
      </c>
      <c r="N1249" s="9" t="s">
        <v>608</v>
      </c>
      <c r="O1249" s="10">
        <v>6.0E7</v>
      </c>
      <c r="P1249" s="10">
        <f t="shared" si="2"/>
        <v>0</v>
      </c>
      <c r="Q1249" s="12">
        <f t="shared" si="3"/>
        <v>59768583</v>
      </c>
      <c r="R1249" s="9">
        <v>1997.0</v>
      </c>
      <c r="S1249" s="9">
        <v>6.6</v>
      </c>
    </row>
    <row r="1250" ht="15.75" customHeight="1">
      <c r="A1250" s="17" t="s">
        <v>4477</v>
      </c>
      <c r="B1250" s="8" t="str">
        <f>IFERROR(__xludf.DUMMYFUNCTION("REGEXREPLACE(A1250, ""[^0-9a-zA-Z .'Ã]"","""")"),"Gary Winick")</f>
        <v>Gary Winick</v>
      </c>
      <c r="C1250" s="18">
        <v>119.0</v>
      </c>
      <c r="D1250" s="19">
        <v>5.6044241E7</v>
      </c>
      <c r="E1250" s="18" t="s">
        <v>1741</v>
      </c>
      <c r="F1250" s="9">
        <f t="shared" si="1"/>
        <v>3</v>
      </c>
      <c r="G1250" s="18" t="s">
        <v>862</v>
      </c>
      <c r="H1250" s="11" t="str">
        <f>IFERROR(__xludf.DUMMYFUNCTION("REGEXREPLACE(G1250, ""[^0-9a-zA-Z .'Ã]"","""")"),"Jennifer Garner")</f>
        <v>Jennifer Garner</v>
      </c>
      <c r="I1250" s="20" t="s">
        <v>4478</v>
      </c>
      <c r="J1250" s="18">
        <v>122187.0</v>
      </c>
      <c r="K1250" s="18" t="s">
        <v>4479</v>
      </c>
      <c r="L1250" s="18">
        <v>339.0</v>
      </c>
      <c r="M1250" s="18" t="s">
        <v>24</v>
      </c>
      <c r="N1250" s="18" t="s">
        <v>25</v>
      </c>
      <c r="O1250" s="19">
        <v>3.7E7</v>
      </c>
      <c r="P1250" s="10">
        <f t="shared" si="2"/>
        <v>19044241</v>
      </c>
      <c r="Q1250" s="12">
        <f t="shared" si="3"/>
        <v>0</v>
      </c>
      <c r="R1250" s="18">
        <v>2004.0</v>
      </c>
      <c r="S1250" s="18">
        <v>6.1</v>
      </c>
    </row>
    <row r="1251" ht="15.75" customHeight="1">
      <c r="A1251" s="17" t="s">
        <v>4480</v>
      </c>
      <c r="B1251" s="8" t="str">
        <f>IFERROR(__xludf.DUMMYFUNCTION("REGEXREPLACE(A1251, ""[^0-9a-zA-Z .'Ã]"","""")"),"Giuseppe Tornatore")</f>
        <v>Giuseppe Tornatore</v>
      </c>
      <c r="C1251" s="18">
        <v>124.0</v>
      </c>
      <c r="D1251" s="19">
        <v>85433.0</v>
      </c>
      <c r="E1251" s="18" t="s">
        <v>4481</v>
      </c>
      <c r="F1251" s="9">
        <f t="shared" si="1"/>
        <v>4</v>
      </c>
      <c r="G1251" s="18" t="s">
        <v>2234</v>
      </c>
      <c r="H1251" s="11" t="str">
        <f>IFERROR(__xludf.DUMMYFUNCTION("REGEXREPLACE(G1251, ""[^0-9a-zA-Z .'Ã]"","""")"),"Jim Sturgess")</f>
        <v>Jim Sturgess</v>
      </c>
      <c r="I1251" s="20" t="s">
        <v>4482</v>
      </c>
      <c r="J1251" s="18">
        <v>69676.0</v>
      </c>
      <c r="K1251" s="18" t="s">
        <v>4483</v>
      </c>
      <c r="L1251" s="18">
        <v>131.0</v>
      </c>
      <c r="M1251" s="18" t="s">
        <v>24</v>
      </c>
      <c r="N1251" s="18" t="s">
        <v>42</v>
      </c>
      <c r="O1251" s="19">
        <v>1.35E7</v>
      </c>
      <c r="P1251" s="10">
        <f t="shared" si="2"/>
        <v>0</v>
      </c>
      <c r="Q1251" s="12">
        <f t="shared" si="3"/>
        <v>13414567</v>
      </c>
      <c r="R1251" s="18">
        <v>2013.0</v>
      </c>
      <c r="S1251" s="18">
        <v>7.8</v>
      </c>
    </row>
    <row r="1252" ht="15.75" customHeight="1">
      <c r="A1252" s="25" t="s">
        <v>4484</v>
      </c>
      <c r="B1252" s="8" t="str">
        <f>IFERROR(__xludf.DUMMYFUNCTION("REGEXREPLACE(A1252, ""[^0-9a-zA-Z .'Ã]"","""")"),"Kevin Tancharoen")</f>
        <v>Kevin Tancharoen</v>
      </c>
      <c r="C1252" s="26">
        <v>134.0</v>
      </c>
      <c r="D1252" s="27">
        <v>2.2452209E7</v>
      </c>
      <c r="E1252" s="26" t="s">
        <v>1403</v>
      </c>
      <c r="F1252" s="9">
        <f t="shared" si="1"/>
        <v>4</v>
      </c>
      <c r="G1252" s="26" t="s">
        <v>4485</v>
      </c>
      <c r="H1252" s="11" t="str">
        <f>IFERROR(__xludf.DUMMYFUNCTION("REGEXREPLACE(G1252, ""[^0-9a-zA-Z .'Ã]"","""")"),"Kelsey Grammer")</f>
        <v>Kelsey Grammer</v>
      </c>
      <c r="I1252" s="28" t="s">
        <v>4486</v>
      </c>
      <c r="J1252" s="26">
        <v>14062.0</v>
      </c>
      <c r="K1252" s="26" t="s">
        <v>4487</v>
      </c>
      <c r="L1252" s="26">
        <v>82.0</v>
      </c>
      <c r="M1252" s="26" t="s">
        <v>24</v>
      </c>
      <c r="N1252" s="26" t="s">
        <v>25</v>
      </c>
      <c r="O1252" s="27">
        <v>1.8E7</v>
      </c>
      <c r="P1252" s="10">
        <f t="shared" si="2"/>
        <v>4452209</v>
      </c>
      <c r="Q1252" s="12">
        <f t="shared" si="3"/>
        <v>0</v>
      </c>
      <c r="R1252" s="26">
        <v>2009.0</v>
      </c>
      <c r="S1252" s="26">
        <v>5.0</v>
      </c>
    </row>
    <row r="1253" ht="15.75" customHeight="1">
      <c r="A1253" s="29" t="s">
        <v>3816</v>
      </c>
      <c r="B1253" s="8" t="str">
        <f>IFERROR(__xludf.DUMMYFUNCTION("REGEXREPLACE(A1253, ""[^0-9a-zA-Z .'Ã]"","""")"),"Jeff Nichols")</f>
        <v>Jeff Nichols</v>
      </c>
      <c r="C1253" s="30">
        <v>368.0</v>
      </c>
      <c r="D1253" s="31">
        <v>2.1589307E7</v>
      </c>
      <c r="E1253" s="30" t="s">
        <v>103</v>
      </c>
      <c r="F1253" s="9">
        <f t="shared" si="1"/>
        <v>1</v>
      </c>
      <c r="G1253" s="30" t="s">
        <v>80</v>
      </c>
      <c r="H1253" s="11" t="str">
        <f>IFERROR(__xludf.DUMMYFUNCTION("REGEXREPLACE(G1253, ""[^0-9a-zA-Z .'Ã]"","""")"),"Matthew McConaughey")</f>
        <v>Matthew McConaughey</v>
      </c>
      <c r="I1253" s="32" t="s">
        <v>4488</v>
      </c>
      <c r="J1253" s="30">
        <v>135286.0</v>
      </c>
      <c r="K1253" s="30" t="s">
        <v>4489</v>
      </c>
      <c r="L1253" s="30">
        <v>261.0</v>
      </c>
      <c r="M1253" s="30" t="s">
        <v>24</v>
      </c>
      <c r="N1253" s="30" t="s">
        <v>25</v>
      </c>
      <c r="O1253" s="31">
        <v>1.0E7</v>
      </c>
      <c r="P1253" s="10">
        <f t="shared" si="2"/>
        <v>11589307</v>
      </c>
      <c r="Q1253" s="12">
        <f t="shared" si="3"/>
        <v>0</v>
      </c>
      <c r="R1253" s="30">
        <v>2012.0</v>
      </c>
      <c r="S1253" s="30">
        <v>7.4</v>
      </c>
    </row>
    <row r="1254" ht="15.75" customHeight="1">
      <c r="A1254" s="21" t="s">
        <v>583</v>
      </c>
      <c r="B1254" s="8" t="str">
        <f>IFERROR(__xludf.DUMMYFUNCTION("REGEXREPLACE(A1254, ""[^0-9a-zA-Z .'Ã]"","""")"),"Gus Van Sant")</f>
        <v>Gus Van Sant</v>
      </c>
      <c r="C1254" s="22">
        <v>161.0</v>
      </c>
      <c r="D1254" s="23">
        <v>1.38339411E8</v>
      </c>
      <c r="E1254" s="22" t="s">
        <v>103</v>
      </c>
      <c r="F1254" s="9">
        <f t="shared" si="1"/>
        <v>1</v>
      </c>
      <c r="G1254" s="22" t="s">
        <v>673</v>
      </c>
      <c r="H1254" s="11" t="str">
        <f>IFERROR(__xludf.DUMMYFUNCTION("REGEXREPLACE(G1254, ""[^0-9a-zA-Z .'Ã]"","""")"),"Robin Williams")</f>
        <v>Robin Williams</v>
      </c>
      <c r="I1254" s="24" t="s">
        <v>4490</v>
      </c>
      <c r="J1254" s="22">
        <v>604904.0</v>
      </c>
      <c r="K1254" s="22" t="s">
        <v>4491</v>
      </c>
      <c r="L1254" s="22">
        <v>682.0</v>
      </c>
      <c r="M1254" s="22" t="s">
        <v>24</v>
      </c>
      <c r="N1254" s="22" t="s">
        <v>25</v>
      </c>
      <c r="O1254" s="23">
        <v>1.0E7</v>
      </c>
      <c r="P1254" s="10">
        <f t="shared" si="2"/>
        <v>128339411</v>
      </c>
      <c r="Q1254" s="12">
        <f t="shared" si="3"/>
        <v>0</v>
      </c>
      <c r="R1254" s="22">
        <v>1997.0</v>
      </c>
      <c r="S1254" s="22">
        <v>8.3</v>
      </c>
    </row>
    <row r="1255" ht="15.75" customHeight="1">
      <c r="A1255" s="29" t="s">
        <v>4492</v>
      </c>
      <c r="B1255" s="8" t="str">
        <f>IFERROR(__xludf.DUMMYFUNCTION("REGEXREPLACE(A1255, ""[^0-9a-zA-Z .'Ã]"","""")"),"David Sington")</f>
        <v>David Sington</v>
      </c>
      <c r="C1255" s="30">
        <v>107.0</v>
      </c>
      <c r="D1255" s="31">
        <v>1134049.0</v>
      </c>
      <c r="E1255" s="30" t="s">
        <v>4493</v>
      </c>
      <c r="F1255" s="9">
        <f t="shared" si="1"/>
        <v>2</v>
      </c>
      <c r="G1255" s="30" t="s">
        <v>4494</v>
      </c>
      <c r="H1255" s="11" t="str">
        <f>IFERROR(__xludf.DUMMYFUNCTION("REGEXREPLACE(G1255, ""[^0-9a-zA-Z .'Ã]"","""")"),"John F. Kennedy")</f>
        <v>John F. Kennedy</v>
      </c>
      <c r="I1255" s="32" t="s">
        <v>4495</v>
      </c>
      <c r="J1255" s="30">
        <v>5475.0</v>
      </c>
      <c r="K1255" s="30" t="s">
        <v>4496</v>
      </c>
      <c r="L1255" s="30">
        <v>44.0</v>
      </c>
      <c r="M1255" s="30" t="s">
        <v>24</v>
      </c>
      <c r="N1255" s="30" t="s">
        <v>130</v>
      </c>
      <c r="O1255" s="31">
        <v>2000000.0</v>
      </c>
      <c r="P1255" s="10">
        <f t="shared" si="2"/>
        <v>0</v>
      </c>
      <c r="Q1255" s="12">
        <f t="shared" si="3"/>
        <v>865951</v>
      </c>
      <c r="R1255" s="30">
        <v>2007.0</v>
      </c>
      <c r="S1255" s="30">
        <v>8.1</v>
      </c>
    </row>
    <row r="1256" ht="15.75" customHeight="1">
      <c r="A1256" s="21" t="s">
        <v>2302</v>
      </c>
      <c r="B1256" s="8" t="str">
        <f>IFERROR(__xludf.DUMMYFUNCTION("REGEXREPLACE(A1256, ""[^0-9a-zA-Z .'Ã]"","""")"),"George Tillman Jr.")</f>
        <v>George Tillman Jr.</v>
      </c>
      <c r="C1256" s="22">
        <v>98.0</v>
      </c>
      <c r="D1256" s="23">
        <v>4.8814909E7</v>
      </c>
      <c r="E1256" s="22" t="s">
        <v>359</v>
      </c>
      <c r="F1256" s="9">
        <f t="shared" si="1"/>
        <v>2</v>
      </c>
      <c r="G1256" s="22" t="s">
        <v>883</v>
      </c>
      <c r="H1256" s="11" t="str">
        <f>IFERROR(__xludf.DUMMYFUNCTION("REGEXREPLACE(G1256, ""[^0-9a-zA-Z .'Ã]"","""")"),"Robert De Niro")</f>
        <v>Robert De Niro</v>
      </c>
      <c r="I1256" s="24" t="s">
        <v>4497</v>
      </c>
      <c r="J1256" s="22">
        <v>89424.0</v>
      </c>
      <c r="K1256" s="22" t="s">
        <v>4498</v>
      </c>
      <c r="L1256" s="22">
        <v>224.0</v>
      </c>
      <c r="M1256" s="22" t="s">
        <v>24</v>
      </c>
      <c r="N1256" s="22" t="s">
        <v>25</v>
      </c>
      <c r="O1256" s="23">
        <v>3.2E7</v>
      </c>
      <c r="P1256" s="10">
        <f t="shared" si="2"/>
        <v>16814909</v>
      </c>
      <c r="Q1256" s="12">
        <f t="shared" si="3"/>
        <v>0</v>
      </c>
      <c r="R1256" s="22">
        <v>2000.0</v>
      </c>
      <c r="S1256" s="22">
        <v>7.2</v>
      </c>
    </row>
    <row r="1257" ht="15.75" customHeight="1">
      <c r="A1257" s="7" t="s">
        <v>3711</v>
      </c>
      <c r="B1257" s="8" t="str">
        <f>IFERROR(__xludf.DUMMYFUNCTION("REGEXREPLACE(A1257, ""[^0-9a-zA-Z .'Ã]"","""")"),"Martin Brest")</f>
        <v>Martin Brest</v>
      </c>
      <c r="C1257" s="9">
        <v>131.0</v>
      </c>
      <c r="D1257" s="10">
        <v>5660084.0</v>
      </c>
      <c r="E1257" s="9" t="s">
        <v>241</v>
      </c>
      <c r="F1257" s="9">
        <f t="shared" si="1"/>
        <v>3</v>
      </c>
      <c r="G1257" s="9" t="s">
        <v>4499</v>
      </c>
      <c r="H1257" s="11" t="str">
        <f>IFERROR(__xludf.DUMMYFUNCTION("REGEXREPLACE(G1257, ""[^0-9a-zA-Z .'Ã]"","""")"),"Todd Giebenhain")</f>
        <v>Todd Giebenhain</v>
      </c>
      <c r="I1257" s="11" t="s">
        <v>4500</v>
      </c>
      <c r="J1257" s="9">
        <v>41620.0</v>
      </c>
      <c r="K1257" s="9" t="s">
        <v>4501</v>
      </c>
      <c r="L1257" s="9">
        <v>418.0</v>
      </c>
      <c r="M1257" s="9" t="s">
        <v>24</v>
      </c>
      <c r="N1257" s="9" t="s">
        <v>25</v>
      </c>
      <c r="O1257" s="10">
        <v>5.4E7</v>
      </c>
      <c r="P1257" s="10">
        <f t="shared" si="2"/>
        <v>0</v>
      </c>
      <c r="Q1257" s="12">
        <f t="shared" si="3"/>
        <v>48339916</v>
      </c>
      <c r="R1257" s="9">
        <v>2003.0</v>
      </c>
      <c r="S1257" s="9">
        <v>2.4</v>
      </c>
    </row>
    <row r="1258" ht="15.75" customHeight="1">
      <c r="A1258" s="7" t="s">
        <v>4502</v>
      </c>
      <c r="B1258" s="8" t="str">
        <f>IFERROR(__xludf.DUMMYFUNCTION("REGEXREPLACE(A1258, ""[^0-9a-zA-Z .'Ã]"","""")"),"Kenny Ortega")</f>
        <v>Kenny Ortega</v>
      </c>
      <c r="C1258" s="9">
        <v>136.0</v>
      </c>
      <c r="D1258" s="10">
        <v>7.1844424E7</v>
      </c>
      <c r="E1258" s="9" t="s">
        <v>715</v>
      </c>
      <c r="F1258" s="9">
        <f t="shared" si="1"/>
        <v>2</v>
      </c>
      <c r="G1258" s="9" t="s">
        <v>4503</v>
      </c>
      <c r="H1258" s="11" t="str">
        <f>IFERROR(__xludf.DUMMYFUNCTION("REGEXREPLACE(G1258, ""[^0-9a-zA-Z .'Ã]"","""")"),"Misha Gabriel Hamilton")</f>
        <v>Misha Gabriel Hamilton</v>
      </c>
      <c r="I1258" s="11" t="s">
        <v>4504</v>
      </c>
      <c r="J1258" s="9">
        <v>33158.0</v>
      </c>
      <c r="K1258" s="9" t="s">
        <v>4505</v>
      </c>
      <c r="L1258" s="9">
        <v>223.0</v>
      </c>
      <c r="M1258" s="9" t="s">
        <v>24</v>
      </c>
      <c r="N1258" s="9" t="s">
        <v>25</v>
      </c>
      <c r="O1258" s="10">
        <v>6.0E7</v>
      </c>
      <c r="P1258" s="10">
        <f t="shared" si="2"/>
        <v>11844424</v>
      </c>
      <c r="Q1258" s="12">
        <f t="shared" si="3"/>
        <v>0</v>
      </c>
      <c r="R1258" s="9">
        <v>2009.0</v>
      </c>
      <c r="S1258" s="9">
        <v>7.3</v>
      </c>
    </row>
    <row r="1259" ht="15.75" customHeight="1">
      <c r="A1259" s="7" t="s">
        <v>733</v>
      </c>
      <c r="B1259" s="8" t="str">
        <f>IFERROR(__xludf.DUMMYFUNCTION("REGEXREPLACE(A1259, ""[^0-9a-zA-Z .'Ã]"","""")"),"Nicholas Hytner")</f>
        <v>Nicholas Hytner</v>
      </c>
      <c r="C1259" s="9">
        <v>112.0</v>
      </c>
      <c r="D1259" s="10">
        <v>2706659.0</v>
      </c>
      <c r="E1259" s="9" t="s">
        <v>454</v>
      </c>
      <c r="F1259" s="9">
        <f t="shared" si="1"/>
        <v>2</v>
      </c>
      <c r="G1259" s="9" t="s">
        <v>2478</v>
      </c>
      <c r="H1259" s="11" t="str">
        <f>IFERROR(__xludf.DUMMYFUNCTION("REGEXREPLACE(G1259, ""[^0-9a-zA-Z .'Ã]"","""")"),"Dominic Cooper")</f>
        <v>Dominic Cooper</v>
      </c>
      <c r="I1259" s="11" t="s">
        <v>4506</v>
      </c>
      <c r="J1259" s="9">
        <v>17770.0</v>
      </c>
      <c r="K1259" s="9" t="s">
        <v>4507</v>
      </c>
      <c r="L1259" s="9">
        <v>172.0</v>
      </c>
      <c r="M1259" s="9" t="s">
        <v>24</v>
      </c>
      <c r="N1259" s="9" t="s">
        <v>130</v>
      </c>
      <c r="O1259" s="10">
        <v>2000000.0</v>
      </c>
      <c r="P1259" s="10">
        <f t="shared" si="2"/>
        <v>706659</v>
      </c>
      <c r="Q1259" s="12">
        <f t="shared" si="3"/>
        <v>0</v>
      </c>
      <c r="R1259" s="9">
        <v>2006.0</v>
      </c>
      <c r="S1259" s="9">
        <v>6.9</v>
      </c>
    </row>
    <row r="1260" ht="15.75" customHeight="1">
      <c r="A1260" s="7" t="s">
        <v>4508</v>
      </c>
      <c r="B1260" s="8" t="str">
        <f>IFERROR(__xludf.DUMMYFUNCTION("REGEXREPLACE(A1260, ""[^0-9a-zA-Z .'Ã]"","""")"),"Milos Forman")</f>
        <v>Milos Forman</v>
      </c>
      <c r="C1260" s="9">
        <v>134.0</v>
      </c>
      <c r="D1260" s="10">
        <v>5.16E7</v>
      </c>
      <c r="E1260" s="9" t="s">
        <v>4509</v>
      </c>
      <c r="F1260" s="9">
        <f t="shared" si="1"/>
        <v>4</v>
      </c>
      <c r="G1260" s="9" t="s">
        <v>4510</v>
      </c>
      <c r="H1260" s="11" t="str">
        <f>IFERROR(__xludf.DUMMYFUNCTION("REGEXREPLACE(G1260, ""[^0-9a-zA-Z .'Ã]"","""")"),"Jeffrey Jones")</f>
        <v>Jeffrey Jones</v>
      </c>
      <c r="I1260" s="11" t="s">
        <v>4511</v>
      </c>
      <c r="J1260" s="9">
        <v>270790.0</v>
      </c>
      <c r="K1260" s="9" t="s">
        <v>4512</v>
      </c>
      <c r="L1260" s="9">
        <v>549.0</v>
      </c>
      <c r="M1260" s="9" t="s">
        <v>24</v>
      </c>
      <c r="N1260" s="9" t="s">
        <v>25</v>
      </c>
      <c r="O1260" s="10">
        <v>1.8E7</v>
      </c>
      <c r="P1260" s="10">
        <f t="shared" si="2"/>
        <v>33600000</v>
      </c>
      <c r="Q1260" s="12">
        <f t="shared" si="3"/>
        <v>0</v>
      </c>
      <c r="R1260" s="9">
        <v>1984.0</v>
      </c>
      <c r="S1260" s="9">
        <v>8.3</v>
      </c>
    </row>
    <row r="1261" ht="15.75" customHeight="1">
      <c r="A1261" s="29" t="s">
        <v>4513</v>
      </c>
      <c r="B1261" s="8" t="str">
        <f>IFERROR(__xludf.DUMMYFUNCTION("REGEXREPLACE(A1261, ""[^0-9a-zA-Z .'Ã]"","""")"),"Ryan Fleck")</f>
        <v>Ryan Fleck</v>
      </c>
      <c r="C1261" s="30">
        <v>208.0</v>
      </c>
      <c r="D1261" s="31">
        <v>2694973.0</v>
      </c>
      <c r="E1261" s="30" t="s">
        <v>103</v>
      </c>
      <c r="F1261" s="9">
        <f t="shared" si="1"/>
        <v>1</v>
      </c>
      <c r="G1261" s="30" t="s">
        <v>224</v>
      </c>
      <c r="H1261" s="11" t="str">
        <f>IFERROR(__xludf.DUMMYFUNCTION("REGEXREPLACE(G1261, ""[^0-9a-zA-Z .'Ã]"","""")"),"Ryan Gosling")</f>
        <v>Ryan Gosling</v>
      </c>
      <c r="I1261" s="32" t="s">
        <v>4514</v>
      </c>
      <c r="J1261" s="30">
        <v>70885.0</v>
      </c>
      <c r="K1261" s="30" t="s">
        <v>4515</v>
      </c>
      <c r="L1261" s="30">
        <v>189.0</v>
      </c>
      <c r="M1261" s="30" t="s">
        <v>24</v>
      </c>
      <c r="N1261" s="30" t="s">
        <v>25</v>
      </c>
      <c r="O1261" s="31">
        <v>700000.0</v>
      </c>
      <c r="P1261" s="10">
        <f t="shared" si="2"/>
        <v>1994973</v>
      </c>
      <c r="Q1261" s="12">
        <f t="shared" si="3"/>
        <v>0</v>
      </c>
      <c r="R1261" s="30">
        <v>2006.0</v>
      </c>
      <c r="S1261" s="30">
        <v>7.2</v>
      </c>
    </row>
    <row r="1262" ht="15.75" customHeight="1">
      <c r="A1262" s="17" t="s">
        <v>4516</v>
      </c>
      <c r="B1262" s="8" t="str">
        <f>IFERROR(__xludf.DUMMYFUNCTION("REGEXREPLACE(A1262, ""[^0-9a-zA-Z .'Ã]"","""")"),"George Miller")</f>
        <v>George Miller</v>
      </c>
      <c r="C1262" s="18">
        <v>117.0</v>
      </c>
      <c r="D1262" s="19">
        <v>3.62E7</v>
      </c>
      <c r="E1262" s="18" t="s">
        <v>794</v>
      </c>
      <c r="F1262" s="9">
        <f t="shared" si="1"/>
        <v>4</v>
      </c>
      <c r="G1262" s="18" t="s">
        <v>4517</v>
      </c>
      <c r="H1262" s="11" t="str">
        <f>IFERROR(__xludf.DUMMYFUNCTION("REGEXREPLACE(G1262, ""[^0-9a-zA-Z .'Ã]"","""")"),"Tina Turner")</f>
        <v>Tina Turner</v>
      </c>
      <c r="I1262" s="20" t="s">
        <v>4518</v>
      </c>
      <c r="J1262" s="18">
        <v>101840.0</v>
      </c>
      <c r="K1262" s="18" t="s">
        <v>4519</v>
      </c>
      <c r="L1262" s="18">
        <v>193.0</v>
      </c>
      <c r="M1262" s="18" t="s">
        <v>24</v>
      </c>
      <c r="N1262" s="18" t="s">
        <v>146</v>
      </c>
      <c r="O1262" s="19">
        <v>1.2305523E7</v>
      </c>
      <c r="P1262" s="10">
        <f t="shared" si="2"/>
        <v>23894477</v>
      </c>
      <c r="Q1262" s="12">
        <f t="shared" si="3"/>
        <v>0</v>
      </c>
      <c r="R1262" s="18">
        <v>1985.0</v>
      </c>
      <c r="S1262" s="18">
        <v>6.2</v>
      </c>
    </row>
    <row r="1263" ht="15.75" customHeight="1">
      <c r="A1263" s="29" t="s">
        <v>2535</v>
      </c>
      <c r="B1263" s="8" t="str">
        <f>IFERROR(__xludf.DUMMYFUNCTION("REGEXREPLACE(A1263, ""[^0-9a-zA-Z .'Ã]"","""")"),"Ivan Reitman")</f>
        <v>Ivan Reitman</v>
      </c>
      <c r="C1263" s="30">
        <v>147.0</v>
      </c>
      <c r="D1263" s="31">
        <v>2.2526144E7</v>
      </c>
      <c r="E1263" s="30" t="s">
        <v>1455</v>
      </c>
      <c r="F1263" s="9">
        <f t="shared" si="1"/>
        <v>3</v>
      </c>
      <c r="G1263" s="30" t="s">
        <v>4520</v>
      </c>
      <c r="H1263" s="11" t="str">
        <f>IFERROR(__xludf.DUMMYFUNCTION("REGEXREPLACE(G1263, ""[^0-9a-zA-Z .'Ã]"","""")"),"Rainn Wilson")</f>
        <v>Rainn Wilson</v>
      </c>
      <c r="I1263" s="32" t="s">
        <v>4521</v>
      </c>
      <c r="J1263" s="30">
        <v>53884.0</v>
      </c>
      <c r="K1263" s="30" t="s">
        <v>4522</v>
      </c>
      <c r="L1263" s="30">
        <v>203.0</v>
      </c>
      <c r="M1263" s="30" t="s">
        <v>24</v>
      </c>
      <c r="N1263" s="30" t="s">
        <v>25</v>
      </c>
      <c r="O1263" s="31">
        <v>3.0E7</v>
      </c>
      <c r="P1263" s="10">
        <f t="shared" si="2"/>
        <v>0</v>
      </c>
      <c r="Q1263" s="12">
        <f t="shared" si="3"/>
        <v>7473856</v>
      </c>
      <c r="R1263" s="30">
        <v>2006.0</v>
      </c>
      <c r="S1263" s="30">
        <v>5.1</v>
      </c>
    </row>
    <row r="1264" ht="15.75" customHeight="1">
      <c r="A1264" s="17" t="s">
        <v>68</v>
      </c>
      <c r="B1264" s="8" t="str">
        <f>IFERROR(__xludf.DUMMYFUNCTION("REGEXREPLACE(A1264, ""[^0-9a-zA-Z .'Ã]"","""")"),"Spike Lee")</f>
        <v>Spike Lee</v>
      </c>
      <c r="C1264" s="18">
        <v>202.0</v>
      </c>
      <c r="D1264" s="19">
        <v>1.3060843E7</v>
      </c>
      <c r="E1264" s="18" t="s">
        <v>103</v>
      </c>
      <c r="F1264" s="9">
        <f t="shared" si="1"/>
        <v>1</v>
      </c>
      <c r="G1264" s="18" t="s">
        <v>1340</v>
      </c>
      <c r="H1264" s="11" t="str">
        <f>IFERROR(__xludf.DUMMYFUNCTION("REGEXREPLACE(G1264, ""[^0-9a-zA-Z .'Ã]"","""")"),"Philip Seymour Hoffman")</f>
        <v>Philip Seymour Hoffman</v>
      </c>
      <c r="I1264" s="20" t="s">
        <v>4523</v>
      </c>
      <c r="J1264" s="18">
        <v>149528.0</v>
      </c>
      <c r="K1264" s="18" t="s">
        <v>4524</v>
      </c>
      <c r="L1264" s="18">
        <v>454.0</v>
      </c>
      <c r="M1264" s="18" t="s">
        <v>24</v>
      </c>
      <c r="N1264" s="18" t="s">
        <v>25</v>
      </c>
      <c r="O1264" s="19">
        <v>1.5E7</v>
      </c>
      <c r="P1264" s="10">
        <f t="shared" si="2"/>
        <v>0</v>
      </c>
      <c r="Q1264" s="12">
        <f t="shared" si="3"/>
        <v>1939157</v>
      </c>
      <c r="R1264" s="18">
        <v>2002.0</v>
      </c>
      <c r="S1264" s="18">
        <v>7.7</v>
      </c>
    </row>
    <row r="1265" ht="15.75" customHeight="1">
      <c r="A1265" s="7" t="s">
        <v>4525</v>
      </c>
      <c r="B1265" s="8" t="str">
        <f>IFERROR(__xludf.DUMMYFUNCTION("REGEXREPLACE(A1265, ""[^0-9a-zA-Z .'Ã]"","""")"),"Lloyd Bacon")</f>
        <v>Lloyd Bacon</v>
      </c>
      <c r="C1265" s="9">
        <v>65.0</v>
      </c>
      <c r="D1265" s="10">
        <v>2300000.0</v>
      </c>
      <c r="E1265" s="9" t="s">
        <v>1936</v>
      </c>
      <c r="F1265" s="9">
        <f t="shared" si="1"/>
        <v>3</v>
      </c>
      <c r="G1265" s="9" t="s">
        <v>1937</v>
      </c>
      <c r="H1265" s="11" t="str">
        <f>IFERROR(__xludf.DUMMYFUNCTION("REGEXREPLACE(G1265, ""[^0-9a-zA-Z .'Ã]"","""")"),"Ginger Rogers")</f>
        <v>Ginger Rogers</v>
      </c>
      <c r="I1265" s="11" t="s">
        <v>4526</v>
      </c>
      <c r="J1265" s="9">
        <v>7921.0</v>
      </c>
      <c r="K1265" s="9" t="s">
        <v>4527</v>
      </c>
      <c r="L1265" s="9">
        <v>97.0</v>
      </c>
      <c r="M1265" s="9" t="s">
        <v>24</v>
      </c>
      <c r="N1265" s="9" t="s">
        <v>25</v>
      </c>
      <c r="O1265" s="10">
        <v>439000.0</v>
      </c>
      <c r="P1265" s="10">
        <f t="shared" si="2"/>
        <v>1861000</v>
      </c>
      <c r="Q1265" s="12">
        <f t="shared" si="3"/>
        <v>0</v>
      </c>
      <c r="R1265" s="9">
        <v>1933.0</v>
      </c>
      <c r="S1265" s="9">
        <v>7.7</v>
      </c>
    </row>
    <row r="1266" ht="15.75" customHeight="1">
      <c r="A1266" s="17" t="s">
        <v>1554</v>
      </c>
      <c r="B1266" s="8" t="str">
        <f>IFERROR(__xludf.DUMMYFUNCTION("REGEXREPLACE(A1266, ""[^0-9a-zA-Z .'Ã]"","""")"),"Andrzej Bartkowiak")</f>
        <v>Andrzej Bartkowiak</v>
      </c>
      <c r="C1266" s="18">
        <v>237.0</v>
      </c>
      <c r="D1266" s="19">
        <v>2.803125E7</v>
      </c>
      <c r="E1266" s="18" t="s">
        <v>4528</v>
      </c>
      <c r="F1266" s="9">
        <f t="shared" si="1"/>
        <v>4</v>
      </c>
      <c r="G1266" s="18" t="s">
        <v>50</v>
      </c>
      <c r="H1266" s="11" t="str">
        <f>IFERROR(__xludf.DUMMYFUNCTION("REGEXREPLACE(G1266, ""[^0-9a-zA-Z .'Ã]"","""")"),"Dwayne Johnson")</f>
        <v>Dwayne Johnson</v>
      </c>
      <c r="I1266" s="20" t="s">
        <v>4529</v>
      </c>
      <c r="J1266" s="18">
        <v>88146.0</v>
      </c>
      <c r="K1266" s="18" t="s">
        <v>4530</v>
      </c>
      <c r="L1266" s="18">
        <v>814.0</v>
      </c>
      <c r="M1266" s="18" t="s">
        <v>24</v>
      </c>
      <c r="N1266" s="18" t="s">
        <v>130</v>
      </c>
      <c r="O1266" s="19">
        <v>6.0E7</v>
      </c>
      <c r="P1266" s="10">
        <f t="shared" si="2"/>
        <v>0</v>
      </c>
      <c r="Q1266" s="12">
        <f t="shared" si="3"/>
        <v>31968750</v>
      </c>
      <c r="R1266" s="18">
        <v>2005.0</v>
      </c>
      <c r="S1266" s="18">
        <v>5.2</v>
      </c>
    </row>
    <row r="1267" ht="15.75" customHeight="1">
      <c r="A1267" s="21" t="s">
        <v>4256</v>
      </c>
      <c r="B1267" s="8" t="str">
        <f>IFERROR(__xludf.DUMMYFUNCTION("REGEXREPLACE(A1267, ""[^0-9a-zA-Z .'Ã]"","""")"),"Michael Apted")</f>
        <v>Michael Apted</v>
      </c>
      <c r="C1267" s="22">
        <v>197.0</v>
      </c>
      <c r="D1267" s="23">
        <v>1.2693066E8</v>
      </c>
      <c r="E1267" s="22" t="s">
        <v>474</v>
      </c>
      <c r="F1267" s="9">
        <f t="shared" si="1"/>
        <v>3</v>
      </c>
      <c r="G1267" s="22" t="s">
        <v>4531</v>
      </c>
      <c r="H1267" s="11" t="str">
        <f>IFERROR(__xludf.DUMMYFUNCTION("REGEXREPLACE(G1267, ""[^0-9a-zA-Z .'Ã]"","""")"),"Colin Salmon")</f>
        <v>Colin Salmon</v>
      </c>
      <c r="I1267" s="24" t="s">
        <v>4532</v>
      </c>
      <c r="J1267" s="22">
        <v>157519.0</v>
      </c>
      <c r="K1267" s="22" t="s">
        <v>4533</v>
      </c>
      <c r="L1267" s="22">
        <v>683.0</v>
      </c>
      <c r="M1267" s="22" t="s">
        <v>24</v>
      </c>
      <c r="N1267" s="22" t="s">
        <v>130</v>
      </c>
      <c r="O1267" s="23">
        <v>1.35E8</v>
      </c>
      <c r="P1267" s="10">
        <f t="shared" si="2"/>
        <v>0</v>
      </c>
      <c r="Q1267" s="12">
        <f t="shared" si="3"/>
        <v>8069340</v>
      </c>
      <c r="R1267" s="22">
        <v>1999.0</v>
      </c>
      <c r="S1267" s="22">
        <v>6.4</v>
      </c>
    </row>
    <row r="1268" ht="15.75" customHeight="1">
      <c r="A1268" s="7" t="s">
        <v>355</v>
      </c>
      <c r="B1268" s="8" t="str">
        <f>IFERROR(__xludf.DUMMYFUNCTION("REGEXREPLACE(A1268, ""[^0-9a-zA-Z .'Ã]"","""")"),"Antoine Fuqua")</f>
        <v>Antoine Fuqua</v>
      </c>
      <c r="C1268" s="9">
        <v>89.0</v>
      </c>
      <c r="D1268" s="10">
        <v>4.3426961E7</v>
      </c>
      <c r="E1268" s="9" t="s">
        <v>688</v>
      </c>
      <c r="F1268" s="9">
        <f t="shared" si="1"/>
        <v>4</v>
      </c>
      <c r="G1268" s="9" t="s">
        <v>55</v>
      </c>
      <c r="H1268" s="11" t="str">
        <f>IFERROR(__xludf.DUMMYFUNCTION("REGEXREPLACE(G1268, ""[^0-9a-zA-Z .'Ã]"","""")"),"Bruce Willis")</f>
        <v>Bruce Willis</v>
      </c>
      <c r="I1268" s="11" t="s">
        <v>4534</v>
      </c>
      <c r="J1268" s="9">
        <v>93494.0</v>
      </c>
      <c r="K1268" s="9" t="s">
        <v>4535</v>
      </c>
      <c r="L1268" s="9">
        <v>394.0</v>
      </c>
      <c r="M1268" s="9" t="s">
        <v>24</v>
      </c>
      <c r="N1268" s="9" t="s">
        <v>25</v>
      </c>
      <c r="O1268" s="10">
        <v>7.0E7</v>
      </c>
      <c r="P1268" s="10">
        <f t="shared" si="2"/>
        <v>0</v>
      </c>
      <c r="Q1268" s="12">
        <f t="shared" si="3"/>
        <v>26573039</v>
      </c>
      <c r="R1268" s="9">
        <v>2003.0</v>
      </c>
      <c r="S1268" s="9">
        <v>6.6</v>
      </c>
    </row>
    <row r="1269" ht="15.75" customHeight="1">
      <c r="A1269" s="7" t="s">
        <v>631</v>
      </c>
      <c r="B1269" s="8" t="str">
        <f>IFERROR(__xludf.DUMMYFUNCTION("REGEXREPLACE(A1269, ""[^0-9a-zA-Z .'Ã]"","""")"),"Richard Donner")</f>
        <v>Richard Donner</v>
      </c>
      <c r="C1269" s="9">
        <v>61.0</v>
      </c>
      <c r="D1269" s="10">
        <v>3.0306268E7</v>
      </c>
      <c r="E1269" s="9" t="s">
        <v>152</v>
      </c>
      <c r="F1269" s="9">
        <f t="shared" si="1"/>
        <v>3</v>
      </c>
      <c r="G1269" s="9" t="s">
        <v>1471</v>
      </c>
      <c r="H1269" s="11" t="str">
        <f>IFERROR(__xludf.DUMMYFUNCTION("REGEXREPLACE(G1269, ""[^0-9a-zA-Z .'Ã]"","""")"),"Muse Watson")</f>
        <v>Muse Watson</v>
      </c>
      <c r="I1269" s="11" t="s">
        <v>4536</v>
      </c>
      <c r="J1269" s="9">
        <v>62981.0</v>
      </c>
      <c r="K1269" s="9" t="s">
        <v>4537</v>
      </c>
      <c r="L1269" s="9">
        <v>84.0</v>
      </c>
      <c r="M1269" s="9" t="s">
        <v>24</v>
      </c>
      <c r="N1269" s="9" t="s">
        <v>608</v>
      </c>
      <c r="O1269" s="10">
        <v>5.0E7</v>
      </c>
      <c r="P1269" s="10">
        <f t="shared" si="2"/>
        <v>0</v>
      </c>
      <c r="Q1269" s="12">
        <f t="shared" si="3"/>
        <v>19693732</v>
      </c>
      <c r="R1269" s="9">
        <v>1995.0</v>
      </c>
      <c r="S1269" s="9">
        <v>6.3</v>
      </c>
    </row>
    <row r="1270" ht="15.75" customHeight="1">
      <c r="A1270" s="7" t="s">
        <v>198</v>
      </c>
      <c r="B1270" s="8" t="str">
        <f>IFERROR(__xludf.DUMMYFUNCTION("REGEXREPLACE(A1270, ""[^0-9a-zA-Z .'Ã]"","""")"),"Len Wiseman")</f>
        <v>Len Wiseman</v>
      </c>
      <c r="C1270" s="9">
        <v>354.0</v>
      </c>
      <c r="D1270" s="10">
        <v>1.34520804E8</v>
      </c>
      <c r="E1270" s="9" t="s">
        <v>474</v>
      </c>
      <c r="F1270" s="9">
        <f t="shared" si="1"/>
        <v>3</v>
      </c>
      <c r="G1270" s="9" t="s">
        <v>55</v>
      </c>
      <c r="H1270" s="11" t="str">
        <f>IFERROR(__xludf.DUMMYFUNCTION("REGEXREPLACE(G1270, ""[^0-9a-zA-Z .'Ã]"","""")"),"Bruce Willis")</f>
        <v>Bruce Willis</v>
      </c>
      <c r="I1270" s="11" t="s">
        <v>4538</v>
      </c>
      <c r="J1270" s="9">
        <v>336235.0</v>
      </c>
      <c r="K1270" s="9" t="s">
        <v>4539</v>
      </c>
      <c r="L1270" s="9">
        <v>782.0</v>
      </c>
      <c r="M1270" s="9" t="s">
        <v>24</v>
      </c>
      <c r="N1270" s="9" t="s">
        <v>25</v>
      </c>
      <c r="O1270" s="10">
        <v>1.1E8</v>
      </c>
      <c r="P1270" s="10">
        <f t="shared" si="2"/>
        <v>24520804</v>
      </c>
      <c r="Q1270" s="12">
        <f t="shared" si="3"/>
        <v>0</v>
      </c>
      <c r="R1270" s="9">
        <v>2007.0</v>
      </c>
      <c r="S1270" s="9">
        <v>7.2</v>
      </c>
    </row>
    <row r="1271" ht="15.75" customHeight="1">
      <c r="A1271" s="7" t="s">
        <v>4253</v>
      </c>
      <c r="B1271" s="8" t="str">
        <f>IFERROR(__xludf.DUMMYFUNCTION("REGEXREPLACE(A1271, ""[^0-9a-zA-Z .'Ã]"","""")"),"Peter Berg")</f>
        <v>Peter Berg</v>
      </c>
      <c r="C1271" s="9">
        <v>319.0</v>
      </c>
      <c r="D1271" s="10">
        <v>1.25069696E8</v>
      </c>
      <c r="E1271" s="9" t="s">
        <v>4540</v>
      </c>
      <c r="F1271" s="9">
        <f t="shared" si="1"/>
        <v>5</v>
      </c>
      <c r="G1271" s="9" t="s">
        <v>4433</v>
      </c>
      <c r="H1271" s="11" t="str">
        <f>IFERROR(__xludf.DUMMYFUNCTION("REGEXREPLACE(G1271, ""[^0-9a-zA-Z .'Ã]"","""")"),"Jerry Ferrara")</f>
        <v>Jerry Ferrara</v>
      </c>
      <c r="I1271" s="11" t="s">
        <v>4541</v>
      </c>
      <c r="J1271" s="9">
        <v>203963.0</v>
      </c>
      <c r="K1271" s="9" t="s">
        <v>4542</v>
      </c>
      <c r="L1271" s="9">
        <v>420.0</v>
      </c>
      <c r="M1271" s="9" t="s">
        <v>24</v>
      </c>
      <c r="N1271" s="9" t="s">
        <v>25</v>
      </c>
      <c r="O1271" s="10">
        <v>4.0E7</v>
      </c>
      <c r="P1271" s="10">
        <f t="shared" si="2"/>
        <v>85069696</v>
      </c>
      <c r="Q1271" s="12">
        <f t="shared" si="3"/>
        <v>0</v>
      </c>
      <c r="R1271" s="9">
        <v>2013.0</v>
      </c>
      <c r="S1271" s="9">
        <v>7.6</v>
      </c>
    </row>
    <row r="1272" ht="15.75" customHeight="1">
      <c r="A1272" s="7" t="s">
        <v>4543</v>
      </c>
      <c r="B1272" s="8" t="str">
        <f>IFERROR(__xludf.DUMMYFUNCTION("REGEXREPLACE(A1272, ""[^0-9a-zA-Z .'Ã]"","""")"),"Boaz Yakin")</f>
        <v>Boaz Yakin</v>
      </c>
      <c r="C1272" s="9">
        <v>157.0</v>
      </c>
      <c r="D1272" s="10">
        <v>1.15648585E8</v>
      </c>
      <c r="E1272" s="9" t="s">
        <v>1124</v>
      </c>
      <c r="F1272" s="9">
        <f t="shared" si="1"/>
        <v>3</v>
      </c>
      <c r="G1272" s="9" t="s">
        <v>224</v>
      </c>
      <c r="H1272" s="11" t="str">
        <f>IFERROR(__xludf.DUMMYFUNCTION("REGEXREPLACE(G1272, ""[^0-9a-zA-Z .'Ã]"","""")"),"Ryan Gosling")</f>
        <v>Ryan Gosling</v>
      </c>
      <c r="I1272" s="11" t="s">
        <v>4544</v>
      </c>
      <c r="J1272" s="9">
        <v>160776.0</v>
      </c>
      <c r="K1272" s="9" t="s">
        <v>4545</v>
      </c>
      <c r="L1272" s="9">
        <v>402.0</v>
      </c>
      <c r="M1272" s="9" t="s">
        <v>24</v>
      </c>
      <c r="N1272" s="9" t="s">
        <v>25</v>
      </c>
      <c r="O1272" s="10">
        <v>3.0E7</v>
      </c>
      <c r="P1272" s="10">
        <f t="shared" si="2"/>
        <v>85648585</v>
      </c>
      <c r="Q1272" s="12">
        <f t="shared" si="3"/>
        <v>0</v>
      </c>
      <c r="R1272" s="9">
        <v>2000.0</v>
      </c>
      <c r="S1272" s="9">
        <v>7.8</v>
      </c>
    </row>
    <row r="1273" ht="15.75" customHeight="1">
      <c r="A1273" s="21" t="s">
        <v>4546</v>
      </c>
      <c r="B1273" s="8" t="str">
        <f>IFERROR(__xludf.DUMMYFUNCTION("REGEXREPLACE(A1273, ""[^0-9a-zA-Z .'Ã]"","""")"),"Chris Nahon")</f>
        <v>Chris Nahon</v>
      </c>
      <c r="C1273" s="22">
        <v>116.0</v>
      </c>
      <c r="D1273" s="23">
        <v>3.6833473E7</v>
      </c>
      <c r="E1273" s="22" t="s">
        <v>501</v>
      </c>
      <c r="F1273" s="9">
        <f t="shared" si="1"/>
        <v>4</v>
      </c>
      <c r="G1273" s="22" t="s">
        <v>1555</v>
      </c>
      <c r="H1273" s="11" t="str">
        <f>IFERROR(__xludf.DUMMYFUNCTION("REGEXREPLACE(G1273, ""[^0-9a-zA-Z .'Ã]"","""")"),"Jet Li")</f>
        <v>Jet Li</v>
      </c>
      <c r="I1273" s="24" t="s">
        <v>4547</v>
      </c>
      <c r="J1273" s="22">
        <v>53126.0</v>
      </c>
      <c r="K1273" s="22" t="s">
        <v>4548</v>
      </c>
      <c r="L1273" s="22">
        <v>254.0</v>
      </c>
      <c r="M1273" s="22" t="s">
        <v>24</v>
      </c>
      <c r="N1273" s="22" t="s">
        <v>608</v>
      </c>
      <c r="O1273" s="23">
        <v>2.5E7</v>
      </c>
      <c r="P1273" s="10">
        <f t="shared" si="2"/>
        <v>11833473</v>
      </c>
      <c r="Q1273" s="12">
        <f t="shared" si="3"/>
        <v>0</v>
      </c>
      <c r="R1273" s="22">
        <v>2001.0</v>
      </c>
      <c r="S1273" s="22">
        <v>6.6</v>
      </c>
    </row>
    <row r="1274" ht="15.75" customHeight="1">
      <c r="A1274" s="29" t="s">
        <v>4549</v>
      </c>
      <c r="B1274" s="8" t="str">
        <f>IFERROR(__xludf.DUMMYFUNCTION("REGEXREPLACE(A1274, ""[^0-9a-zA-Z .'Ã]"","""")"),"Christian Carion")</f>
        <v>Christian Carion</v>
      </c>
      <c r="C1274" s="30">
        <v>115.0</v>
      </c>
      <c r="D1274" s="31">
        <v>1050445.0</v>
      </c>
      <c r="E1274" s="30" t="s">
        <v>4550</v>
      </c>
      <c r="F1274" s="9">
        <f t="shared" si="1"/>
        <v>5</v>
      </c>
      <c r="G1274" s="30" t="s">
        <v>4551</v>
      </c>
      <c r="H1274" s="11" t="str">
        <f>IFERROR(__xludf.DUMMYFUNCTION("REGEXREPLACE(G1274, ""[^0-9a-zA-Z .'Ã]"","""")"),"Gary Lewis")</f>
        <v>Gary Lewis</v>
      </c>
      <c r="I1274" s="32" t="s">
        <v>4552</v>
      </c>
      <c r="J1274" s="30">
        <v>21394.0</v>
      </c>
      <c r="K1274" s="30" t="s">
        <v>4553</v>
      </c>
      <c r="L1274" s="30">
        <v>147.0</v>
      </c>
      <c r="M1274" s="30" t="s">
        <v>658</v>
      </c>
      <c r="N1274" s="30" t="s">
        <v>608</v>
      </c>
      <c r="O1274" s="31">
        <v>2.2E7</v>
      </c>
      <c r="P1274" s="10">
        <f t="shared" si="2"/>
        <v>0</v>
      </c>
      <c r="Q1274" s="12">
        <f t="shared" si="3"/>
        <v>20949555</v>
      </c>
      <c r="R1274" s="30">
        <v>2005.0</v>
      </c>
      <c r="S1274" s="30">
        <v>7.8</v>
      </c>
    </row>
    <row r="1275" ht="15.75" customHeight="1">
      <c r="A1275" s="7" t="s">
        <v>2535</v>
      </c>
      <c r="B1275" s="8" t="str">
        <f>IFERROR(__xludf.DUMMYFUNCTION("REGEXREPLACE(A1275, ""[^0-9a-zA-Z .'Ã]"","""")"),"Ivan Reitman")</f>
        <v>Ivan Reitman</v>
      </c>
      <c r="C1275" s="9">
        <v>97.0</v>
      </c>
      <c r="D1275" s="10">
        <v>7.4329966E7</v>
      </c>
      <c r="E1275" s="9" t="s">
        <v>4554</v>
      </c>
      <c r="F1275" s="9">
        <f t="shared" si="1"/>
        <v>4</v>
      </c>
      <c r="G1275" s="9" t="s">
        <v>637</v>
      </c>
      <c r="H1275" s="11" t="str">
        <f>IFERROR(__xludf.DUMMYFUNCTION("REGEXREPLACE(G1275, ""[^0-9a-zA-Z .'Ã]"","""")"),"Harrison Ford")</f>
        <v>Harrison Ford</v>
      </c>
      <c r="I1275" s="11" t="s">
        <v>4555</v>
      </c>
      <c r="J1275" s="9">
        <v>60910.0</v>
      </c>
      <c r="K1275" s="9" t="s">
        <v>4556</v>
      </c>
      <c r="L1275" s="9">
        <v>164.0</v>
      </c>
      <c r="M1275" s="9" t="s">
        <v>24</v>
      </c>
      <c r="N1275" s="9" t="s">
        <v>25</v>
      </c>
      <c r="O1275" s="10">
        <v>7.0E7</v>
      </c>
      <c r="P1275" s="10">
        <f t="shared" si="2"/>
        <v>4329966</v>
      </c>
      <c r="Q1275" s="12">
        <f t="shared" si="3"/>
        <v>0</v>
      </c>
      <c r="R1275" s="9">
        <v>1998.0</v>
      </c>
      <c r="S1275" s="9">
        <v>5.7</v>
      </c>
    </row>
    <row r="1276" ht="15.75" customHeight="1">
      <c r="A1276" s="7" t="s">
        <v>1868</v>
      </c>
      <c r="B1276" s="8" t="str">
        <f>IFERROR(__xludf.DUMMYFUNCTION("REGEXREPLACE(A1276, ""[^0-9a-zA-Z .'Ã]"","""")"),"Brett Ratner")</f>
        <v>Brett Ratner</v>
      </c>
      <c r="C1276" s="9">
        <v>245.0</v>
      </c>
      <c r="D1276" s="10">
        <v>7.2660029E7</v>
      </c>
      <c r="E1276" s="9" t="s">
        <v>636</v>
      </c>
      <c r="F1276" s="9">
        <f t="shared" si="1"/>
        <v>2</v>
      </c>
      <c r="G1276" s="9" t="s">
        <v>50</v>
      </c>
      <c r="H1276" s="11" t="str">
        <f>IFERROR(__xludf.DUMMYFUNCTION("REGEXREPLACE(G1276, ""[^0-9a-zA-Z .'Ã]"","""")"),"Dwayne Johnson")</f>
        <v>Dwayne Johnson</v>
      </c>
      <c r="I1276" s="11" t="s">
        <v>4557</v>
      </c>
      <c r="J1276" s="9">
        <v>115687.0</v>
      </c>
      <c r="K1276" s="9" t="s">
        <v>4558</v>
      </c>
      <c r="L1276" s="9">
        <v>269.0</v>
      </c>
      <c r="M1276" s="9" t="s">
        <v>24</v>
      </c>
      <c r="N1276" s="9" t="s">
        <v>25</v>
      </c>
      <c r="O1276" s="10">
        <v>1.0E8</v>
      </c>
      <c r="P1276" s="10">
        <f t="shared" si="2"/>
        <v>0</v>
      </c>
      <c r="Q1276" s="12">
        <f t="shared" si="3"/>
        <v>27339971</v>
      </c>
      <c r="R1276" s="9">
        <v>2014.0</v>
      </c>
      <c r="S1276" s="9">
        <v>6.0</v>
      </c>
    </row>
    <row r="1277" ht="15.75" customHeight="1">
      <c r="A1277" s="7" t="s">
        <v>1962</v>
      </c>
      <c r="B1277" s="8" t="str">
        <f>IFERROR(__xludf.DUMMYFUNCTION("REGEXREPLACE(A1277, ""[^0-9a-zA-Z .'Ã]"","""")"),"Michel Gondry")</f>
        <v>Michel Gondry</v>
      </c>
      <c r="C1277" s="9">
        <v>273.0</v>
      </c>
      <c r="D1277" s="10">
        <v>3.4126138E7</v>
      </c>
      <c r="E1277" s="9" t="s">
        <v>4559</v>
      </c>
      <c r="F1277" s="9">
        <f t="shared" si="1"/>
        <v>4</v>
      </c>
      <c r="G1277" s="9" t="s">
        <v>777</v>
      </c>
      <c r="H1277" s="11" t="str">
        <f>IFERROR(__xludf.DUMMYFUNCTION("REGEXREPLACE(G1277, ""[^0-9a-zA-Z .'Ã]"","""")"),"Kate Winslet")</f>
        <v>Kate Winslet</v>
      </c>
      <c r="I1277" s="11" t="s">
        <v>4560</v>
      </c>
      <c r="J1277" s="9">
        <v>666937.0</v>
      </c>
      <c r="K1277" s="9" t="s">
        <v>4561</v>
      </c>
      <c r="L1277" s="9">
        <v>1514.0</v>
      </c>
      <c r="M1277" s="9" t="s">
        <v>24</v>
      </c>
      <c r="N1277" s="9" t="s">
        <v>25</v>
      </c>
      <c r="O1277" s="10">
        <v>2.0E7</v>
      </c>
      <c r="P1277" s="10">
        <f t="shared" si="2"/>
        <v>14126138</v>
      </c>
      <c r="Q1277" s="12">
        <f t="shared" si="3"/>
        <v>0</v>
      </c>
      <c r="R1277" s="9">
        <v>2004.0</v>
      </c>
      <c r="S1277" s="9">
        <v>8.3</v>
      </c>
    </row>
    <row r="1278" ht="15.75" customHeight="1">
      <c r="A1278" s="7" t="s">
        <v>48</v>
      </c>
      <c r="B1278" s="8" t="str">
        <f>IFERROR(__xludf.DUMMYFUNCTION("REGEXREPLACE(A1278, ""[^0-9a-zA-Z .'Ã]"","""")"),"Kevin Bray")</f>
        <v>Kevin Bray</v>
      </c>
      <c r="C1278" s="9">
        <v>40.0</v>
      </c>
      <c r="D1278" s="10">
        <v>2.5482931E7</v>
      </c>
      <c r="E1278" s="9" t="s">
        <v>790</v>
      </c>
      <c r="F1278" s="9">
        <f t="shared" si="1"/>
        <v>4</v>
      </c>
      <c r="G1278" s="9" t="s">
        <v>4562</v>
      </c>
      <c r="H1278" s="11" t="str">
        <f>IFERROR(__xludf.DUMMYFUNCTION("REGEXREPLACE(G1278, ""[^0-9a-zA-Z .'Ã]"","""")"),"Mike Epps")</f>
        <v>Mike Epps</v>
      </c>
      <c r="I1278" s="11" t="s">
        <v>4563</v>
      </c>
      <c r="J1278" s="9">
        <v>9693.0</v>
      </c>
      <c r="K1278" s="9" t="s">
        <v>4564</v>
      </c>
      <c r="L1278" s="9">
        <v>33.0</v>
      </c>
      <c r="M1278" s="9" t="s">
        <v>24</v>
      </c>
      <c r="N1278" s="9" t="s">
        <v>25</v>
      </c>
      <c r="O1278" s="10">
        <v>1.4E7</v>
      </c>
      <c r="P1278" s="10">
        <f t="shared" si="2"/>
        <v>11482931</v>
      </c>
      <c r="Q1278" s="12">
        <f t="shared" si="3"/>
        <v>0</v>
      </c>
      <c r="R1278" s="9">
        <v>2002.0</v>
      </c>
      <c r="S1278" s="9">
        <v>5.7</v>
      </c>
    </row>
    <row r="1279" ht="15.75" customHeight="1">
      <c r="A1279" s="7" t="s">
        <v>4565</v>
      </c>
      <c r="B1279" s="8" t="str">
        <f>IFERROR(__xludf.DUMMYFUNCTION("REGEXREPLACE(A1279, ""[^0-9a-zA-Z .'Ã]"","""")"),"Todd Lincoln")</f>
        <v>Todd Lincoln</v>
      </c>
      <c r="C1279" s="9">
        <v>145.0</v>
      </c>
      <c r="D1279" s="10">
        <v>4930798.0</v>
      </c>
      <c r="E1279" s="9" t="s">
        <v>306</v>
      </c>
      <c r="F1279" s="9">
        <f t="shared" si="1"/>
        <v>2</v>
      </c>
      <c r="G1279" s="9" t="s">
        <v>4566</v>
      </c>
      <c r="H1279" s="11" t="str">
        <f>IFERROR(__xludf.DUMMYFUNCTION("REGEXREPLACE(G1279, ""[^0-9a-zA-Z .'Ã]"","""")"),"Julianna Guill")</f>
        <v>Julianna Guill</v>
      </c>
      <c r="I1279" s="11" t="s">
        <v>4567</v>
      </c>
      <c r="J1279" s="9">
        <v>16268.0</v>
      </c>
      <c r="K1279" s="9" t="s">
        <v>4568</v>
      </c>
      <c r="L1279" s="9">
        <v>108.0</v>
      </c>
      <c r="M1279" s="9" t="s">
        <v>24</v>
      </c>
      <c r="N1279" s="9" t="s">
        <v>25</v>
      </c>
      <c r="O1279" s="10">
        <v>1.7E7</v>
      </c>
      <c r="P1279" s="10">
        <f t="shared" si="2"/>
        <v>0</v>
      </c>
      <c r="Q1279" s="12">
        <f t="shared" si="3"/>
        <v>12069202</v>
      </c>
      <c r="R1279" s="9">
        <v>2012.0</v>
      </c>
      <c r="S1279" s="9">
        <v>4.1</v>
      </c>
    </row>
    <row r="1280" ht="15.75" customHeight="1">
      <c r="A1280" s="25" t="s">
        <v>928</v>
      </c>
      <c r="B1280" s="8" t="str">
        <f>IFERROR(__xludf.DUMMYFUNCTION("REGEXREPLACE(A1280, ""[^0-9a-zA-Z .'Ã]"","""")"),"Rob Marshall")</f>
        <v>Rob Marshall</v>
      </c>
      <c r="C1280" s="26">
        <v>223.0</v>
      </c>
      <c r="D1280" s="27">
        <v>1.70684505E8</v>
      </c>
      <c r="E1280" s="26" t="s">
        <v>4569</v>
      </c>
      <c r="F1280" s="9">
        <f t="shared" si="1"/>
        <v>3</v>
      </c>
      <c r="G1280" s="26" t="s">
        <v>3902</v>
      </c>
      <c r="H1280" s="11" t="str">
        <f>IFERROR(__xludf.DUMMYFUNCTION("REGEXREPLACE(G1280, ""[^0-9a-zA-Z .'Ã]"","""")"),"Colm Feore")</f>
        <v>Colm Feore</v>
      </c>
      <c r="I1280" s="28" t="s">
        <v>4570</v>
      </c>
      <c r="J1280" s="26">
        <v>172080.0</v>
      </c>
      <c r="K1280" s="26" t="s">
        <v>4571</v>
      </c>
      <c r="L1280" s="26">
        <v>1017.0</v>
      </c>
      <c r="M1280" s="26" t="s">
        <v>24</v>
      </c>
      <c r="N1280" s="26" t="s">
        <v>25</v>
      </c>
      <c r="O1280" s="27">
        <v>4.5E7</v>
      </c>
      <c r="P1280" s="10">
        <f t="shared" si="2"/>
        <v>125684505</v>
      </c>
      <c r="Q1280" s="12">
        <f t="shared" si="3"/>
        <v>0</v>
      </c>
      <c r="R1280" s="26">
        <v>2002.0</v>
      </c>
      <c r="S1280" s="26">
        <v>7.2</v>
      </c>
    </row>
    <row r="1281" ht="15.75" customHeight="1">
      <c r="A1281" s="7" t="s">
        <v>264</v>
      </c>
      <c r="B1281" s="8" t="str">
        <f>IFERROR(__xludf.DUMMYFUNCTION("REGEXREPLACE(A1281, ""[^0-9a-zA-Z .'Ã]"","""")"),"Keenen Ivory Wayans")</f>
        <v>Keenen Ivory Wayans</v>
      </c>
      <c r="C1281" s="9">
        <v>62.0</v>
      </c>
      <c r="D1281" s="10">
        <v>6.9148997E7</v>
      </c>
      <c r="E1281" s="9" t="s">
        <v>440</v>
      </c>
      <c r="F1281" s="9">
        <f t="shared" si="1"/>
        <v>2</v>
      </c>
      <c r="G1281" s="9" t="s">
        <v>4572</v>
      </c>
      <c r="H1281" s="11" t="str">
        <f>IFERROR(__xludf.DUMMYFUNCTION("REGEXREPLACE(G1281, ""[^0-9a-zA-Z .'Ã]"","""")"),"Busy Philipps")</f>
        <v>Busy Philipps</v>
      </c>
      <c r="I1281" s="11" t="s">
        <v>4573</v>
      </c>
      <c r="J1281" s="9">
        <v>98794.0</v>
      </c>
      <c r="K1281" s="9" t="s">
        <v>4574</v>
      </c>
      <c r="L1281" s="9">
        <v>251.0</v>
      </c>
      <c r="M1281" s="9" t="s">
        <v>24</v>
      </c>
      <c r="N1281" s="9" t="s">
        <v>25</v>
      </c>
      <c r="O1281" s="10">
        <v>3.7E7</v>
      </c>
      <c r="P1281" s="10">
        <f t="shared" si="2"/>
        <v>32148997</v>
      </c>
      <c r="Q1281" s="12">
        <f t="shared" si="3"/>
        <v>0</v>
      </c>
      <c r="R1281" s="9">
        <v>2004.0</v>
      </c>
      <c r="S1281" s="9">
        <v>5.4</v>
      </c>
    </row>
    <row r="1282" ht="15.75" customHeight="1">
      <c r="A1282" s="21" t="s">
        <v>4575</v>
      </c>
      <c r="B1282" s="8" t="str">
        <f>IFERROR(__xludf.DUMMYFUNCTION("REGEXREPLACE(A1282, ""[^0-9a-zA-Z .'Ã]"","""")"),"David Gordon Green")</f>
        <v>David Gordon Green</v>
      </c>
      <c r="C1282" s="22">
        <v>232.0</v>
      </c>
      <c r="D1282" s="23">
        <v>371897.0</v>
      </c>
      <c r="E1282" s="22" t="s">
        <v>103</v>
      </c>
      <c r="F1282" s="9">
        <f t="shared" si="1"/>
        <v>1</v>
      </c>
      <c r="G1282" s="22" t="s">
        <v>458</v>
      </c>
      <c r="H1282" s="11" t="str">
        <f>IFERROR(__xludf.DUMMYFUNCTION("REGEXREPLACE(G1282, ""[^0-9a-zA-Z .'Ã]"","""")"),"Nicolas Cage")</f>
        <v>Nicolas Cage</v>
      </c>
      <c r="I1282" s="24" t="s">
        <v>4576</v>
      </c>
      <c r="J1282" s="22">
        <v>36494.0</v>
      </c>
      <c r="K1282" s="22" t="s">
        <v>4577</v>
      </c>
      <c r="L1282" s="22">
        <v>118.0</v>
      </c>
      <c r="M1282" s="22" t="s">
        <v>24</v>
      </c>
      <c r="N1282" s="22" t="s">
        <v>25</v>
      </c>
      <c r="O1282" s="23">
        <v>4000000.0</v>
      </c>
      <c r="P1282" s="10">
        <f t="shared" si="2"/>
        <v>0</v>
      </c>
      <c r="Q1282" s="12">
        <f t="shared" si="3"/>
        <v>3628103</v>
      </c>
      <c r="R1282" s="22">
        <v>2013.0</v>
      </c>
      <c r="S1282" s="22">
        <v>6.9</v>
      </c>
    </row>
    <row r="1283" ht="15.75" customHeight="1">
      <c r="A1283" s="7" t="s">
        <v>4578</v>
      </c>
      <c r="B1283" s="8" t="str">
        <f>IFERROR(__xludf.DUMMYFUNCTION("REGEXREPLACE(A1283, ""[^0-9a-zA-Z .'Ã]"","""")"),"James Bridges")</f>
        <v>James Bridges</v>
      </c>
      <c r="C1283" s="9">
        <v>28.0</v>
      </c>
      <c r="D1283" s="10">
        <v>1.6118077E7</v>
      </c>
      <c r="E1283" s="9" t="s">
        <v>103</v>
      </c>
      <c r="F1283" s="9">
        <f t="shared" si="1"/>
        <v>1</v>
      </c>
      <c r="G1283" s="9" t="s">
        <v>2238</v>
      </c>
      <c r="H1283" s="11" t="str">
        <f>IFERROR(__xludf.DUMMYFUNCTION("REGEXREPLACE(G1283, ""[^0-9a-zA-Z .'Ã]"","""")"),"Dianne Wiest")</f>
        <v>Dianne Wiest</v>
      </c>
      <c r="I1283" s="11" t="s">
        <v>4579</v>
      </c>
      <c r="J1283" s="9">
        <v>5817.0</v>
      </c>
      <c r="K1283" s="9" t="s">
        <v>4580</v>
      </c>
      <c r="L1283" s="9">
        <v>37.0</v>
      </c>
      <c r="M1283" s="9" t="s">
        <v>24</v>
      </c>
      <c r="N1283" s="9" t="s">
        <v>25</v>
      </c>
      <c r="O1283" s="10">
        <v>2.5E7</v>
      </c>
      <c r="P1283" s="10">
        <f t="shared" si="2"/>
        <v>0</v>
      </c>
      <c r="Q1283" s="12">
        <f t="shared" si="3"/>
        <v>8881923</v>
      </c>
      <c r="R1283" s="9">
        <v>1988.0</v>
      </c>
      <c r="S1283" s="9">
        <v>5.6</v>
      </c>
    </row>
    <row r="1284" ht="15.75" customHeight="1">
      <c r="A1284" s="7" t="s">
        <v>179</v>
      </c>
      <c r="B1284" s="8" t="str">
        <f>IFERROR(__xludf.DUMMYFUNCTION("REGEXREPLACE(A1284, ""[^0-9a-zA-Z .'Ã]"","""")"),"Tim Burton")</f>
        <v>Tim Burton</v>
      </c>
      <c r="C1284" s="9">
        <v>276.0</v>
      </c>
      <c r="D1284" s="10">
        <v>2.06456431E8</v>
      </c>
      <c r="E1284" s="9" t="s">
        <v>1874</v>
      </c>
      <c r="F1284" s="9">
        <f t="shared" si="1"/>
        <v>4</v>
      </c>
      <c r="G1284" s="9" t="s">
        <v>85</v>
      </c>
      <c r="H1284" s="11" t="str">
        <f>IFERROR(__xludf.DUMMYFUNCTION("REGEXREPLACE(G1284, ""[^0-9a-zA-Z .'Ã]"","""")"),"Johnny Depp")</f>
        <v>Johnny Depp</v>
      </c>
      <c r="I1284" s="11" t="s">
        <v>4581</v>
      </c>
      <c r="J1284" s="9">
        <v>320284.0</v>
      </c>
      <c r="K1284" s="9" t="s">
        <v>4582</v>
      </c>
      <c r="L1284" s="9">
        <v>1361.0</v>
      </c>
      <c r="M1284" s="9" t="s">
        <v>24</v>
      </c>
      <c r="N1284" s="9" t="s">
        <v>25</v>
      </c>
      <c r="O1284" s="10">
        <v>1.5E8</v>
      </c>
      <c r="P1284" s="10">
        <f t="shared" si="2"/>
        <v>56456431</v>
      </c>
      <c r="Q1284" s="12">
        <f t="shared" si="3"/>
        <v>0</v>
      </c>
      <c r="R1284" s="9">
        <v>2005.0</v>
      </c>
      <c r="S1284" s="9">
        <v>6.7</v>
      </c>
    </row>
    <row r="1285" ht="15.75" customHeight="1">
      <c r="A1285" s="7" t="s">
        <v>4543</v>
      </c>
      <c r="B1285" s="8" t="str">
        <f>IFERROR(__xludf.DUMMYFUNCTION("REGEXREPLACE(A1285, ""[^0-9a-zA-Z .'Ã]"","""")"),"Boaz Yakin")</f>
        <v>Boaz Yakin</v>
      </c>
      <c r="C1285" s="9">
        <v>258.0</v>
      </c>
      <c r="D1285" s="10">
        <v>1.7120019E7</v>
      </c>
      <c r="E1285" s="9" t="s">
        <v>152</v>
      </c>
      <c r="F1285" s="9">
        <f t="shared" si="1"/>
        <v>3</v>
      </c>
      <c r="G1285" s="9" t="s">
        <v>815</v>
      </c>
      <c r="H1285" s="11" t="str">
        <f>IFERROR(__xludf.DUMMYFUNCTION("REGEXREPLACE(G1285, ""[^0-9a-zA-Z .'Ã]"","""")"),"Jason Statham")</f>
        <v>Jason Statham</v>
      </c>
      <c r="I1285" s="11" t="s">
        <v>4583</v>
      </c>
      <c r="J1285" s="9">
        <v>83097.0</v>
      </c>
      <c r="K1285" s="9" t="s">
        <v>4584</v>
      </c>
      <c r="L1285" s="9">
        <v>134.0</v>
      </c>
      <c r="M1285" s="9" t="s">
        <v>24</v>
      </c>
      <c r="N1285" s="9" t="s">
        <v>25</v>
      </c>
      <c r="O1285" s="10">
        <v>3.0E7</v>
      </c>
      <c r="P1285" s="10">
        <f t="shared" si="2"/>
        <v>0</v>
      </c>
      <c r="Q1285" s="12">
        <f t="shared" si="3"/>
        <v>12879981</v>
      </c>
      <c r="R1285" s="9">
        <v>2012.0</v>
      </c>
      <c r="S1285" s="9">
        <v>6.5</v>
      </c>
    </row>
    <row r="1286" ht="15.75" customHeight="1">
      <c r="A1286" s="21" t="s">
        <v>1630</v>
      </c>
      <c r="B1286" s="8" t="str">
        <f>IFERROR(__xludf.DUMMYFUNCTION("REGEXREPLACE(A1286, ""[^0-9a-zA-Z .'Ã]"","""")"),"Joss Whedon")</f>
        <v>Joss Whedon</v>
      </c>
      <c r="C1286" s="22">
        <v>703.0</v>
      </c>
      <c r="D1286" s="23">
        <v>6.23279547E8</v>
      </c>
      <c r="E1286" s="22" t="s">
        <v>185</v>
      </c>
      <c r="F1286" s="9">
        <f t="shared" si="1"/>
        <v>3</v>
      </c>
      <c r="G1286" s="22" t="s">
        <v>1439</v>
      </c>
      <c r="H1286" s="11" t="str">
        <f>IFERROR(__xludf.DUMMYFUNCTION("REGEXREPLACE(G1286, ""[^0-9a-zA-Z .'Ã]"","""")"),"Chris Hemsworth")</f>
        <v>Chris Hemsworth</v>
      </c>
      <c r="I1286" s="24" t="s">
        <v>4585</v>
      </c>
      <c r="J1286" s="22">
        <v>995415.0</v>
      </c>
      <c r="K1286" s="22" t="s">
        <v>4586</v>
      </c>
      <c r="L1286" s="22">
        <v>1722.0</v>
      </c>
      <c r="M1286" s="22" t="s">
        <v>24</v>
      </c>
      <c r="N1286" s="22" t="s">
        <v>25</v>
      </c>
      <c r="O1286" s="23">
        <v>2.2E8</v>
      </c>
      <c r="P1286" s="10">
        <f t="shared" si="2"/>
        <v>403279547</v>
      </c>
      <c r="Q1286" s="12">
        <f t="shared" si="3"/>
        <v>0</v>
      </c>
      <c r="R1286" s="22">
        <v>2012.0</v>
      </c>
      <c r="S1286" s="22">
        <v>8.1</v>
      </c>
    </row>
    <row r="1287" ht="15.75" customHeight="1">
      <c r="A1287" s="17" t="s">
        <v>448</v>
      </c>
      <c r="B1287" s="8" t="str">
        <f>IFERROR(__xludf.DUMMYFUNCTION("REGEXREPLACE(A1287, ""[^0-9a-zA-Z .'Ã]"","""")"),"James Wong")</f>
        <v>James Wong</v>
      </c>
      <c r="C1287" s="18">
        <v>98.0</v>
      </c>
      <c r="D1287" s="19">
        <v>4.3905746E7</v>
      </c>
      <c r="E1287" s="18" t="s">
        <v>1734</v>
      </c>
      <c r="F1287" s="9">
        <f t="shared" si="1"/>
        <v>3</v>
      </c>
      <c r="G1287" s="18" t="s">
        <v>815</v>
      </c>
      <c r="H1287" s="11" t="str">
        <f>IFERROR(__xludf.DUMMYFUNCTION("REGEXREPLACE(G1287, ""[^0-9a-zA-Z .'Ã]"","""")"),"Jason Statham")</f>
        <v>Jason Statham</v>
      </c>
      <c r="I1287" s="20" t="s">
        <v>4587</v>
      </c>
      <c r="J1287" s="18">
        <v>77684.0</v>
      </c>
      <c r="K1287" s="18" t="s">
        <v>4588</v>
      </c>
      <c r="L1287" s="18">
        <v>294.0</v>
      </c>
      <c r="M1287" s="18" t="s">
        <v>24</v>
      </c>
      <c r="N1287" s="18" t="s">
        <v>25</v>
      </c>
      <c r="O1287" s="19">
        <v>4.9E7</v>
      </c>
      <c r="P1287" s="10">
        <f t="shared" si="2"/>
        <v>0</v>
      </c>
      <c r="Q1287" s="12">
        <f t="shared" si="3"/>
        <v>5094254</v>
      </c>
      <c r="R1287" s="18">
        <v>2001.0</v>
      </c>
      <c r="S1287" s="18">
        <v>5.9</v>
      </c>
    </row>
    <row r="1288" ht="15.75" customHeight="1">
      <c r="A1288" s="21" t="s">
        <v>4589</v>
      </c>
      <c r="B1288" s="8" t="str">
        <f>IFERROR(__xludf.DUMMYFUNCTION("REGEXREPLACE(A1288, ""[^0-9a-zA-Z .'Ã]"","""")"),"Troy Nixey")</f>
        <v>Troy Nixey</v>
      </c>
      <c r="C1288" s="22">
        <v>298.0</v>
      </c>
      <c r="D1288" s="23">
        <v>2.404249E7</v>
      </c>
      <c r="E1288" s="22" t="s">
        <v>955</v>
      </c>
      <c r="F1288" s="9">
        <f t="shared" si="1"/>
        <v>3</v>
      </c>
      <c r="G1288" s="22" t="s">
        <v>4590</v>
      </c>
      <c r="H1288" s="11" t="str">
        <f>IFERROR(__xludf.DUMMYFUNCTION("REGEXREPLACE(G1288, ""[^0-9a-zA-Z .'Ã]"","""")"),"Bailee Madison")</f>
        <v>Bailee Madison</v>
      </c>
      <c r="I1288" s="24" t="s">
        <v>4591</v>
      </c>
      <c r="J1288" s="22">
        <v>40776.0</v>
      </c>
      <c r="K1288" s="22" t="s">
        <v>4592</v>
      </c>
      <c r="L1288" s="22">
        <v>250.0</v>
      </c>
      <c r="M1288" s="22" t="s">
        <v>24</v>
      </c>
      <c r="N1288" s="22" t="s">
        <v>25</v>
      </c>
      <c r="O1288" s="23">
        <v>2.5E7</v>
      </c>
      <c r="P1288" s="10">
        <f t="shared" si="2"/>
        <v>0</v>
      </c>
      <c r="Q1288" s="12">
        <f t="shared" si="3"/>
        <v>957510</v>
      </c>
      <c r="R1288" s="22">
        <v>2010.0</v>
      </c>
      <c r="S1288" s="22">
        <v>5.6</v>
      </c>
    </row>
    <row r="1289" ht="15.75" customHeight="1">
      <c r="A1289" s="13" t="s">
        <v>4593</v>
      </c>
      <c r="B1289" s="8" t="str">
        <f>IFERROR(__xludf.DUMMYFUNCTION("REGEXREPLACE(A1289, ""[^0-9a-zA-Z .'Ã]"","""")"),"Garth Jennings")</f>
        <v>Garth Jennings</v>
      </c>
      <c r="C1289" s="14">
        <v>276.0</v>
      </c>
      <c r="D1289" s="15">
        <v>5.1019112E7</v>
      </c>
      <c r="E1289" s="14" t="s">
        <v>646</v>
      </c>
      <c r="F1289" s="9">
        <f t="shared" si="1"/>
        <v>3</v>
      </c>
      <c r="G1289" s="14" t="s">
        <v>3033</v>
      </c>
      <c r="H1289" s="11" t="str">
        <f>IFERROR(__xludf.DUMMYFUNCTION("REGEXREPLACE(G1289, ""[^0-9a-zA-Z .'Ã]"","""")"),"Zooey Deschanel")</f>
        <v>Zooey Deschanel</v>
      </c>
      <c r="I1289" s="16" t="s">
        <v>4594</v>
      </c>
      <c r="J1289" s="14">
        <v>155745.0</v>
      </c>
      <c r="K1289" s="14" t="s">
        <v>4595</v>
      </c>
      <c r="L1289" s="14">
        <v>1053.0</v>
      </c>
      <c r="M1289" s="14" t="s">
        <v>24</v>
      </c>
      <c r="N1289" s="14" t="s">
        <v>25</v>
      </c>
      <c r="O1289" s="15">
        <v>5.0E7</v>
      </c>
      <c r="P1289" s="10">
        <f t="shared" si="2"/>
        <v>1019112</v>
      </c>
      <c r="Q1289" s="12">
        <f t="shared" si="3"/>
        <v>0</v>
      </c>
      <c r="R1289" s="14">
        <v>2005.0</v>
      </c>
      <c r="S1289" s="14">
        <v>6.8</v>
      </c>
    </row>
    <row r="1290" ht="15.75" customHeight="1">
      <c r="A1290" s="7" t="s">
        <v>4596</v>
      </c>
      <c r="B1290" s="8" t="str">
        <f>IFERROR(__xludf.DUMMYFUNCTION("REGEXREPLACE(A1290, ""[^0-9a-zA-Z .'Ã]"","""")"),"Chris Carter")</f>
        <v>Chris Carter</v>
      </c>
      <c r="C1290" s="9">
        <v>270.0</v>
      </c>
      <c r="D1290" s="10">
        <v>2.0981633E7</v>
      </c>
      <c r="E1290" s="9" t="s">
        <v>1592</v>
      </c>
      <c r="F1290" s="9">
        <f t="shared" si="1"/>
        <v>4</v>
      </c>
      <c r="G1290" s="9" t="s">
        <v>4597</v>
      </c>
      <c r="H1290" s="11" t="str">
        <f>IFERROR(__xludf.DUMMYFUNCTION("REGEXREPLACE(G1290, ""[^0-9a-zA-Z .'Ã]"","""")"),"Mitch Pileggi")</f>
        <v>Mitch Pileggi</v>
      </c>
      <c r="I1290" s="11" t="s">
        <v>4598</v>
      </c>
      <c r="J1290" s="9">
        <v>78256.0</v>
      </c>
      <c r="K1290" s="9" t="s">
        <v>4599</v>
      </c>
      <c r="L1290" s="9">
        <v>492.0</v>
      </c>
      <c r="M1290" s="9" t="s">
        <v>24</v>
      </c>
      <c r="N1290" s="9" t="s">
        <v>25</v>
      </c>
      <c r="O1290" s="10">
        <v>3.0E7</v>
      </c>
      <c r="P1290" s="10">
        <f t="shared" si="2"/>
        <v>0</v>
      </c>
      <c r="Q1290" s="12">
        <f t="shared" si="3"/>
        <v>9018367</v>
      </c>
      <c r="R1290" s="9">
        <v>2008.0</v>
      </c>
      <c r="S1290" s="9">
        <v>5.9</v>
      </c>
    </row>
    <row r="1291" ht="15.75" customHeight="1">
      <c r="A1291" s="7" t="s">
        <v>4600</v>
      </c>
      <c r="B1291" s="8" t="str">
        <f>IFERROR(__xludf.DUMMYFUNCTION("REGEXREPLACE(A1291, ""[^0-9a-zA-Z .'Ã]"","""")"),"Gregory Poirier")</f>
        <v>Gregory Poirier</v>
      </c>
      <c r="C1291" s="9">
        <v>75.0</v>
      </c>
      <c r="D1291" s="10">
        <v>1.3558739E7</v>
      </c>
      <c r="E1291" s="9" t="s">
        <v>137</v>
      </c>
      <c r="F1291" s="9">
        <f t="shared" si="1"/>
        <v>1</v>
      </c>
      <c r="G1291" s="9" t="s">
        <v>4601</v>
      </c>
      <c r="H1291" s="11" t="str">
        <f>IFERROR(__xludf.DUMMYFUNCTION("REGEXREPLACE(G1291, ""[^0-9a-zA-Z .'Ã]"","""")"),"Shannon Elizabeth")</f>
        <v>Shannon Elizabeth</v>
      </c>
      <c r="I1291" s="11" t="s">
        <v>4602</v>
      </c>
      <c r="J1291" s="9">
        <v>15427.0</v>
      </c>
      <c r="K1291" s="9" t="s">
        <v>4603</v>
      </c>
      <c r="L1291" s="9">
        <v>121.0</v>
      </c>
      <c r="M1291" s="9" t="s">
        <v>24</v>
      </c>
      <c r="N1291" s="9" t="s">
        <v>25</v>
      </c>
      <c r="O1291" s="10">
        <v>1.1E7</v>
      </c>
      <c r="P1291" s="10">
        <f t="shared" si="2"/>
        <v>2558739</v>
      </c>
      <c r="Q1291" s="12">
        <f t="shared" si="3"/>
        <v>0</v>
      </c>
      <c r="R1291" s="9">
        <v>2001.0</v>
      </c>
      <c r="S1291" s="9">
        <v>5.3</v>
      </c>
    </row>
    <row r="1292" ht="15.75" customHeight="1">
      <c r="A1292" s="7" t="s">
        <v>1251</v>
      </c>
      <c r="B1292" s="8" t="str">
        <f>IFERROR(__xludf.DUMMYFUNCTION("REGEXREPLACE(A1292, ""[^0-9a-zA-Z .'Ã]"","""")"),"Chris Weitz")</f>
        <v>Chris Weitz</v>
      </c>
      <c r="C1292" s="9">
        <v>299.0</v>
      </c>
      <c r="D1292" s="10">
        <v>2.96623634E8</v>
      </c>
      <c r="E1292" s="9" t="s">
        <v>260</v>
      </c>
      <c r="F1292" s="9">
        <f t="shared" si="1"/>
        <v>4</v>
      </c>
      <c r="G1292" s="9" t="s">
        <v>261</v>
      </c>
      <c r="H1292" s="11" t="str">
        <f>IFERROR(__xludf.DUMMYFUNCTION("REGEXREPLACE(G1292, ""[^0-9a-zA-Z .'Ã]"","""")"),"Robert Pattinson")</f>
        <v>Robert Pattinson</v>
      </c>
      <c r="I1292" s="11" t="s">
        <v>4604</v>
      </c>
      <c r="J1292" s="9">
        <v>220758.0</v>
      </c>
      <c r="K1292" s="9" t="s">
        <v>4605</v>
      </c>
      <c r="L1292" s="9">
        <v>919.0</v>
      </c>
      <c r="M1292" s="9" t="s">
        <v>24</v>
      </c>
      <c r="N1292" s="9" t="s">
        <v>25</v>
      </c>
      <c r="O1292" s="10">
        <v>5.0E7</v>
      </c>
      <c r="P1292" s="10">
        <f t="shared" si="2"/>
        <v>246623634</v>
      </c>
      <c r="Q1292" s="12">
        <f t="shared" si="3"/>
        <v>0</v>
      </c>
      <c r="R1292" s="9">
        <v>2009.0</v>
      </c>
      <c r="S1292" s="9">
        <v>4.6</v>
      </c>
    </row>
    <row r="1293" ht="15.75" customHeight="1">
      <c r="A1293" s="25" t="s">
        <v>4606</v>
      </c>
      <c r="B1293" s="8" t="str">
        <f>IFERROR(__xludf.DUMMYFUNCTION("REGEXREPLACE(A1293, ""[^0-9a-zA-Z .'Ã]"","""")"),"Zack Snyder")</f>
        <v>Zack Snyder</v>
      </c>
      <c r="C1293" s="26">
        <v>733.0</v>
      </c>
      <c r="D1293" s="27">
        <v>2.91021565E8</v>
      </c>
      <c r="E1293" s="26" t="s">
        <v>1283</v>
      </c>
      <c r="F1293" s="9">
        <f t="shared" si="1"/>
        <v>4</v>
      </c>
      <c r="G1293" s="26" t="s">
        <v>1307</v>
      </c>
      <c r="H1293" s="11" t="str">
        <f>IFERROR(__xludf.DUMMYFUNCTION("REGEXREPLACE(G1293, ""[^0-9a-zA-Z .'Ã]"","""")"),"Henry Cavill")</f>
        <v>Henry Cavill</v>
      </c>
      <c r="I1293" s="28" t="s">
        <v>4607</v>
      </c>
      <c r="J1293" s="26">
        <v>548573.0</v>
      </c>
      <c r="K1293" s="26" t="s">
        <v>4608</v>
      </c>
      <c r="L1293" s="26">
        <v>2536.0</v>
      </c>
      <c r="M1293" s="26" t="s">
        <v>24</v>
      </c>
      <c r="N1293" s="26" t="s">
        <v>25</v>
      </c>
      <c r="O1293" s="27">
        <v>2.25E8</v>
      </c>
      <c r="P1293" s="10">
        <f t="shared" si="2"/>
        <v>66021565</v>
      </c>
      <c r="Q1293" s="12">
        <f t="shared" si="3"/>
        <v>0</v>
      </c>
      <c r="R1293" s="26">
        <v>2013.0</v>
      </c>
      <c r="S1293" s="26">
        <v>7.2</v>
      </c>
    </row>
    <row r="1294" ht="15.75" customHeight="1">
      <c r="A1294" s="21" t="s">
        <v>1591</v>
      </c>
      <c r="B1294" s="8" t="str">
        <f>IFERROR(__xludf.DUMMYFUNCTION("REGEXREPLACE(A1294, ""[^0-9a-zA-Z .'Ã]"","""")"),"Gary Fleder")</f>
        <v>Gary Fleder</v>
      </c>
      <c r="C1294" s="22">
        <v>203.0</v>
      </c>
      <c r="D1294" s="23">
        <v>1.9783777E7</v>
      </c>
      <c r="E1294" s="22" t="s">
        <v>501</v>
      </c>
      <c r="F1294" s="9">
        <f t="shared" si="1"/>
        <v>4</v>
      </c>
      <c r="G1294" s="22" t="s">
        <v>815</v>
      </c>
      <c r="H1294" s="11" t="str">
        <f>IFERROR(__xludf.DUMMYFUNCTION("REGEXREPLACE(G1294, ""[^0-9a-zA-Z .'Ã]"","""")"),"Jason Statham")</f>
        <v>Jason Statham</v>
      </c>
      <c r="I1294" s="24" t="s">
        <v>4609</v>
      </c>
      <c r="J1294" s="22">
        <v>82804.0</v>
      </c>
      <c r="K1294" s="22" t="s">
        <v>4610</v>
      </c>
      <c r="L1294" s="22">
        <v>154.0</v>
      </c>
      <c r="M1294" s="22" t="s">
        <v>24</v>
      </c>
      <c r="N1294" s="22" t="s">
        <v>25</v>
      </c>
      <c r="O1294" s="23">
        <v>2.2E7</v>
      </c>
      <c r="P1294" s="10">
        <f t="shared" si="2"/>
        <v>0</v>
      </c>
      <c r="Q1294" s="12">
        <f t="shared" si="3"/>
        <v>2216223</v>
      </c>
      <c r="R1294" s="22">
        <v>2013.0</v>
      </c>
      <c r="S1294" s="22">
        <v>6.5</v>
      </c>
    </row>
    <row r="1295" ht="15.75" customHeight="1">
      <c r="A1295" s="25" t="s">
        <v>281</v>
      </c>
      <c r="B1295" s="8" t="str">
        <f>IFERROR(__xludf.DUMMYFUNCTION("REGEXREPLACE(A1295, ""[^0-9a-zA-Z .'Ã]"","""")"),"Adam McKay")</f>
        <v>Adam McKay</v>
      </c>
      <c r="C1295" s="26">
        <v>426.0</v>
      </c>
      <c r="D1295" s="27">
        <v>7.0235322E7</v>
      </c>
      <c r="E1295" s="26" t="s">
        <v>3124</v>
      </c>
      <c r="F1295" s="9">
        <f t="shared" si="1"/>
        <v>4</v>
      </c>
      <c r="G1295" s="26" t="s">
        <v>224</v>
      </c>
      <c r="H1295" s="11" t="str">
        <f>IFERROR(__xludf.DUMMYFUNCTION("REGEXREPLACE(G1295, ""[^0-9a-zA-Z .'Ã]"","""")"),"Ryan Gosling")</f>
        <v>Ryan Gosling</v>
      </c>
      <c r="I1295" s="28" t="s">
        <v>4611</v>
      </c>
      <c r="J1295" s="26">
        <v>182983.0</v>
      </c>
      <c r="K1295" s="26" t="s">
        <v>4612</v>
      </c>
      <c r="L1295" s="26">
        <v>374.0</v>
      </c>
      <c r="M1295" s="26" t="s">
        <v>24</v>
      </c>
      <c r="N1295" s="26" t="s">
        <v>25</v>
      </c>
      <c r="O1295" s="27">
        <v>2.8E7</v>
      </c>
      <c r="P1295" s="10">
        <f t="shared" si="2"/>
        <v>42235322</v>
      </c>
      <c r="Q1295" s="12">
        <f t="shared" si="3"/>
        <v>0</v>
      </c>
      <c r="R1295" s="26">
        <v>2015.0</v>
      </c>
      <c r="S1295" s="26">
        <v>7.8</v>
      </c>
    </row>
    <row r="1296" ht="15.75" customHeight="1">
      <c r="A1296" s="25" t="s">
        <v>4613</v>
      </c>
      <c r="B1296" s="8" t="str">
        <f>IFERROR(__xludf.DUMMYFUNCTION("REGEXREPLACE(A1296, ""[^0-9a-zA-Z .'Ã]"","""")"),"Eric Leighton")</f>
        <v>Eric Leighton</v>
      </c>
      <c r="C1296" s="26">
        <v>145.0</v>
      </c>
      <c r="D1296" s="27">
        <v>1.37748063E8</v>
      </c>
      <c r="E1296" s="26" t="s">
        <v>4614</v>
      </c>
      <c r="F1296" s="9">
        <f t="shared" si="1"/>
        <v>4</v>
      </c>
      <c r="G1296" s="26" t="s">
        <v>3363</v>
      </c>
      <c r="H1296" s="11" t="str">
        <f>IFERROR(__xludf.DUMMYFUNCTION("REGEXREPLACE(G1296, ""[^0-9a-zA-Z .'Ã]"","""")"),"Alfre Woodard")</f>
        <v>Alfre Woodard</v>
      </c>
      <c r="I1296" s="28" t="s">
        <v>4615</v>
      </c>
      <c r="J1296" s="26">
        <v>38438.0</v>
      </c>
      <c r="K1296" s="26" t="s">
        <v>4616</v>
      </c>
      <c r="L1296" s="26">
        <v>241.0</v>
      </c>
      <c r="M1296" s="26" t="s">
        <v>24</v>
      </c>
      <c r="N1296" s="26" t="s">
        <v>25</v>
      </c>
      <c r="O1296" s="27">
        <v>1.275E8</v>
      </c>
      <c r="P1296" s="10">
        <f t="shared" si="2"/>
        <v>10248063</v>
      </c>
      <c r="Q1296" s="12">
        <f t="shared" si="3"/>
        <v>0</v>
      </c>
      <c r="R1296" s="26">
        <v>2000.0</v>
      </c>
      <c r="S1296" s="26">
        <v>6.5</v>
      </c>
    </row>
    <row r="1297" ht="15.75" customHeight="1">
      <c r="A1297" s="17" t="s">
        <v>4617</v>
      </c>
      <c r="B1297" s="8" t="str">
        <f>IFERROR(__xludf.DUMMYFUNCTION("REGEXREPLACE(A1297, ""[^0-9a-zA-Z .'Ã]"","""")"),"Shana Feste")</f>
        <v>Shana Feste</v>
      </c>
      <c r="C1297" s="18">
        <v>98.0</v>
      </c>
      <c r="D1297" s="19">
        <v>2.3393765E7</v>
      </c>
      <c r="E1297" s="18" t="s">
        <v>232</v>
      </c>
      <c r="F1297" s="9">
        <f t="shared" si="1"/>
        <v>2</v>
      </c>
      <c r="G1297" s="18" t="s">
        <v>4019</v>
      </c>
      <c r="H1297" s="11" t="str">
        <f>IFERROR(__xludf.DUMMYFUNCTION("REGEXREPLACE(G1297, ""[^0-9a-zA-Z .'Ã]"","""")"),"Alex Pettyfer")</f>
        <v>Alex Pettyfer</v>
      </c>
      <c r="I1297" s="20" t="s">
        <v>4618</v>
      </c>
      <c r="J1297" s="18">
        <v>31323.0</v>
      </c>
      <c r="K1297" s="18" t="s">
        <v>4619</v>
      </c>
      <c r="L1297" s="18">
        <v>76.0</v>
      </c>
      <c r="M1297" s="18" t="s">
        <v>24</v>
      </c>
      <c r="N1297" s="18" t="s">
        <v>25</v>
      </c>
      <c r="O1297" s="19">
        <v>2.0E7</v>
      </c>
      <c r="P1297" s="10">
        <f t="shared" si="2"/>
        <v>3393765</v>
      </c>
      <c r="Q1297" s="12">
        <f t="shared" si="3"/>
        <v>0</v>
      </c>
      <c r="R1297" s="18">
        <v>2014.0</v>
      </c>
      <c r="S1297" s="18">
        <v>6.3</v>
      </c>
    </row>
    <row r="1298" ht="15.75" customHeight="1">
      <c r="A1298" s="13" t="s">
        <v>408</v>
      </c>
      <c r="B1298" s="8" t="str">
        <f>IFERROR(__xludf.DUMMYFUNCTION("REGEXREPLACE(A1298, ""[^0-9a-zA-Z .'Ã]"","""")"),"Roger Spottiswoode")</f>
        <v>Roger Spottiswoode</v>
      </c>
      <c r="C1298" s="14">
        <v>160.0</v>
      </c>
      <c r="D1298" s="15">
        <v>1.25332007E8</v>
      </c>
      <c r="E1298" s="14" t="s">
        <v>474</v>
      </c>
      <c r="F1298" s="9">
        <f t="shared" si="1"/>
        <v>3</v>
      </c>
      <c r="G1298" s="14" t="s">
        <v>4620</v>
      </c>
      <c r="H1298" s="11" t="str">
        <f>IFERROR(__xludf.DUMMYFUNCTION("REGEXREPLACE(G1298, ""[^0-9a-zA-Z .'Ã]"","""")"),"Vincent Schiavelli")</f>
        <v>Vincent Schiavelli</v>
      </c>
      <c r="I1298" s="16" t="s">
        <v>4621</v>
      </c>
      <c r="J1298" s="14">
        <v>149680.0</v>
      </c>
      <c r="K1298" s="14" t="s">
        <v>4622</v>
      </c>
      <c r="L1298" s="14">
        <v>328.0</v>
      </c>
      <c r="M1298" s="14" t="s">
        <v>24</v>
      </c>
      <c r="N1298" s="14" t="s">
        <v>130</v>
      </c>
      <c r="O1298" s="15">
        <v>1.1E8</v>
      </c>
      <c r="P1298" s="10">
        <f t="shared" si="2"/>
        <v>15332007</v>
      </c>
      <c r="Q1298" s="12">
        <f t="shared" si="3"/>
        <v>0</v>
      </c>
      <c r="R1298" s="14">
        <v>1997.0</v>
      </c>
      <c r="S1298" s="14">
        <v>6.5</v>
      </c>
    </row>
    <row r="1299" ht="15.75" customHeight="1">
      <c r="A1299" s="17" t="s">
        <v>4623</v>
      </c>
      <c r="B1299" s="8" t="str">
        <f>IFERROR(__xludf.DUMMYFUNCTION("REGEXREPLACE(A1299, ""[^0-9a-zA-Z .'Ã]"","""")"),"Simon Wells")</f>
        <v>Simon Wells</v>
      </c>
      <c r="C1299" s="18">
        <v>124.0</v>
      </c>
      <c r="D1299" s="19">
        <v>5.6684819E7</v>
      </c>
      <c r="E1299" s="18" t="s">
        <v>185</v>
      </c>
      <c r="F1299" s="9">
        <f t="shared" si="1"/>
        <v>3</v>
      </c>
      <c r="G1299" s="18" t="s">
        <v>4624</v>
      </c>
      <c r="H1299" s="11" t="str">
        <f>IFERROR(__xludf.DUMMYFUNCTION("REGEXREPLACE(G1299, ""[^0-9a-zA-Z .'Ã]"","""")"),"Mark Addy")</f>
        <v>Mark Addy</v>
      </c>
      <c r="I1299" s="20" t="s">
        <v>4625</v>
      </c>
      <c r="J1299" s="18">
        <v>103787.0</v>
      </c>
      <c r="K1299" s="18" t="s">
        <v>4626</v>
      </c>
      <c r="L1299" s="18">
        <v>615.0</v>
      </c>
      <c r="M1299" s="18" t="s">
        <v>24</v>
      </c>
      <c r="N1299" s="18" t="s">
        <v>25</v>
      </c>
      <c r="O1299" s="19">
        <v>8.0E7</v>
      </c>
      <c r="P1299" s="10">
        <f t="shared" si="2"/>
        <v>0</v>
      </c>
      <c r="Q1299" s="12">
        <f t="shared" si="3"/>
        <v>23315181</v>
      </c>
      <c r="R1299" s="18">
        <v>2002.0</v>
      </c>
      <c r="S1299" s="18">
        <v>5.9</v>
      </c>
    </row>
    <row r="1300" ht="15.75" customHeight="1">
      <c r="A1300" s="21" t="s">
        <v>1409</v>
      </c>
      <c r="B1300" s="8" t="str">
        <f>IFERROR(__xludf.DUMMYFUNCTION("REGEXREPLACE(A1300, ""[^0-9a-zA-Z .'Ã]"","""")"),"Lewis Gilbert")</f>
        <v>Lewis Gilbert</v>
      </c>
      <c r="C1300" s="22">
        <v>121.0</v>
      </c>
      <c r="D1300" s="23">
        <v>6.27E7</v>
      </c>
      <c r="E1300" s="22" t="s">
        <v>794</v>
      </c>
      <c r="F1300" s="9">
        <f t="shared" si="1"/>
        <v>4</v>
      </c>
      <c r="G1300" s="22" t="s">
        <v>1279</v>
      </c>
      <c r="H1300" s="11" t="str">
        <f>IFERROR(__xludf.DUMMYFUNCTION("REGEXREPLACE(G1300, ""[^0-9a-zA-Z .'Ã]"","""")"),"Desmond Llewelyn")</f>
        <v>Desmond Llewelyn</v>
      </c>
      <c r="I1300" s="24" t="s">
        <v>4627</v>
      </c>
      <c r="J1300" s="22">
        <v>69534.0</v>
      </c>
      <c r="K1300" s="22" t="s">
        <v>4628</v>
      </c>
      <c r="L1300" s="22">
        <v>294.0</v>
      </c>
      <c r="M1300" s="22" t="s">
        <v>24</v>
      </c>
      <c r="N1300" s="22" t="s">
        <v>130</v>
      </c>
      <c r="O1300" s="23">
        <v>3.4E7</v>
      </c>
      <c r="P1300" s="10">
        <f t="shared" si="2"/>
        <v>28700000</v>
      </c>
      <c r="Q1300" s="12">
        <f t="shared" si="3"/>
        <v>0</v>
      </c>
      <c r="R1300" s="22">
        <v>1979.0</v>
      </c>
      <c r="S1300" s="22">
        <v>6.3</v>
      </c>
    </row>
    <row r="1301" ht="15.75" customHeight="1">
      <c r="A1301" s="21" t="s">
        <v>4629</v>
      </c>
      <c r="B1301" s="8" t="str">
        <f>IFERROR(__xludf.DUMMYFUNCTION("REGEXREPLACE(A1301, ""[^0-9a-zA-Z .'Ã]"","""")"),"Steve Taylor")</f>
        <v>Steve Taylor</v>
      </c>
      <c r="C1301" s="22">
        <v>38.0</v>
      </c>
      <c r="D1301" s="23">
        <v>594904.0</v>
      </c>
      <c r="E1301" s="22" t="s">
        <v>454</v>
      </c>
      <c r="F1301" s="9">
        <f t="shared" si="1"/>
        <v>2</v>
      </c>
      <c r="G1301" s="22" t="s">
        <v>4630</v>
      </c>
      <c r="H1301" s="11" t="str">
        <f>IFERROR(__xludf.DUMMYFUNCTION("REGEXREPLACE(G1301, ""[^0-9a-zA-Z .'Ã]"","""")"),"Jason Marsden")</f>
        <v>Jason Marsden</v>
      </c>
      <c r="I1301" s="24" t="s">
        <v>4631</v>
      </c>
      <c r="J1301" s="22">
        <v>2582.0</v>
      </c>
      <c r="K1301" s="22" t="s">
        <v>4632</v>
      </c>
      <c r="L1301" s="22">
        <v>89.0</v>
      </c>
      <c r="M1301" s="22" t="s">
        <v>24</v>
      </c>
      <c r="N1301" s="22" t="s">
        <v>25</v>
      </c>
      <c r="O1301" s="23">
        <v>1200000.0</v>
      </c>
      <c r="P1301" s="10">
        <f t="shared" si="2"/>
        <v>0</v>
      </c>
      <c r="Q1301" s="12">
        <f t="shared" si="3"/>
        <v>605096</v>
      </c>
      <c r="R1301" s="22">
        <v>2012.0</v>
      </c>
      <c r="S1301" s="22">
        <v>6.0</v>
      </c>
    </row>
    <row r="1302" ht="15.75" customHeight="1">
      <c r="A1302" s="25" t="s">
        <v>2312</v>
      </c>
      <c r="B1302" s="8" t="str">
        <f>IFERROR(__xludf.DUMMYFUNCTION("REGEXREPLACE(A1302, ""[^0-9a-zA-Z .'Ã]"","""")"),"John Singleton")</f>
        <v>John Singleton</v>
      </c>
      <c r="C1302" s="26">
        <v>150.0</v>
      </c>
      <c r="D1302" s="27">
        <v>1.27083765E8</v>
      </c>
      <c r="E1302" s="26" t="s">
        <v>152</v>
      </c>
      <c r="F1302" s="9">
        <f t="shared" si="1"/>
        <v>3</v>
      </c>
      <c r="G1302" s="26" t="s">
        <v>802</v>
      </c>
      <c r="H1302" s="11" t="str">
        <f>IFERROR(__xludf.DUMMYFUNCTION("REGEXREPLACE(G1302, ""[^0-9a-zA-Z .'Ã]"","""")"),"Paul Walker")</f>
        <v>Paul Walker</v>
      </c>
      <c r="I1302" s="28" t="s">
        <v>4633</v>
      </c>
      <c r="J1302" s="26">
        <v>191912.0</v>
      </c>
      <c r="K1302" s="26" t="s">
        <v>4634</v>
      </c>
      <c r="L1302" s="26">
        <v>370.0</v>
      </c>
      <c r="M1302" s="26" t="s">
        <v>24</v>
      </c>
      <c r="N1302" s="26" t="s">
        <v>25</v>
      </c>
      <c r="O1302" s="27">
        <v>7.6E7</v>
      </c>
      <c r="P1302" s="10">
        <f t="shared" si="2"/>
        <v>51083765</v>
      </c>
      <c r="Q1302" s="12">
        <f t="shared" si="3"/>
        <v>0</v>
      </c>
      <c r="R1302" s="26">
        <v>2003.0</v>
      </c>
      <c r="S1302" s="26">
        <v>5.9</v>
      </c>
    </row>
    <row r="1303" ht="15.75" customHeight="1">
      <c r="A1303" s="7" t="s">
        <v>868</v>
      </c>
      <c r="B1303" s="8" t="str">
        <f>IFERROR(__xludf.DUMMYFUNCTION("REGEXREPLACE(A1303, ""[^0-9a-zA-Z .'Ã]"","""")"),"John Woo")</f>
        <v>John Woo</v>
      </c>
      <c r="C1303" s="9">
        <v>152.0</v>
      </c>
      <c r="D1303" s="10">
        <v>4.091183E7</v>
      </c>
      <c r="E1303" s="9" t="s">
        <v>403</v>
      </c>
      <c r="F1303" s="9">
        <f t="shared" si="1"/>
        <v>3</v>
      </c>
      <c r="G1303" s="9" t="s">
        <v>458</v>
      </c>
      <c r="H1303" s="11" t="str">
        <f>IFERROR(__xludf.DUMMYFUNCTION("REGEXREPLACE(G1303, ""[^0-9a-zA-Z .'Ã]"","""")"),"Nicolas Cage")</f>
        <v>Nicolas Cage</v>
      </c>
      <c r="I1303" s="11" t="s">
        <v>4635</v>
      </c>
      <c r="J1303" s="9">
        <v>55994.0</v>
      </c>
      <c r="K1303" s="9" t="s">
        <v>4636</v>
      </c>
      <c r="L1303" s="9">
        <v>454.0</v>
      </c>
      <c r="M1303" s="9" t="s">
        <v>24</v>
      </c>
      <c r="N1303" s="9" t="s">
        <v>25</v>
      </c>
      <c r="O1303" s="10">
        <v>1.15E8</v>
      </c>
      <c r="P1303" s="10">
        <f t="shared" si="2"/>
        <v>0</v>
      </c>
      <c r="Q1303" s="12">
        <f t="shared" si="3"/>
        <v>74088170</v>
      </c>
      <c r="R1303" s="9">
        <v>2002.0</v>
      </c>
      <c r="S1303" s="9">
        <v>6.0</v>
      </c>
    </row>
    <row r="1304" ht="15.75" customHeight="1">
      <c r="A1304" s="21" t="s">
        <v>4637</v>
      </c>
      <c r="B1304" s="8" t="str">
        <f>IFERROR(__xludf.DUMMYFUNCTION("REGEXREPLACE(A1304, ""[^0-9a-zA-Z .'Ã]"","""")"),"Stuart Beattie")</f>
        <v>Stuart Beattie</v>
      </c>
      <c r="C1304" s="22">
        <v>308.0</v>
      </c>
      <c r="D1304" s="23">
        <v>1.9059018E7</v>
      </c>
      <c r="E1304" s="22" t="s">
        <v>4638</v>
      </c>
      <c r="F1304" s="9">
        <f t="shared" si="1"/>
        <v>4</v>
      </c>
      <c r="G1304" s="22" t="s">
        <v>4639</v>
      </c>
      <c r="H1304" s="11" t="str">
        <f>IFERROR(__xludf.DUMMYFUNCTION("REGEXREPLACE(G1304, ""[^0-9a-zA-Z .'Ã]"","""")"),"Caitlin Stasey")</f>
        <v>Caitlin Stasey</v>
      </c>
      <c r="I1304" s="24" t="s">
        <v>4640</v>
      </c>
      <c r="J1304" s="22">
        <v>65709.0</v>
      </c>
      <c r="K1304" s="22" t="s">
        <v>4641</v>
      </c>
      <c r="L1304" s="22">
        <v>194.0</v>
      </c>
      <c r="M1304" s="22" t="s">
        <v>24</v>
      </c>
      <c r="N1304" s="22" t="s">
        <v>146</v>
      </c>
      <c r="O1304" s="23">
        <v>6.5E7</v>
      </c>
      <c r="P1304" s="10">
        <f t="shared" si="2"/>
        <v>0</v>
      </c>
      <c r="Q1304" s="12">
        <f t="shared" si="3"/>
        <v>45940982</v>
      </c>
      <c r="R1304" s="22">
        <v>2014.0</v>
      </c>
      <c r="S1304" s="22">
        <v>5.1</v>
      </c>
    </row>
    <row r="1305" ht="15.75" customHeight="1">
      <c r="A1305" s="7" t="s">
        <v>4642</v>
      </c>
      <c r="B1305" s="8" t="str">
        <f>IFERROR(__xludf.DUMMYFUNCTION("REGEXREPLACE(A1305, ""[^0-9a-zA-Z .'Ã]"","""")"),"Stig Bergqvist")</f>
        <v>Stig Bergqvist</v>
      </c>
      <c r="C1305" s="9">
        <v>41.0</v>
      </c>
      <c r="D1305" s="10">
        <v>7.6501438E7</v>
      </c>
      <c r="E1305" s="9" t="s">
        <v>4643</v>
      </c>
      <c r="F1305" s="9">
        <f t="shared" si="1"/>
        <v>5</v>
      </c>
      <c r="G1305" s="9" t="s">
        <v>3008</v>
      </c>
      <c r="H1305" s="11" t="str">
        <f>IFERROR(__xludf.DUMMYFUNCTION("REGEXREPLACE(G1305, ""[^0-9a-zA-Z .'Ã]"","""")"),"Elizabeth Daily")</f>
        <v>Elizabeth Daily</v>
      </c>
      <c r="I1305" s="11" t="s">
        <v>4644</v>
      </c>
      <c r="J1305" s="9">
        <v>8146.0</v>
      </c>
      <c r="K1305" s="9" t="s">
        <v>4645</v>
      </c>
      <c r="L1305" s="9">
        <v>49.0</v>
      </c>
      <c r="M1305" s="9" t="s">
        <v>24</v>
      </c>
      <c r="N1305" s="9" t="s">
        <v>173</v>
      </c>
      <c r="O1305" s="10">
        <v>3.0E7</v>
      </c>
      <c r="P1305" s="10">
        <f t="shared" si="2"/>
        <v>46501438</v>
      </c>
      <c r="Q1305" s="12">
        <f t="shared" si="3"/>
        <v>0</v>
      </c>
      <c r="R1305" s="9">
        <v>2000.0</v>
      </c>
      <c r="S1305" s="9">
        <v>6.1</v>
      </c>
    </row>
    <row r="1306" ht="15.75" customHeight="1">
      <c r="A1306" s="25" t="s">
        <v>315</v>
      </c>
      <c r="B1306" s="8" t="str">
        <f>IFERROR(__xludf.DUMMYFUNCTION("REGEXREPLACE(A1306, ""[^0-9a-zA-Z .'Ã]"","""")"),"Steven Soderbergh")</f>
        <v>Steven Soderbergh</v>
      </c>
      <c r="C1306" s="26">
        <v>186.0</v>
      </c>
      <c r="D1306" s="27">
        <v>1.83405771E8</v>
      </c>
      <c r="E1306" s="26" t="s">
        <v>316</v>
      </c>
      <c r="F1306" s="9">
        <f t="shared" si="1"/>
        <v>2</v>
      </c>
      <c r="G1306" s="26" t="s">
        <v>1426</v>
      </c>
      <c r="H1306" s="11" t="str">
        <f>IFERROR(__xludf.DUMMYFUNCTION("REGEXREPLACE(G1306, ""[^0-9a-zA-Z .'Ã]"","""")"),"Brad Pitt")</f>
        <v>Brad Pitt</v>
      </c>
      <c r="I1306" s="28" t="s">
        <v>4646</v>
      </c>
      <c r="J1306" s="26">
        <v>402645.0</v>
      </c>
      <c r="K1306" s="26" t="s">
        <v>4647</v>
      </c>
      <c r="L1306" s="26">
        <v>845.0</v>
      </c>
      <c r="M1306" s="26" t="s">
        <v>24</v>
      </c>
      <c r="N1306" s="26" t="s">
        <v>25</v>
      </c>
      <c r="O1306" s="27">
        <v>8.5E7</v>
      </c>
      <c r="P1306" s="10">
        <f t="shared" si="2"/>
        <v>98405771</v>
      </c>
      <c r="Q1306" s="12">
        <f t="shared" si="3"/>
        <v>0</v>
      </c>
      <c r="R1306" s="26">
        <v>2001.0</v>
      </c>
      <c r="S1306" s="26">
        <v>7.8</v>
      </c>
    </row>
    <row r="1307" ht="15.75" customHeight="1">
      <c r="A1307" s="21" t="s">
        <v>1079</v>
      </c>
      <c r="B1307" s="8" t="str">
        <f>IFERROR(__xludf.DUMMYFUNCTION("REGEXREPLACE(A1307, ""[^0-9a-zA-Z .'Ã]"","""")"),"Peter Sollett")</f>
        <v>Peter Sollett</v>
      </c>
      <c r="C1307" s="22">
        <v>59.0</v>
      </c>
      <c r="D1307" s="23">
        <v>2073984.0</v>
      </c>
      <c r="E1307" s="22" t="s">
        <v>232</v>
      </c>
      <c r="F1307" s="9">
        <f t="shared" si="1"/>
        <v>2</v>
      </c>
      <c r="G1307" s="22" t="s">
        <v>4648</v>
      </c>
      <c r="H1307" s="11" t="str">
        <f>IFERROR(__xludf.DUMMYFUNCTION("REGEXREPLACE(G1307, ""[^0-9a-zA-Z .'Ã]"","""")"),"Victor Rasuk")</f>
        <v>Victor Rasuk</v>
      </c>
      <c r="I1307" s="24" t="s">
        <v>4649</v>
      </c>
      <c r="J1307" s="22">
        <v>4743.0</v>
      </c>
      <c r="K1307" s="22" t="s">
        <v>4650</v>
      </c>
      <c r="L1307" s="22">
        <v>135.0</v>
      </c>
      <c r="M1307" s="22" t="s">
        <v>24</v>
      </c>
      <c r="N1307" s="22" t="s">
        <v>608</v>
      </c>
      <c r="O1307" s="23">
        <v>800000.0</v>
      </c>
      <c r="P1307" s="10">
        <f t="shared" si="2"/>
        <v>1273984</v>
      </c>
      <c r="Q1307" s="12">
        <f t="shared" si="3"/>
        <v>0</v>
      </c>
      <c r="R1307" s="22">
        <v>2002.0</v>
      </c>
      <c r="S1307" s="22">
        <v>7.2</v>
      </c>
    </row>
    <row r="1308" ht="15.75" customHeight="1">
      <c r="A1308" s="25" t="s">
        <v>4651</v>
      </c>
      <c r="B1308" s="8" t="str">
        <f>IFERROR(__xludf.DUMMYFUNCTION("REGEXREPLACE(A1308, ""[^0-9a-zA-Z .'Ã]"","""")"),"Diane Keaton")</f>
        <v>Diane Keaton</v>
      </c>
      <c r="C1308" s="26">
        <v>82.0</v>
      </c>
      <c r="D1308" s="27">
        <v>3.6037909E7</v>
      </c>
      <c r="E1308" s="26" t="s">
        <v>454</v>
      </c>
      <c r="F1308" s="9">
        <f t="shared" si="1"/>
        <v>2</v>
      </c>
      <c r="G1308" s="26" t="s">
        <v>4652</v>
      </c>
      <c r="H1308" s="11" t="str">
        <f>IFERROR(__xludf.DUMMYFUNCTION("REGEXREPLACE(G1308, ""[^0-9a-zA-Z .'Ã]"","""")"),"Adam Arkin")</f>
        <v>Adam Arkin</v>
      </c>
      <c r="I1308" s="28" t="s">
        <v>4653</v>
      </c>
      <c r="J1308" s="26">
        <v>10132.0</v>
      </c>
      <c r="K1308" s="26" t="s">
        <v>4654</v>
      </c>
      <c r="L1308" s="26">
        <v>130.0</v>
      </c>
      <c r="M1308" s="26" t="s">
        <v>24</v>
      </c>
      <c r="N1308" s="26" t="s">
        <v>173</v>
      </c>
      <c r="O1308" s="27">
        <v>6.0E7</v>
      </c>
      <c r="P1308" s="10">
        <f t="shared" si="2"/>
        <v>0</v>
      </c>
      <c r="Q1308" s="12">
        <f t="shared" si="3"/>
        <v>23962091</v>
      </c>
      <c r="R1308" s="26">
        <v>2000.0</v>
      </c>
      <c r="S1308" s="26">
        <v>4.7</v>
      </c>
    </row>
    <row r="1309" ht="15.75" customHeight="1">
      <c r="A1309" s="17" t="s">
        <v>1682</v>
      </c>
      <c r="B1309" s="8" t="str">
        <f>IFERROR(__xludf.DUMMYFUNCTION("REGEXREPLACE(A1309, ""[^0-9a-zA-Z .'Ã]"","""")"),"Paul W.S. Anderson")</f>
        <v>Paul W.S. Anderson</v>
      </c>
      <c r="C1309" s="18">
        <v>228.0</v>
      </c>
      <c r="D1309" s="19">
        <v>2.0315324E7</v>
      </c>
      <c r="E1309" s="18" t="s">
        <v>1347</v>
      </c>
      <c r="F1309" s="9">
        <f t="shared" si="1"/>
        <v>3</v>
      </c>
      <c r="G1309" s="18" t="s">
        <v>65</v>
      </c>
      <c r="H1309" s="11" t="str">
        <f>IFERROR(__xludf.DUMMYFUNCTION("REGEXREPLACE(G1309, ""[^0-9a-zA-Z .'Ã]"","""")"),"Milla Jovovich")</f>
        <v>Milla Jovovich</v>
      </c>
      <c r="I1309" s="20" t="s">
        <v>4655</v>
      </c>
      <c r="J1309" s="18">
        <v>88542.0</v>
      </c>
      <c r="K1309" s="18" t="s">
        <v>4656</v>
      </c>
      <c r="L1309" s="18">
        <v>254.0</v>
      </c>
      <c r="M1309" s="18" t="s">
        <v>24</v>
      </c>
      <c r="N1309" s="18" t="s">
        <v>173</v>
      </c>
      <c r="O1309" s="19">
        <v>7.5E7</v>
      </c>
      <c r="P1309" s="10">
        <f t="shared" si="2"/>
        <v>0</v>
      </c>
      <c r="Q1309" s="12">
        <f t="shared" si="3"/>
        <v>54684676</v>
      </c>
      <c r="R1309" s="18">
        <v>2011.0</v>
      </c>
      <c r="S1309" s="18">
        <v>5.8</v>
      </c>
    </row>
    <row r="1310" ht="15.75" customHeight="1">
      <c r="A1310" s="25" t="s">
        <v>4477</v>
      </c>
      <c r="B1310" s="8" t="str">
        <f>IFERROR(__xludf.DUMMYFUNCTION("REGEXREPLACE(A1310, ""[^0-9a-zA-Z .'Ã]"","""")"),"Gary Winick")</f>
        <v>Gary Winick</v>
      </c>
      <c r="C1310" s="26">
        <v>159.0</v>
      </c>
      <c r="D1310" s="27">
        <v>5.302156E7</v>
      </c>
      <c r="E1310" s="26" t="s">
        <v>159</v>
      </c>
      <c r="F1310" s="9">
        <f t="shared" si="1"/>
        <v>3</v>
      </c>
      <c r="G1310" s="26" t="s">
        <v>2907</v>
      </c>
      <c r="H1310" s="11" t="str">
        <f>IFERROR(__xludf.DUMMYFUNCTION("REGEXREPLACE(G1310, ""[^0-9a-zA-Z .'Ã]"","""")"),"Vanessa Redgrave")</f>
        <v>Vanessa Redgrave</v>
      </c>
      <c r="I1310" s="28" t="s">
        <v>4657</v>
      </c>
      <c r="J1310" s="26">
        <v>74630.0</v>
      </c>
      <c r="K1310" s="26" t="s">
        <v>4658</v>
      </c>
      <c r="L1310" s="26">
        <v>156.0</v>
      </c>
      <c r="M1310" s="26" t="s">
        <v>24</v>
      </c>
      <c r="N1310" s="26" t="s">
        <v>25</v>
      </c>
      <c r="O1310" s="27">
        <v>3.0E7</v>
      </c>
      <c r="P1310" s="10">
        <f t="shared" si="2"/>
        <v>23021560</v>
      </c>
      <c r="Q1310" s="12">
        <f t="shared" si="3"/>
        <v>0</v>
      </c>
      <c r="R1310" s="26">
        <v>2010.0</v>
      </c>
      <c r="S1310" s="26">
        <v>6.5</v>
      </c>
    </row>
    <row r="1311" ht="15.75" customHeight="1">
      <c r="A1311" s="7" t="s">
        <v>3740</v>
      </c>
      <c r="B1311" s="8" t="str">
        <f>IFERROR(__xludf.DUMMYFUNCTION("REGEXREPLACE(A1311, ""[^0-9a-zA-Z .'Ã]"","""")"),"Sam Mendes")</f>
        <v>Sam Mendes</v>
      </c>
      <c r="C1311" s="9">
        <v>323.0</v>
      </c>
      <c r="D1311" s="10">
        <v>2.2877808E7</v>
      </c>
      <c r="E1311" s="9" t="s">
        <v>232</v>
      </c>
      <c r="F1311" s="9">
        <f t="shared" si="1"/>
        <v>2</v>
      </c>
      <c r="G1311" s="9" t="s">
        <v>1351</v>
      </c>
      <c r="H1311" s="11" t="str">
        <f>IFERROR(__xludf.DUMMYFUNCTION("REGEXREPLACE(G1311, ""[^0-9a-zA-Z .'Ã]"","""")"),"Leonardo DiCaprio")</f>
        <v>Leonardo DiCaprio</v>
      </c>
      <c r="I1311" s="11" t="s">
        <v>4659</v>
      </c>
      <c r="J1311" s="9">
        <v>152591.0</v>
      </c>
      <c r="K1311" s="9" t="s">
        <v>4660</v>
      </c>
      <c r="L1311" s="9">
        <v>414.0</v>
      </c>
      <c r="M1311" s="9" t="s">
        <v>24</v>
      </c>
      <c r="N1311" s="9" t="s">
        <v>25</v>
      </c>
      <c r="O1311" s="10">
        <v>3.5E7</v>
      </c>
      <c r="P1311" s="10">
        <f t="shared" si="2"/>
        <v>0</v>
      </c>
      <c r="Q1311" s="12">
        <f t="shared" si="3"/>
        <v>12122192</v>
      </c>
      <c r="R1311" s="9">
        <v>2008.0</v>
      </c>
      <c r="S1311" s="9">
        <v>7.3</v>
      </c>
    </row>
    <row r="1312" ht="15.75" customHeight="1">
      <c r="A1312" s="17" t="s">
        <v>4661</v>
      </c>
      <c r="B1312" s="8" t="str">
        <f>IFERROR(__xludf.DUMMYFUNCTION("REGEXREPLACE(A1312, ""[^0-9a-zA-Z .'Ã]"","""")"),"Randall Wallace")</f>
        <v>Randall Wallace</v>
      </c>
      <c r="C1312" s="18">
        <v>82.0</v>
      </c>
      <c r="D1312" s="19">
        <v>9.1443253E7</v>
      </c>
      <c r="E1312" s="18" t="s">
        <v>359</v>
      </c>
      <c r="F1312" s="9">
        <f t="shared" si="1"/>
        <v>2</v>
      </c>
      <c r="G1312" s="18" t="s">
        <v>4662</v>
      </c>
      <c r="H1312" s="11" t="str">
        <f>IFERROR(__xludf.DUMMYFUNCTION("REGEXREPLACE(G1312, ""[^0-9a-zA-Z .'Ã]"","""")"),"Jacob Vargas")</f>
        <v>Jacob Vargas</v>
      </c>
      <c r="I1312" s="20" t="s">
        <v>4663</v>
      </c>
      <c r="J1312" s="18">
        <v>21034.0</v>
      </c>
      <c r="K1312" s="18" t="s">
        <v>4664</v>
      </c>
      <c r="L1312" s="18">
        <v>153.0</v>
      </c>
      <c r="M1312" s="18" t="s">
        <v>24</v>
      </c>
      <c r="N1312" s="18" t="s">
        <v>25</v>
      </c>
      <c r="O1312" s="19">
        <v>1.2E7</v>
      </c>
      <c r="P1312" s="10">
        <f t="shared" si="2"/>
        <v>79443253</v>
      </c>
      <c r="Q1312" s="12">
        <f t="shared" si="3"/>
        <v>0</v>
      </c>
      <c r="R1312" s="18">
        <v>2014.0</v>
      </c>
      <c r="S1312" s="18">
        <v>5.8</v>
      </c>
    </row>
    <row r="1313" ht="15.75" customHeight="1">
      <c r="A1313" s="13" t="s">
        <v>4665</v>
      </c>
      <c r="B1313" s="8" t="str">
        <f>IFERROR(__xludf.DUMMYFUNCTION("REGEXREPLACE(A1313, ""[^0-9a-zA-Z .'Ã]"","""")"),"Paul Thomas Anderson")</f>
        <v>Paul Thomas Anderson</v>
      </c>
      <c r="C1313" s="14">
        <v>546.0</v>
      </c>
      <c r="D1313" s="15">
        <v>1.6377274E7</v>
      </c>
      <c r="E1313" s="14" t="s">
        <v>103</v>
      </c>
      <c r="F1313" s="9">
        <f t="shared" si="1"/>
        <v>1</v>
      </c>
      <c r="G1313" s="14" t="s">
        <v>4666</v>
      </c>
      <c r="H1313" s="11" t="str">
        <f>IFERROR(__xludf.DUMMYFUNCTION("REGEXREPLACE(G1313, ""[^0-9a-zA-Z .'Ã]"","""")"),"Mike Howard")</f>
        <v>Mike Howard</v>
      </c>
      <c r="I1313" s="16" t="s">
        <v>4667</v>
      </c>
      <c r="J1313" s="14">
        <v>105144.0</v>
      </c>
      <c r="K1313" s="14" t="s">
        <v>4668</v>
      </c>
      <c r="L1313" s="14">
        <v>405.0</v>
      </c>
      <c r="M1313" s="14" t="s">
        <v>24</v>
      </c>
      <c r="N1313" s="14" t="s">
        <v>25</v>
      </c>
      <c r="O1313" s="15">
        <v>3.2E7</v>
      </c>
      <c r="P1313" s="10">
        <f t="shared" si="2"/>
        <v>0</v>
      </c>
      <c r="Q1313" s="12">
        <f t="shared" si="3"/>
        <v>15622726</v>
      </c>
      <c r="R1313" s="14">
        <v>2012.0</v>
      </c>
      <c r="S1313" s="14">
        <v>7.1</v>
      </c>
    </row>
    <row r="1314" ht="15.75" customHeight="1">
      <c r="A1314" s="7" t="s">
        <v>881</v>
      </c>
      <c r="B1314" s="8" t="str">
        <f>IFERROR(__xludf.DUMMYFUNCTION("REGEXREPLACE(A1314, ""[^0-9a-zA-Z .'Ã]"","""")"),"Terry Gilliam")</f>
        <v>Terry Gilliam</v>
      </c>
      <c r="C1314" s="9">
        <v>84.0</v>
      </c>
      <c r="D1314" s="10">
        <v>4.1895491E7</v>
      </c>
      <c r="E1314" s="9" t="s">
        <v>2440</v>
      </c>
      <c r="F1314" s="9">
        <f t="shared" si="1"/>
        <v>3</v>
      </c>
      <c r="G1314" s="9" t="s">
        <v>1400</v>
      </c>
      <c r="H1314" s="11" t="str">
        <f>IFERROR(__xludf.DUMMYFUNCTION("REGEXREPLACE(G1314, ""[^0-9a-zA-Z .'Ã]"","""")"),"Jeff Bridges")</f>
        <v>Jeff Bridges</v>
      </c>
      <c r="I1314" s="11" t="s">
        <v>4669</v>
      </c>
      <c r="J1314" s="9">
        <v>63274.0</v>
      </c>
      <c r="K1314" s="9" t="s">
        <v>4670</v>
      </c>
      <c r="L1314" s="9">
        <v>170.0</v>
      </c>
      <c r="M1314" s="9" t="s">
        <v>24</v>
      </c>
      <c r="N1314" s="9" t="s">
        <v>25</v>
      </c>
      <c r="O1314" s="10">
        <v>2.4E7</v>
      </c>
      <c r="P1314" s="10">
        <f t="shared" si="2"/>
        <v>17895491</v>
      </c>
      <c r="Q1314" s="12">
        <f t="shared" si="3"/>
        <v>0</v>
      </c>
      <c r="R1314" s="9">
        <v>1991.0</v>
      </c>
      <c r="S1314" s="9">
        <v>7.6</v>
      </c>
    </row>
    <row r="1315" ht="15.75" customHeight="1">
      <c r="A1315" s="7" t="s">
        <v>184</v>
      </c>
      <c r="B1315" s="8" t="str">
        <f>IFERROR(__xludf.DUMMYFUNCTION("REGEXREPLACE(A1315, ""[^0-9a-zA-Z .'Ã]"","""")"),"James Cameron")</f>
        <v>James Cameron</v>
      </c>
      <c r="C1315" s="9">
        <v>204.0</v>
      </c>
      <c r="D1315" s="10">
        <v>3.84E7</v>
      </c>
      <c r="E1315" s="9" t="s">
        <v>848</v>
      </c>
      <c r="F1315" s="9">
        <f t="shared" si="1"/>
        <v>2</v>
      </c>
      <c r="G1315" s="9" t="s">
        <v>186</v>
      </c>
      <c r="H1315" s="11" t="str">
        <f>IFERROR(__xludf.DUMMYFUNCTION("REGEXREPLACE(G1315, ""[^0-9a-zA-Z .'Ã]"","""")"),"Michael Biehn")</f>
        <v>Michael Biehn</v>
      </c>
      <c r="I1315" s="11" t="s">
        <v>4671</v>
      </c>
      <c r="J1315" s="9">
        <v>600266.0</v>
      </c>
      <c r="K1315" s="9" t="s">
        <v>4672</v>
      </c>
      <c r="L1315" s="9">
        <v>692.0</v>
      </c>
      <c r="M1315" s="9" t="s">
        <v>24</v>
      </c>
      <c r="N1315" s="9" t="s">
        <v>130</v>
      </c>
      <c r="O1315" s="10">
        <v>6500000.0</v>
      </c>
      <c r="P1315" s="10">
        <f t="shared" si="2"/>
        <v>31900000</v>
      </c>
      <c r="Q1315" s="12">
        <f t="shared" si="3"/>
        <v>0</v>
      </c>
      <c r="R1315" s="9">
        <v>1984.0</v>
      </c>
      <c r="S1315" s="9">
        <v>8.1</v>
      </c>
    </row>
    <row r="1316" ht="15.75" customHeight="1">
      <c r="A1316" s="25" t="s">
        <v>1224</v>
      </c>
      <c r="B1316" s="8" t="str">
        <f>IFERROR(__xludf.DUMMYFUNCTION("REGEXREPLACE(A1316, ""[^0-9a-zA-Z .'Ã]"","""")"),"Norman Jewison")</f>
        <v>Norman Jewison</v>
      </c>
      <c r="C1316" s="26">
        <v>66.0</v>
      </c>
      <c r="D1316" s="27">
        <v>5.0E7</v>
      </c>
      <c r="E1316" s="26" t="s">
        <v>4673</v>
      </c>
      <c r="F1316" s="9">
        <f t="shared" si="1"/>
        <v>4</v>
      </c>
      <c r="G1316" s="26" t="s">
        <v>4674</v>
      </c>
      <c r="H1316" s="11" t="str">
        <f>IFERROR(__xludf.DUMMYFUNCTION("REGEXREPLACE(G1316, ""[^0-9a-zA-Z .'Ã]"","""")"),"Topol")</f>
        <v>Topol</v>
      </c>
      <c r="I1316" s="28" t="s">
        <v>4675</v>
      </c>
      <c r="J1316" s="26">
        <v>29839.0</v>
      </c>
      <c r="K1316" s="26" t="s">
        <v>4676</v>
      </c>
      <c r="L1316" s="26">
        <v>150.0</v>
      </c>
      <c r="M1316" s="26" t="s">
        <v>24</v>
      </c>
      <c r="N1316" s="26" t="s">
        <v>25</v>
      </c>
      <c r="O1316" s="27">
        <v>9000000.0</v>
      </c>
      <c r="P1316" s="10">
        <f t="shared" si="2"/>
        <v>41000000</v>
      </c>
      <c r="Q1316" s="12">
        <f t="shared" si="3"/>
        <v>0</v>
      </c>
      <c r="R1316" s="26">
        <v>1971.0</v>
      </c>
      <c r="S1316" s="26">
        <v>8.0</v>
      </c>
    </row>
    <row r="1317" ht="15.75" customHeight="1">
      <c r="A1317" s="21" t="s">
        <v>4677</v>
      </c>
      <c r="B1317" s="8" t="str">
        <f>IFERROR(__xludf.DUMMYFUNCTION("REGEXREPLACE(A1317, ""[^0-9a-zA-Z .'Ã]"","""")"),"Gene Quintano")</f>
        <v>Gene Quintano</v>
      </c>
      <c r="C1317" s="22">
        <v>19.0</v>
      </c>
      <c r="D1317" s="23">
        <v>2.79794E7</v>
      </c>
      <c r="E1317" s="22" t="s">
        <v>265</v>
      </c>
      <c r="F1317" s="9">
        <f t="shared" si="1"/>
        <v>3</v>
      </c>
      <c r="G1317" s="22" t="s">
        <v>1749</v>
      </c>
      <c r="H1317" s="11" t="str">
        <f>IFERROR(__xludf.DUMMYFUNCTION("REGEXREPLACE(G1317, ""[^0-9a-zA-Z .'Ã]"","""")"),"Jon Lovitz")</f>
        <v>Jon Lovitz</v>
      </c>
      <c r="I1317" s="24" t="s">
        <v>4678</v>
      </c>
      <c r="J1317" s="22">
        <v>37611.0</v>
      </c>
      <c r="K1317" s="22" t="s">
        <v>4679</v>
      </c>
      <c r="L1317" s="22">
        <v>72.0</v>
      </c>
      <c r="M1317" s="22" t="s">
        <v>24</v>
      </c>
      <c r="N1317" s="22" t="s">
        <v>25</v>
      </c>
      <c r="O1317" s="23">
        <v>8200000.0</v>
      </c>
      <c r="P1317" s="10">
        <f t="shared" si="2"/>
        <v>19779400</v>
      </c>
      <c r="Q1317" s="12">
        <f t="shared" si="3"/>
        <v>0</v>
      </c>
      <c r="R1317" s="22">
        <v>1993.0</v>
      </c>
      <c r="S1317" s="22">
        <v>6.1</v>
      </c>
    </row>
    <row r="1318" ht="15.75" customHeight="1">
      <c r="A1318" s="17" t="s">
        <v>4680</v>
      </c>
      <c r="B1318" s="8" t="str">
        <f>IFERROR(__xludf.DUMMYFUNCTION("REGEXREPLACE(A1318, ""[^0-9a-zA-Z .'Ã]"","""")"),"Denys Arcand")</f>
        <v>Denys Arcand</v>
      </c>
      <c r="C1318" s="18">
        <v>135.0</v>
      </c>
      <c r="D1318" s="19">
        <v>3432342.0</v>
      </c>
      <c r="E1318" s="18" t="s">
        <v>4681</v>
      </c>
      <c r="F1318" s="9">
        <f t="shared" si="1"/>
        <v>5</v>
      </c>
      <c r="G1318" s="18" t="s">
        <v>4682</v>
      </c>
      <c r="H1318" s="11" t="str">
        <f>IFERROR(__xludf.DUMMYFUNCTION("REGEXREPLACE(G1318, ""[^0-9a-zA-Z .'Ã]"","""")"),"MarieJosÃe Croze")</f>
        <v>MarieJosÃe Croze</v>
      </c>
      <c r="I1318" s="20" t="s">
        <v>4683</v>
      </c>
      <c r="J1318" s="18">
        <v>24921.0</v>
      </c>
      <c r="K1318" s="18" t="s">
        <v>4684</v>
      </c>
      <c r="L1318" s="18">
        <v>166.0</v>
      </c>
      <c r="M1318" s="18" t="s">
        <v>658</v>
      </c>
      <c r="N1318" s="18" t="s">
        <v>624</v>
      </c>
      <c r="O1318" s="19">
        <v>6000000.0</v>
      </c>
      <c r="P1318" s="10">
        <f t="shared" si="2"/>
        <v>0</v>
      </c>
      <c r="Q1318" s="12">
        <f t="shared" si="3"/>
        <v>2567658</v>
      </c>
      <c r="R1318" s="18">
        <v>2003.0</v>
      </c>
      <c r="S1318" s="18">
        <v>7.7</v>
      </c>
    </row>
    <row r="1319" ht="15.75" customHeight="1">
      <c r="A1319" s="21" t="s">
        <v>4685</v>
      </c>
      <c r="B1319" s="8" t="str">
        <f>IFERROR(__xludf.DUMMYFUNCTION("REGEXREPLACE(A1319, ""[^0-9a-zA-Z .'Ã]"","""")"),"Mira Nair")</f>
        <v>Mira Nair</v>
      </c>
      <c r="C1319" s="22">
        <v>33.0</v>
      </c>
      <c r="D1319" s="23">
        <v>4109095.0</v>
      </c>
      <c r="E1319" s="22" t="s">
        <v>4686</v>
      </c>
      <c r="F1319" s="9">
        <f t="shared" si="1"/>
        <v>4</v>
      </c>
      <c r="G1319" s="22" t="s">
        <v>4227</v>
      </c>
      <c r="H1319" s="11" t="str">
        <f>IFERROR(__xludf.DUMMYFUNCTION("REGEXREPLACE(G1319, ""[^0-9a-zA-Z .'Ã]"","""")"),"Indira Varma")</f>
        <v>Indira Varma</v>
      </c>
      <c r="I1319" s="24" t="s">
        <v>4687</v>
      </c>
      <c r="J1319" s="22">
        <v>8239.0</v>
      </c>
      <c r="K1319" s="22" t="s">
        <v>4688</v>
      </c>
      <c r="L1319" s="22">
        <v>92.0</v>
      </c>
      <c r="M1319" s="22" t="s">
        <v>24</v>
      </c>
      <c r="N1319" s="22" t="s">
        <v>25</v>
      </c>
      <c r="O1319" s="23">
        <v>3000000.0</v>
      </c>
      <c r="P1319" s="10">
        <f t="shared" si="2"/>
        <v>1109095</v>
      </c>
      <c r="Q1319" s="12">
        <f t="shared" si="3"/>
        <v>0</v>
      </c>
      <c r="R1319" s="22">
        <v>1996.0</v>
      </c>
      <c r="S1319" s="22">
        <v>6.0</v>
      </c>
    </row>
    <row r="1320" ht="15.75" customHeight="1">
      <c r="A1320" s="7" t="s">
        <v>1701</v>
      </c>
      <c r="B1320" s="8" t="str">
        <f>IFERROR(__xludf.DUMMYFUNCTION("REGEXREPLACE(A1320, ""[^0-9a-zA-Z .'Ã]"","""")"),"Gavin Hood")</f>
        <v>Gavin Hood</v>
      </c>
      <c r="C1320" s="9">
        <v>350.0</v>
      </c>
      <c r="D1320" s="10">
        <v>1.79883016E8</v>
      </c>
      <c r="E1320" s="9" t="s">
        <v>449</v>
      </c>
      <c r="F1320" s="9">
        <f t="shared" si="1"/>
        <v>5</v>
      </c>
      <c r="G1320" s="9" t="s">
        <v>974</v>
      </c>
      <c r="H1320" s="11" t="str">
        <f>IFERROR(__xludf.DUMMYFUNCTION("REGEXREPLACE(G1320, ""[^0-9a-zA-Z .'Ã]"","""")"),"Hugh Jackman")</f>
        <v>Hugh Jackman</v>
      </c>
      <c r="I1320" s="11" t="s">
        <v>4689</v>
      </c>
      <c r="J1320" s="9">
        <v>361924.0</v>
      </c>
      <c r="K1320" s="9" t="s">
        <v>4690</v>
      </c>
      <c r="L1320" s="9">
        <v>641.0</v>
      </c>
      <c r="M1320" s="9" t="s">
        <v>24</v>
      </c>
      <c r="N1320" s="9" t="s">
        <v>25</v>
      </c>
      <c r="O1320" s="10">
        <v>1.5E8</v>
      </c>
      <c r="P1320" s="10">
        <f t="shared" si="2"/>
        <v>29883016</v>
      </c>
      <c r="Q1320" s="12">
        <f t="shared" si="3"/>
        <v>0</v>
      </c>
      <c r="R1320" s="9">
        <v>2009.0</v>
      </c>
      <c r="S1320" s="9">
        <v>6.7</v>
      </c>
    </row>
    <row r="1321" ht="15.75" customHeight="1">
      <c r="A1321" s="7" t="s">
        <v>4691</v>
      </c>
      <c r="B1321" s="8" t="str">
        <f>IFERROR(__xludf.DUMMYFUNCTION("REGEXREPLACE(A1321, ""[^0-9a-zA-Z .'Ã]"","""")"),"Richard Attenborough")</f>
        <v>Richard Attenborough</v>
      </c>
      <c r="C1321" s="9">
        <v>23.0</v>
      </c>
      <c r="D1321" s="10">
        <v>2.5842E7</v>
      </c>
      <c r="E1321" s="9" t="s">
        <v>887</v>
      </c>
      <c r="F1321" s="9">
        <f t="shared" si="1"/>
        <v>3</v>
      </c>
      <c r="G1321" s="9" t="s">
        <v>237</v>
      </c>
      <c r="H1321" s="11" t="str">
        <f>IFERROR(__xludf.DUMMYFUNCTION("REGEXREPLACE(G1321, ""[^0-9a-zA-Z .'Ã]"","""")"),"Anthony Hopkins")</f>
        <v>Anthony Hopkins</v>
      </c>
      <c r="I1321" s="11" t="s">
        <v>4692</v>
      </c>
      <c r="J1321" s="9">
        <v>13455.0</v>
      </c>
      <c r="K1321" s="9" t="s">
        <v>4693</v>
      </c>
      <c r="L1321" s="9">
        <v>87.0</v>
      </c>
      <c r="M1321" s="9" t="s">
        <v>24</v>
      </c>
      <c r="N1321" s="9" t="s">
        <v>130</v>
      </c>
      <c r="O1321" s="10">
        <v>2.2E7</v>
      </c>
      <c r="P1321" s="10">
        <f t="shared" si="2"/>
        <v>3842000</v>
      </c>
      <c r="Q1321" s="12">
        <f t="shared" si="3"/>
        <v>0</v>
      </c>
      <c r="R1321" s="9">
        <v>1993.0</v>
      </c>
      <c r="S1321" s="9">
        <v>7.4</v>
      </c>
    </row>
    <row r="1322" ht="15.75" customHeight="1">
      <c r="A1322" s="25" t="s">
        <v>1946</v>
      </c>
      <c r="B1322" s="8" t="str">
        <f>IFERROR(__xludf.DUMMYFUNCTION("REGEXREPLACE(A1322, ""[^0-9a-zA-Z .'Ã]"","""")"),"David Koepp")</f>
        <v>David Koepp</v>
      </c>
      <c r="C1322" s="26">
        <v>210.0</v>
      </c>
      <c r="D1322" s="27">
        <v>1.321403E7</v>
      </c>
      <c r="E1322" s="26" t="s">
        <v>59</v>
      </c>
      <c r="F1322" s="9">
        <f t="shared" si="1"/>
        <v>4</v>
      </c>
      <c r="G1322" s="26" t="s">
        <v>4694</v>
      </c>
      <c r="H1322" s="11" t="str">
        <f>IFERROR(__xludf.DUMMYFUNCTION("REGEXREPLACE(G1322, ""[^0-9a-zA-Z .'Ã]"","""")"),"Aasif Mandvi")</f>
        <v>Aasif Mandvi</v>
      </c>
      <c r="I1322" s="28" t="s">
        <v>4695</v>
      </c>
      <c r="J1322" s="26">
        <v>60516.0</v>
      </c>
      <c r="K1322" s="26" t="s">
        <v>4696</v>
      </c>
      <c r="L1322" s="26">
        <v>147.0</v>
      </c>
      <c r="M1322" s="26" t="s">
        <v>24</v>
      </c>
      <c r="N1322" s="26" t="s">
        <v>25</v>
      </c>
      <c r="O1322" s="27">
        <v>2.0E7</v>
      </c>
      <c r="P1322" s="10">
        <f t="shared" si="2"/>
        <v>0</v>
      </c>
      <c r="Q1322" s="12">
        <f t="shared" si="3"/>
        <v>6785970</v>
      </c>
      <c r="R1322" s="26">
        <v>2008.0</v>
      </c>
      <c r="S1322" s="26">
        <v>6.7</v>
      </c>
    </row>
    <row r="1323" ht="15.75" customHeight="1">
      <c r="A1323" s="7" t="s">
        <v>4697</v>
      </c>
      <c r="B1323" s="8" t="str">
        <f>IFERROR(__xludf.DUMMYFUNCTION("REGEXREPLACE(A1323, ""[^0-9a-zA-Z -.'Ã]"","""")"),"Peter Ho-Sun Chan")</f>
        <v>Peter Ho-Sun Chan</v>
      </c>
      <c r="C1323" s="9">
        <v>106.0</v>
      </c>
      <c r="D1323" s="10">
        <v>128978.0</v>
      </c>
      <c r="E1323" s="9" t="s">
        <v>861</v>
      </c>
      <c r="F1323" s="9">
        <f t="shared" si="1"/>
        <v>5</v>
      </c>
      <c r="G1323" s="9" t="s">
        <v>1555</v>
      </c>
      <c r="H1323" s="11" t="str">
        <f>IFERROR(__xludf.DUMMYFUNCTION("REGEXREPLACE(G1323, ""[^0-9a-zA-Z .'Ã]"","""")"),"Jet Li")</f>
        <v>Jet Li</v>
      </c>
      <c r="I1323" s="11" t="s">
        <v>4698</v>
      </c>
      <c r="J1323" s="9">
        <v>22897.0</v>
      </c>
      <c r="K1323" s="9" t="s">
        <v>4699</v>
      </c>
      <c r="L1323" s="9">
        <v>61.0</v>
      </c>
      <c r="M1323" s="9" t="s">
        <v>3260</v>
      </c>
      <c r="N1323" s="9" t="s">
        <v>157</v>
      </c>
      <c r="O1323" s="10">
        <v>4.0E7</v>
      </c>
      <c r="P1323" s="10">
        <f t="shared" si="2"/>
        <v>0</v>
      </c>
      <c r="Q1323" s="12">
        <f t="shared" si="3"/>
        <v>39871022</v>
      </c>
      <c r="R1323" s="9">
        <v>2007.0</v>
      </c>
      <c r="S1323" s="9">
        <v>7.1</v>
      </c>
    </row>
    <row r="1324" ht="15.75" customHeight="1">
      <c r="A1324" s="21" t="s">
        <v>4700</v>
      </c>
      <c r="B1324" s="8" t="str">
        <f>IFERROR(__xludf.DUMMYFUNCTION("REGEXREPLACE(A1324, ""[^0-9a-zA-Z .'Ã]"","""")"),"Matt Reeves")</f>
        <v>Matt Reeves</v>
      </c>
      <c r="C1324" s="22">
        <v>459.0</v>
      </c>
      <c r="D1324" s="23">
        <v>8.0034302E7</v>
      </c>
      <c r="E1324" s="22" t="s">
        <v>4528</v>
      </c>
      <c r="F1324" s="9">
        <f t="shared" si="1"/>
        <v>4</v>
      </c>
      <c r="G1324" s="22" t="s">
        <v>2090</v>
      </c>
      <c r="H1324" s="11" t="str">
        <f>IFERROR(__xludf.DUMMYFUNCTION("REGEXREPLACE(G1324, ""[^0-9a-zA-Z .'Ã]"","""")"),"Mike Vogel")</f>
        <v>Mike Vogel</v>
      </c>
      <c r="I1324" s="24" t="s">
        <v>4701</v>
      </c>
      <c r="J1324" s="22">
        <v>296787.0</v>
      </c>
      <c r="K1324" s="22" t="s">
        <v>4702</v>
      </c>
      <c r="L1324" s="22">
        <v>2192.0</v>
      </c>
      <c r="M1324" s="22" t="s">
        <v>24</v>
      </c>
      <c r="N1324" s="22" t="s">
        <v>25</v>
      </c>
      <c r="O1324" s="23">
        <v>2.5E7</v>
      </c>
      <c r="P1324" s="10">
        <f t="shared" si="2"/>
        <v>55034302</v>
      </c>
      <c r="Q1324" s="12">
        <f t="shared" si="3"/>
        <v>0</v>
      </c>
      <c r="R1324" s="22">
        <v>2008.0</v>
      </c>
      <c r="S1324" s="22">
        <v>7.0</v>
      </c>
    </row>
    <row r="1325" ht="15.75" customHeight="1">
      <c r="A1325" s="7" t="s">
        <v>877</v>
      </c>
      <c r="B1325" s="8" t="str">
        <f>IFERROR(__xludf.DUMMYFUNCTION("REGEXREPLACE(A1325, ""[^0-9a-zA-Z .'Ã]"","""")"),"David Ayer")</f>
        <v>David Ayer</v>
      </c>
      <c r="C1325" s="9">
        <v>355.0</v>
      </c>
      <c r="D1325" s="10">
        <v>4.0983001E7</v>
      </c>
      <c r="E1325" s="9" t="s">
        <v>113</v>
      </c>
      <c r="F1325" s="9">
        <f t="shared" si="1"/>
        <v>3</v>
      </c>
      <c r="G1325" s="9" t="s">
        <v>2509</v>
      </c>
      <c r="H1325" s="11" t="str">
        <f>IFERROR(__xludf.DUMMYFUNCTION("REGEXREPLACE(G1325, ""[^0-9a-zA-Z .'Ã]"","""")"),"Jake Gyllenhaal")</f>
        <v>Jake Gyllenhaal</v>
      </c>
      <c r="I1325" s="11" t="s">
        <v>4703</v>
      </c>
      <c r="J1325" s="9">
        <v>181025.0</v>
      </c>
      <c r="K1325" s="9" t="s">
        <v>4704</v>
      </c>
      <c r="L1325" s="9">
        <v>336.0</v>
      </c>
      <c r="M1325" s="9" t="s">
        <v>24</v>
      </c>
      <c r="N1325" s="9" t="s">
        <v>25</v>
      </c>
      <c r="O1325" s="10">
        <v>7000000.0</v>
      </c>
      <c r="P1325" s="10">
        <f t="shared" si="2"/>
        <v>33983001</v>
      </c>
      <c r="Q1325" s="12">
        <f t="shared" si="3"/>
        <v>0</v>
      </c>
      <c r="R1325" s="9">
        <v>2012.0</v>
      </c>
      <c r="S1325" s="9">
        <v>7.7</v>
      </c>
    </row>
    <row r="1326" ht="15.75" customHeight="1">
      <c r="A1326" s="25" t="s">
        <v>4705</v>
      </c>
      <c r="B1326" s="8" t="str">
        <f>IFERROR(__xludf.DUMMYFUNCTION("REGEXREPLACE(A1326, ""[^0-9a-zA-Z -.'Ã]"","""")"),"CiarÃn Foy")</f>
        <v>CiarÃn Foy</v>
      </c>
      <c r="C1326" s="26">
        <v>189.0</v>
      </c>
      <c r="D1326" s="27">
        <v>2.7736779E7</v>
      </c>
      <c r="E1326" s="26" t="s">
        <v>94</v>
      </c>
      <c r="F1326" s="9">
        <f t="shared" si="1"/>
        <v>3</v>
      </c>
      <c r="G1326" s="26" t="s">
        <v>4706</v>
      </c>
      <c r="H1326" s="11" t="str">
        <f>IFERROR(__xludf.DUMMYFUNCTION("REGEXREPLACE(G1326, ""[^0-9a-zA-Z .'Ã]"","""")"),"Laila Haley")</f>
        <v>Laila Haley</v>
      </c>
      <c r="I1326" s="28" t="s">
        <v>4707</v>
      </c>
      <c r="J1326" s="26">
        <v>25210.0</v>
      </c>
      <c r="K1326" s="26" t="s">
        <v>4708</v>
      </c>
      <c r="L1326" s="26">
        <v>126.0</v>
      </c>
      <c r="M1326" s="26" t="s">
        <v>24</v>
      </c>
      <c r="N1326" s="26" t="s">
        <v>25</v>
      </c>
      <c r="O1326" s="27">
        <v>1.0E7</v>
      </c>
      <c r="P1326" s="10">
        <f t="shared" si="2"/>
        <v>17736779</v>
      </c>
      <c r="Q1326" s="12">
        <f t="shared" si="3"/>
        <v>0</v>
      </c>
      <c r="R1326" s="26">
        <v>2015.0</v>
      </c>
      <c r="S1326" s="26">
        <v>5.2</v>
      </c>
    </row>
    <row r="1327" ht="15.75" customHeight="1">
      <c r="A1327" s="7" t="s">
        <v>4709</v>
      </c>
      <c r="B1327" s="8" t="str">
        <f>IFERROR(__xludf.DUMMYFUNCTION("REGEXREPLACE(A1327, ""[^0-9a-zA-Z .'Ã]"","""")"),"Karey Kirkpatrick")</f>
        <v>Karey Kirkpatrick</v>
      </c>
      <c r="C1327" s="9">
        <v>93.0</v>
      </c>
      <c r="D1327" s="10">
        <v>1.608861E7</v>
      </c>
      <c r="E1327" s="9" t="s">
        <v>2060</v>
      </c>
      <c r="F1327" s="9">
        <f t="shared" si="1"/>
        <v>4</v>
      </c>
      <c r="G1327" s="9" t="s">
        <v>897</v>
      </c>
      <c r="H1327" s="11" t="str">
        <f>IFERROR(__xludf.DUMMYFUNCTION("REGEXREPLACE(G1327, ""[^0-9a-zA-Z .'Ã]"","""")"),"Stephen Root")</f>
        <v>Stephen Root</v>
      </c>
      <c r="I1327" s="11" t="s">
        <v>4710</v>
      </c>
      <c r="J1327" s="9">
        <v>10417.0</v>
      </c>
      <c r="K1327" s="9" t="s">
        <v>4711</v>
      </c>
      <c r="L1327" s="9">
        <v>39.0</v>
      </c>
      <c r="M1327" s="9" t="s">
        <v>24</v>
      </c>
      <c r="N1327" s="9" t="s">
        <v>25</v>
      </c>
      <c r="O1327" s="10">
        <v>5.5E7</v>
      </c>
      <c r="P1327" s="10">
        <f t="shared" si="2"/>
        <v>0</v>
      </c>
      <c r="Q1327" s="12">
        <f t="shared" si="3"/>
        <v>38911390</v>
      </c>
      <c r="R1327" s="9">
        <v>2009.0</v>
      </c>
      <c r="S1327" s="9">
        <v>5.6</v>
      </c>
    </row>
    <row r="1328" ht="15.75" customHeight="1">
      <c r="A1328" s="25" t="s">
        <v>4712</v>
      </c>
      <c r="B1328" s="8" t="str">
        <f>IFERROR(__xludf.DUMMYFUNCTION("REGEXREPLACE(A1328, ""[^0-9a-zA-Z .'Ã]"","""")"),"J.C. Chandor")</f>
        <v>J.C. Chandor</v>
      </c>
      <c r="C1328" s="26">
        <v>346.0</v>
      </c>
      <c r="D1328" s="27">
        <v>6262942.0</v>
      </c>
      <c r="E1328" s="26" t="s">
        <v>3860</v>
      </c>
      <c r="F1328" s="9">
        <f t="shared" si="1"/>
        <v>3</v>
      </c>
      <c r="G1328" s="26" t="s">
        <v>1816</v>
      </c>
      <c r="H1328" s="11" t="str">
        <f>IFERROR(__xludf.DUMMYFUNCTION("REGEXREPLACE(G1328, ""[^0-9a-zA-Z .'Ã]"","""")"),"Robert Redford")</f>
        <v>Robert Redford</v>
      </c>
      <c r="I1328" s="28" t="s">
        <v>4713</v>
      </c>
      <c r="J1328" s="26">
        <v>59545.0</v>
      </c>
      <c r="K1328" s="26" t="s">
        <v>4714</v>
      </c>
      <c r="L1328" s="26">
        <v>312.0</v>
      </c>
      <c r="M1328" s="26" t="s">
        <v>24</v>
      </c>
      <c r="N1328" s="26" t="s">
        <v>25</v>
      </c>
      <c r="O1328" s="27">
        <v>9000000.0</v>
      </c>
      <c r="P1328" s="10">
        <f t="shared" si="2"/>
        <v>0</v>
      </c>
      <c r="Q1328" s="12">
        <f t="shared" si="3"/>
        <v>2737058</v>
      </c>
      <c r="R1328" s="26">
        <v>2013.0</v>
      </c>
      <c r="S1328" s="26">
        <v>6.9</v>
      </c>
    </row>
    <row r="1329" ht="15.75" customHeight="1">
      <c r="A1329" s="17" t="s">
        <v>4715</v>
      </c>
      <c r="B1329" s="8" t="str">
        <f>IFERROR(__xludf.DUMMYFUNCTION("REGEXREPLACE(A1329, ""[^0-9a-zA-Z .'Ã]"","""")"),"Adam Carolla")</f>
        <v>Adam Carolla</v>
      </c>
      <c r="C1329" s="18">
        <v>14.0</v>
      </c>
      <c r="D1329" s="19">
        <v>105943.0</v>
      </c>
      <c r="E1329" s="18" t="s">
        <v>137</v>
      </c>
      <c r="F1329" s="9">
        <f t="shared" si="1"/>
        <v>1</v>
      </c>
      <c r="G1329" s="18" t="s">
        <v>4716</v>
      </c>
      <c r="H1329" s="11" t="str">
        <f>IFERROR(__xludf.DUMMYFUNCTION("REGEXREPLACE(G1329, ""[^0-9a-zA-Z .'Ã]"","""")"),"Jay Mohr")</f>
        <v>Jay Mohr</v>
      </c>
      <c r="I1329" s="20" t="s">
        <v>4717</v>
      </c>
      <c r="J1329" s="18">
        <v>1351.0</v>
      </c>
      <c r="K1329" s="18" t="s">
        <v>4718</v>
      </c>
      <c r="L1329" s="18">
        <v>11.0</v>
      </c>
      <c r="M1329" s="18" t="s">
        <v>24</v>
      </c>
      <c r="N1329" s="18" t="s">
        <v>25</v>
      </c>
      <c r="O1329" s="19">
        <v>1500000.0</v>
      </c>
      <c r="P1329" s="10">
        <f t="shared" si="2"/>
        <v>0</v>
      </c>
      <c r="Q1329" s="12">
        <f t="shared" si="3"/>
        <v>1394057</v>
      </c>
      <c r="R1329" s="18">
        <v>2015.0</v>
      </c>
      <c r="S1329" s="18">
        <v>6.1</v>
      </c>
    </row>
    <row r="1330" ht="15.75" customHeight="1">
      <c r="A1330" s="17" t="s">
        <v>1021</v>
      </c>
      <c r="B1330" s="8" t="str">
        <f>IFERROR(__xludf.DUMMYFUNCTION("REGEXREPLACE(A1330, ""[^0-9a-zA-Z .'Ã]"","""")"),"David Yates")</f>
        <v>David Yates</v>
      </c>
      <c r="C1330" s="18">
        <v>329.0</v>
      </c>
      <c r="D1330" s="19">
        <v>2.92000866E8</v>
      </c>
      <c r="E1330" s="18" t="s">
        <v>1022</v>
      </c>
      <c r="F1330" s="9">
        <f t="shared" si="1"/>
        <v>4</v>
      </c>
      <c r="G1330" s="18" t="s">
        <v>261</v>
      </c>
      <c r="H1330" s="11" t="str">
        <f>IFERROR(__xludf.DUMMYFUNCTION("REGEXREPLACE(G1330, ""[^0-9a-zA-Z .'Ã]"","""")"),"Robert Pattinson")</f>
        <v>Robert Pattinson</v>
      </c>
      <c r="I1330" s="20" t="s">
        <v>4719</v>
      </c>
      <c r="J1330" s="18">
        <v>355137.0</v>
      </c>
      <c r="K1330" s="18" t="s">
        <v>4720</v>
      </c>
      <c r="L1330" s="18">
        <v>1108.0</v>
      </c>
      <c r="M1330" s="18" t="s">
        <v>24</v>
      </c>
      <c r="N1330" s="18" t="s">
        <v>130</v>
      </c>
      <c r="O1330" s="19">
        <v>1.5E8</v>
      </c>
      <c r="P1330" s="10">
        <f t="shared" si="2"/>
        <v>142000866</v>
      </c>
      <c r="Q1330" s="12">
        <f t="shared" si="3"/>
        <v>0</v>
      </c>
      <c r="R1330" s="18">
        <v>2007.0</v>
      </c>
      <c r="S1330" s="18">
        <v>7.5</v>
      </c>
    </row>
    <row r="1331" ht="15.75" customHeight="1">
      <c r="A1331" s="7" t="s">
        <v>1242</v>
      </c>
      <c r="B1331" s="8" t="str">
        <f>IFERROR(__xludf.DUMMYFUNCTION("REGEXREPLACE(A1331, ""[^0-9a-zA-Z -.'Ã]"","""")"),"Charles Herman-Wurmfeld")</f>
        <v>Charles Herman-Wurmfeld</v>
      </c>
      <c r="C1331" s="9">
        <v>133.0</v>
      </c>
      <c r="D1331" s="10">
        <v>8.9808372E7</v>
      </c>
      <c r="E1331" s="9" t="s">
        <v>137</v>
      </c>
      <c r="F1331" s="9">
        <f t="shared" si="1"/>
        <v>1</v>
      </c>
      <c r="G1331" s="9" t="s">
        <v>4721</v>
      </c>
      <c r="H1331" s="11" t="str">
        <f>IFERROR(__xludf.DUMMYFUNCTION("REGEXREPLACE(G1331, ""[^0-9a-zA-Z .'Ã]"","""")"),"Mary Lynn Rajskub")</f>
        <v>Mary Lynn Rajskub</v>
      </c>
      <c r="I1331" s="11" t="s">
        <v>4722</v>
      </c>
      <c r="J1331" s="9">
        <v>46417.0</v>
      </c>
      <c r="K1331" s="9" t="s">
        <v>4723</v>
      </c>
      <c r="L1331" s="9">
        <v>297.0</v>
      </c>
      <c r="M1331" s="9" t="s">
        <v>24</v>
      </c>
      <c r="N1331" s="9" t="s">
        <v>25</v>
      </c>
      <c r="O1331" s="10">
        <v>4.5E7</v>
      </c>
      <c r="P1331" s="10">
        <f t="shared" si="2"/>
        <v>44808372</v>
      </c>
      <c r="Q1331" s="12">
        <f t="shared" si="3"/>
        <v>0</v>
      </c>
      <c r="R1331" s="9">
        <v>2003.0</v>
      </c>
      <c r="S1331" s="9">
        <v>4.6</v>
      </c>
    </row>
    <row r="1332" ht="15.75" customHeight="1">
      <c r="A1332" s="17" t="s">
        <v>4724</v>
      </c>
      <c r="B1332" s="8" t="str">
        <f>IFERROR(__xludf.DUMMYFUNCTION("REGEXREPLACE(A1332, ""[^0-9a-zA-Z .'Ã]"","""")"),"Tommy O'Haver")</f>
        <v>Tommy O'Haver</v>
      </c>
      <c r="C1332" s="18">
        <v>89.0</v>
      </c>
      <c r="D1332" s="19">
        <v>2.2913677E7</v>
      </c>
      <c r="E1332" s="18" t="s">
        <v>4725</v>
      </c>
      <c r="F1332" s="9">
        <f t="shared" si="1"/>
        <v>4</v>
      </c>
      <c r="G1332" s="18" t="s">
        <v>419</v>
      </c>
      <c r="H1332" s="11" t="str">
        <f>IFERROR(__xludf.DUMMYFUNCTION("REGEXREPLACE(G1332, ""[^0-9a-zA-Z .'Ã]"","""")"),"Anne Hathaway")</f>
        <v>Anne Hathaway</v>
      </c>
      <c r="I1332" s="20" t="s">
        <v>4726</v>
      </c>
      <c r="J1332" s="18">
        <v>47800.0</v>
      </c>
      <c r="K1332" s="18" t="s">
        <v>4727</v>
      </c>
      <c r="L1332" s="18">
        <v>244.0</v>
      </c>
      <c r="M1332" s="18" t="s">
        <v>24</v>
      </c>
      <c r="N1332" s="18" t="s">
        <v>25</v>
      </c>
      <c r="O1332" s="19">
        <v>3.5E7</v>
      </c>
      <c r="P1332" s="10">
        <f t="shared" si="2"/>
        <v>0</v>
      </c>
      <c r="Q1332" s="12">
        <f t="shared" si="3"/>
        <v>12086323</v>
      </c>
      <c r="R1332" s="18">
        <v>2004.0</v>
      </c>
      <c r="S1332" s="18">
        <v>6.3</v>
      </c>
    </row>
    <row r="1333" ht="15.75" customHeight="1">
      <c r="A1333" s="29" t="s">
        <v>355</v>
      </c>
      <c r="B1333" s="8" t="str">
        <f>IFERROR(__xludf.DUMMYFUNCTION("REGEXREPLACE(A1333, ""[^0-9a-zA-Z .'Ã]"","""")"),"Antoine Fuqua")</f>
        <v>Antoine Fuqua</v>
      </c>
      <c r="C1333" s="30">
        <v>305.0</v>
      </c>
      <c r="D1333" s="31">
        <v>5.2418902E7</v>
      </c>
      <c r="E1333" s="30" t="s">
        <v>132</v>
      </c>
      <c r="F1333" s="9">
        <f t="shared" si="1"/>
        <v>2</v>
      </c>
      <c r="G1333" s="30" t="s">
        <v>2509</v>
      </c>
      <c r="H1333" s="11" t="str">
        <f>IFERROR(__xludf.DUMMYFUNCTION("REGEXREPLACE(G1333, ""[^0-9a-zA-Z .'Ã]"","""")"),"Jake Gyllenhaal")</f>
        <v>Jake Gyllenhaal</v>
      </c>
      <c r="I1333" s="32" t="s">
        <v>4728</v>
      </c>
      <c r="J1333" s="30">
        <v>147128.0</v>
      </c>
      <c r="K1333" s="30" t="s">
        <v>4729</v>
      </c>
      <c r="L1333" s="30">
        <v>277.0</v>
      </c>
      <c r="M1333" s="30" t="s">
        <v>24</v>
      </c>
      <c r="N1333" s="30" t="s">
        <v>25</v>
      </c>
      <c r="O1333" s="31">
        <v>3.0E7</v>
      </c>
      <c r="P1333" s="10">
        <f t="shared" si="2"/>
        <v>22418902</v>
      </c>
      <c r="Q1333" s="12">
        <f t="shared" si="3"/>
        <v>0</v>
      </c>
      <c r="R1333" s="30">
        <v>2015.0</v>
      </c>
      <c r="S1333" s="30">
        <v>7.5</v>
      </c>
    </row>
    <row r="1334" ht="15.75" customHeight="1">
      <c r="A1334" s="7" t="s">
        <v>4730</v>
      </c>
      <c r="B1334" s="8" t="str">
        <f>IFERROR(__xludf.DUMMYFUNCTION("REGEXREPLACE(A1334, ""[^0-9a-zA-Z .'Ã]"","""")"),"Brian Henson")</f>
        <v>Brian Henson</v>
      </c>
      <c r="C1334" s="9">
        <v>75.0</v>
      </c>
      <c r="D1334" s="10">
        <v>2.7281507E7</v>
      </c>
      <c r="E1334" s="9" t="s">
        <v>4731</v>
      </c>
      <c r="F1334" s="9">
        <f t="shared" si="1"/>
        <v>5</v>
      </c>
      <c r="G1334" s="9" t="s">
        <v>4732</v>
      </c>
      <c r="H1334" s="11" t="str">
        <f>IFERROR(__xludf.DUMMYFUNCTION("REGEXREPLACE(G1334, ""[^0-9a-zA-Z .'Ã]"","""")"),"Steven Mackintosh")</f>
        <v>Steven Mackintosh</v>
      </c>
      <c r="I1334" s="11" t="s">
        <v>4733</v>
      </c>
      <c r="J1334" s="9">
        <v>33850.0</v>
      </c>
      <c r="K1334" s="9" t="s">
        <v>4734</v>
      </c>
      <c r="L1334" s="9">
        <v>147.0</v>
      </c>
      <c r="M1334" s="9" t="s">
        <v>24</v>
      </c>
      <c r="N1334" s="9" t="s">
        <v>25</v>
      </c>
      <c r="O1334" s="10">
        <v>1.2E7</v>
      </c>
      <c r="P1334" s="10">
        <f t="shared" si="2"/>
        <v>15281507</v>
      </c>
      <c r="Q1334" s="12">
        <f t="shared" si="3"/>
        <v>0</v>
      </c>
      <c r="R1334" s="9">
        <v>1992.0</v>
      </c>
      <c r="S1334" s="9">
        <v>7.7</v>
      </c>
    </row>
    <row r="1335" ht="15.75" customHeight="1">
      <c r="A1335" s="7" t="s">
        <v>4735</v>
      </c>
      <c r="B1335" s="8" t="str">
        <f>IFERROR(__xludf.DUMMYFUNCTION("REGEXREPLACE(A1335, ""[^0-9a-zA-Z .'Ã]"","""")"),"Mike Mitchell")</f>
        <v>Mike Mitchell</v>
      </c>
      <c r="C1335" s="9">
        <v>127.0</v>
      </c>
      <c r="D1335" s="10">
        <v>6.3939454E7</v>
      </c>
      <c r="E1335" s="9" t="s">
        <v>4736</v>
      </c>
      <c r="F1335" s="9">
        <f t="shared" si="1"/>
        <v>4</v>
      </c>
      <c r="G1335" s="9" t="s">
        <v>4737</v>
      </c>
      <c r="H1335" s="11" t="str">
        <f>IFERROR(__xludf.DUMMYFUNCTION("REGEXREPLACE(G1335, ""[^0-9a-zA-Z .'Ã]"","""")"),"Michael Angarano")</f>
        <v>Michael Angarano</v>
      </c>
      <c r="I1335" s="11" t="s">
        <v>4738</v>
      </c>
      <c r="J1335" s="9">
        <v>61321.0</v>
      </c>
      <c r="K1335" s="9" t="s">
        <v>4739</v>
      </c>
      <c r="L1335" s="9">
        <v>217.0</v>
      </c>
      <c r="M1335" s="9" t="s">
        <v>24</v>
      </c>
      <c r="N1335" s="9" t="s">
        <v>25</v>
      </c>
      <c r="O1335" s="10">
        <v>3.5E7</v>
      </c>
      <c r="P1335" s="10">
        <f t="shared" si="2"/>
        <v>28939454</v>
      </c>
      <c r="Q1335" s="12">
        <f t="shared" si="3"/>
        <v>0</v>
      </c>
      <c r="R1335" s="9">
        <v>2005.0</v>
      </c>
      <c r="S1335" s="9">
        <v>6.2</v>
      </c>
    </row>
    <row r="1336" ht="15.75" customHeight="1">
      <c r="A1336" s="7" t="s">
        <v>3195</v>
      </c>
      <c r="B1336" s="8" t="str">
        <f>IFERROR(__xludf.DUMMYFUNCTION("REGEXREPLACE(A1336, ""[^0-9a-zA-Z .'Ã]"","""")"),"James DeMonaco")</f>
        <v>James DeMonaco</v>
      </c>
      <c r="C1336" s="9">
        <v>165.0</v>
      </c>
      <c r="D1336" s="10">
        <v>7.884513E7</v>
      </c>
      <c r="E1336" s="9" t="s">
        <v>64</v>
      </c>
      <c r="F1336" s="9">
        <f t="shared" si="1"/>
        <v>4</v>
      </c>
      <c r="G1336" s="9" t="s">
        <v>4740</v>
      </c>
      <c r="H1336" s="11" t="str">
        <f>IFERROR(__xludf.DUMMYFUNCTION("REGEXREPLACE(G1336, ""[^0-9a-zA-Z .'Ã]"","""")"),"Frank Grillo")</f>
        <v>Frank Grillo</v>
      </c>
      <c r="I1336" s="11" t="s">
        <v>4741</v>
      </c>
      <c r="J1336" s="9">
        <v>17596.0</v>
      </c>
      <c r="K1336" s="9" t="s">
        <v>4742</v>
      </c>
      <c r="L1336" s="9">
        <v>94.0</v>
      </c>
      <c r="M1336" s="9" t="s">
        <v>24</v>
      </c>
      <c r="N1336" s="9" t="s">
        <v>608</v>
      </c>
      <c r="O1336" s="10">
        <v>1.0E7</v>
      </c>
      <c r="P1336" s="10">
        <f t="shared" si="2"/>
        <v>68845130</v>
      </c>
      <c r="Q1336" s="12">
        <f t="shared" si="3"/>
        <v>0</v>
      </c>
      <c r="R1336" s="9">
        <v>2016.0</v>
      </c>
      <c r="S1336" s="9">
        <v>6.1</v>
      </c>
    </row>
    <row r="1337" ht="15.75" customHeight="1">
      <c r="A1337" s="7" t="s">
        <v>2505</v>
      </c>
      <c r="B1337" s="8" t="str">
        <f>IFERROR(__xludf.DUMMYFUNCTION("REGEXREPLACE(A1337, ""[^0-9a-zA-Z .'Ã]"","""")"),"Tony Scott")</f>
        <v>Tony Scott</v>
      </c>
      <c r="C1337" s="9">
        <v>171.0</v>
      </c>
      <c r="D1337" s="10">
        <v>7.7862546E7</v>
      </c>
      <c r="E1337" s="9" t="s">
        <v>501</v>
      </c>
      <c r="F1337" s="9">
        <f t="shared" si="1"/>
        <v>4</v>
      </c>
      <c r="G1337" s="9" t="s">
        <v>70</v>
      </c>
      <c r="H1337" s="11" t="str">
        <f>IFERROR(__xludf.DUMMYFUNCTION("REGEXREPLACE(G1337, ""[^0-9a-zA-Z .'Ã]"","""")"),"Denzel Washington")</f>
        <v>Denzel Washington</v>
      </c>
      <c r="I1337" s="11" t="s">
        <v>4743</v>
      </c>
      <c r="J1337" s="9">
        <v>266310.0</v>
      </c>
      <c r="K1337" s="9" t="s">
        <v>4744</v>
      </c>
      <c r="L1337" s="9">
        <v>690.0</v>
      </c>
      <c r="M1337" s="9" t="s">
        <v>24</v>
      </c>
      <c r="N1337" s="9" t="s">
        <v>25</v>
      </c>
      <c r="O1337" s="10">
        <v>7.0E7</v>
      </c>
      <c r="P1337" s="10">
        <f t="shared" si="2"/>
        <v>7862546</v>
      </c>
      <c r="Q1337" s="12">
        <f t="shared" si="3"/>
        <v>0</v>
      </c>
      <c r="R1337" s="9">
        <v>2004.0</v>
      </c>
      <c r="S1337" s="9">
        <v>7.7</v>
      </c>
    </row>
    <row r="1338" ht="15.75" customHeight="1">
      <c r="A1338" s="21" t="s">
        <v>3988</v>
      </c>
      <c r="B1338" s="8" t="str">
        <f>IFERROR(__xludf.DUMMYFUNCTION("REGEXREPLACE(A1338, ""[^0-9a-zA-Z .'Ã]"","""")"),"Rob Reiner")</f>
        <v>Rob Reiner</v>
      </c>
      <c r="C1338" s="22">
        <v>75.0</v>
      </c>
      <c r="D1338" s="23">
        <v>6.5E7</v>
      </c>
      <c r="E1338" s="22" t="s">
        <v>159</v>
      </c>
      <c r="F1338" s="9">
        <f t="shared" si="1"/>
        <v>3</v>
      </c>
      <c r="G1338" s="22" t="s">
        <v>4745</v>
      </c>
      <c r="H1338" s="11" t="str">
        <f>IFERROR(__xludf.DUMMYFUNCTION("REGEXREPLACE(G1338, ""[^0-9a-zA-Z .'Ã]"","""")"),"Shawna Waldron")</f>
        <v>Shawna Waldron</v>
      </c>
      <c r="I1338" s="24" t="s">
        <v>4746</v>
      </c>
      <c r="J1338" s="22">
        <v>43027.0</v>
      </c>
      <c r="K1338" s="22" t="s">
        <v>4747</v>
      </c>
      <c r="L1338" s="22">
        <v>214.0</v>
      </c>
      <c r="M1338" s="22" t="s">
        <v>24</v>
      </c>
      <c r="N1338" s="22" t="s">
        <v>25</v>
      </c>
      <c r="O1338" s="23">
        <v>6.2E7</v>
      </c>
      <c r="P1338" s="10">
        <f t="shared" si="2"/>
        <v>3000000</v>
      </c>
      <c r="Q1338" s="12">
        <f t="shared" si="3"/>
        <v>0</v>
      </c>
      <c r="R1338" s="22">
        <v>1995.0</v>
      </c>
      <c r="S1338" s="22">
        <v>6.8</v>
      </c>
    </row>
    <row r="1339" ht="15.75" customHeight="1">
      <c r="A1339" s="17" t="s">
        <v>4724</v>
      </c>
      <c r="B1339" s="8" t="str">
        <f>IFERROR(__xludf.DUMMYFUNCTION("REGEXREPLACE(A1339, ""[^0-9a-zA-Z .'Ã]"","""")"),"Tommy O'Haver")</f>
        <v>Tommy O'Haver</v>
      </c>
      <c r="C1339" s="18">
        <v>63.0</v>
      </c>
      <c r="D1339" s="19">
        <v>1.1560259E7</v>
      </c>
      <c r="E1339" s="18" t="s">
        <v>89</v>
      </c>
      <c r="F1339" s="9">
        <f t="shared" si="1"/>
        <v>2</v>
      </c>
      <c r="G1339" s="18" t="s">
        <v>4748</v>
      </c>
      <c r="H1339" s="11" t="str">
        <f>IFERROR(__xludf.DUMMYFUNCTION("REGEXREPLACE(G1339, ""[^0-9a-zA-Z .'Ã]"","""")"),"Mila Kunis")</f>
        <v>Mila Kunis</v>
      </c>
      <c r="I1339" s="20" t="s">
        <v>4749</v>
      </c>
      <c r="J1339" s="18">
        <v>15617.0</v>
      </c>
      <c r="K1339" s="18" t="s">
        <v>4750</v>
      </c>
      <c r="L1339" s="18">
        <v>180.0</v>
      </c>
      <c r="M1339" s="18" t="s">
        <v>24</v>
      </c>
      <c r="N1339" s="18" t="s">
        <v>25</v>
      </c>
      <c r="O1339" s="19">
        <v>2.2E7</v>
      </c>
      <c r="P1339" s="10">
        <f t="shared" si="2"/>
        <v>0</v>
      </c>
      <c r="Q1339" s="12">
        <f t="shared" si="3"/>
        <v>10439741</v>
      </c>
      <c r="R1339" s="18">
        <v>2001.0</v>
      </c>
      <c r="S1339" s="18">
        <v>5.8</v>
      </c>
    </row>
    <row r="1340" ht="15.75" customHeight="1">
      <c r="A1340" s="21" t="s">
        <v>4751</v>
      </c>
      <c r="B1340" s="8" t="str">
        <f>IFERROR(__xludf.DUMMYFUNCTION("REGEXREPLACE(A1340, ""[^0-9a-zA-Z .'Ã]"","""")"),"Rian Johnson")</f>
        <v>Rian Johnson</v>
      </c>
      <c r="C1340" s="22">
        <v>182.0</v>
      </c>
      <c r="D1340" s="23">
        <v>3519627.0</v>
      </c>
      <c r="E1340" s="22" t="s">
        <v>4752</v>
      </c>
      <c r="F1340" s="9">
        <f t="shared" si="1"/>
        <v>4</v>
      </c>
      <c r="G1340" s="22" t="s">
        <v>4753</v>
      </c>
      <c r="H1340" s="11" t="str">
        <f>IFERROR(__xludf.DUMMYFUNCTION("REGEXREPLACE(G1340, ""[^0-9a-zA-Z .'Ã]"","""")"),"Zachary Gordon")</f>
        <v>Zachary Gordon</v>
      </c>
      <c r="I1340" s="24" t="s">
        <v>4754</v>
      </c>
      <c r="J1340" s="22">
        <v>41737.0</v>
      </c>
      <c r="K1340" s="22" t="s">
        <v>4755</v>
      </c>
      <c r="L1340" s="22">
        <v>105.0</v>
      </c>
      <c r="M1340" s="22" t="s">
        <v>24</v>
      </c>
      <c r="N1340" s="22" t="s">
        <v>25</v>
      </c>
      <c r="O1340" s="23">
        <v>2.0E7</v>
      </c>
      <c r="P1340" s="10">
        <f t="shared" si="2"/>
        <v>0</v>
      </c>
      <c r="Q1340" s="12">
        <f t="shared" si="3"/>
        <v>16480373</v>
      </c>
      <c r="R1340" s="22">
        <v>2008.0</v>
      </c>
      <c r="S1340" s="22">
        <v>6.9</v>
      </c>
    </row>
    <row r="1341" ht="15.75" customHeight="1">
      <c r="A1341" s="17" t="s">
        <v>4756</v>
      </c>
      <c r="B1341" s="8" t="str">
        <f>IFERROR(__xludf.DUMMYFUNCTION("REGEXREPLACE(A1341, ""[^0-9a-zA-Z .'Ã]"","""")"),"Christopher Guest")</f>
        <v>Christopher Guest</v>
      </c>
      <c r="C1341" s="18">
        <v>144.0</v>
      </c>
      <c r="D1341" s="19">
        <v>5542025.0</v>
      </c>
      <c r="E1341" s="18" t="s">
        <v>137</v>
      </c>
      <c r="F1341" s="9">
        <f t="shared" si="1"/>
        <v>1</v>
      </c>
      <c r="G1341" s="18" t="s">
        <v>2502</v>
      </c>
      <c r="H1341" s="11" t="str">
        <f>IFERROR(__xludf.DUMMYFUNCTION("REGEXREPLACE(G1341, ""[^0-9a-zA-Z .'Ã]"","""")"),"John Michael Higgins")</f>
        <v>John Michael Higgins</v>
      </c>
      <c r="I1341" s="20" t="s">
        <v>4757</v>
      </c>
      <c r="J1341" s="18">
        <v>12197.0</v>
      </c>
      <c r="K1341" s="18" t="s">
        <v>4758</v>
      </c>
      <c r="L1341" s="18">
        <v>150.0</v>
      </c>
      <c r="M1341" s="18" t="s">
        <v>24</v>
      </c>
      <c r="N1341" s="18" t="s">
        <v>25</v>
      </c>
      <c r="O1341" s="19">
        <v>1.2E7</v>
      </c>
      <c r="P1341" s="10">
        <f t="shared" si="2"/>
        <v>0</v>
      </c>
      <c r="Q1341" s="12">
        <f t="shared" si="3"/>
        <v>6457975</v>
      </c>
      <c r="R1341" s="18">
        <v>2006.0</v>
      </c>
      <c r="S1341" s="18">
        <v>6.3</v>
      </c>
    </row>
    <row r="1342" ht="15.75" customHeight="1">
      <c r="A1342" s="7" t="s">
        <v>4759</v>
      </c>
      <c r="B1342" s="8" t="str">
        <f>IFERROR(__xludf.DUMMYFUNCTION("REGEXREPLACE(A1342, ""[^0-9a-zA-Z .'Ã]"","""")"),"Sngmoo Lee")</f>
        <v>Sngmoo Lee</v>
      </c>
      <c r="C1342" s="9">
        <v>95.0</v>
      </c>
      <c r="D1342" s="10">
        <v>5664251.0</v>
      </c>
      <c r="E1342" s="9" t="s">
        <v>4760</v>
      </c>
      <c r="F1342" s="9">
        <f t="shared" si="1"/>
        <v>3</v>
      </c>
      <c r="G1342" s="9" t="s">
        <v>4761</v>
      </c>
      <c r="H1342" s="11" t="str">
        <f>IFERROR(__xludf.DUMMYFUNCTION("REGEXREPLACE(G1342, ""[^0-9a-zA-Z .'Ã]"","""")"),"Tony Cox")</f>
        <v>Tony Cox</v>
      </c>
      <c r="I1342" s="11" t="s">
        <v>4762</v>
      </c>
      <c r="J1342" s="9">
        <v>22309.0</v>
      </c>
      <c r="K1342" s="9" t="s">
        <v>4763</v>
      </c>
      <c r="L1342" s="9">
        <v>102.0</v>
      </c>
      <c r="M1342" s="9" t="s">
        <v>24</v>
      </c>
      <c r="N1342" s="9" t="s">
        <v>1002</v>
      </c>
      <c r="O1342" s="10">
        <v>4.5E7</v>
      </c>
      <c r="P1342" s="10">
        <f t="shared" si="2"/>
        <v>0</v>
      </c>
      <c r="Q1342" s="12">
        <f t="shared" si="3"/>
        <v>39335749</v>
      </c>
      <c r="R1342" s="9">
        <v>2010.0</v>
      </c>
      <c r="S1342" s="9">
        <v>6.3</v>
      </c>
    </row>
    <row r="1343" ht="15.75" customHeight="1">
      <c r="A1343" s="17" t="s">
        <v>4764</v>
      </c>
      <c r="B1343" s="8" t="str">
        <f>IFERROR(__xludf.DUMMYFUNCTION("REGEXREPLACE(A1343, ""[^0-9a-zA-Z .'Ã]"","""")"),"Aaron Seltzer")</f>
        <v>Aaron Seltzer</v>
      </c>
      <c r="C1343" s="18">
        <v>99.0</v>
      </c>
      <c r="D1343" s="19">
        <v>4.8546578E7</v>
      </c>
      <c r="E1343" s="18" t="s">
        <v>89</v>
      </c>
      <c r="F1343" s="9">
        <f t="shared" si="1"/>
        <v>2</v>
      </c>
      <c r="G1343" s="18" t="s">
        <v>3870</v>
      </c>
      <c r="H1343" s="11" t="str">
        <f>IFERROR(__xludf.DUMMYFUNCTION("REGEXREPLACE(G1343, ""[^0-9a-zA-Z .'Ã]"","""")"),"Alyson Hannigan")</f>
        <v>Alyson Hannigan</v>
      </c>
      <c r="I1343" s="20" t="s">
        <v>4765</v>
      </c>
      <c r="J1343" s="18">
        <v>50415.0</v>
      </c>
      <c r="K1343" s="18" t="s">
        <v>4766</v>
      </c>
      <c r="L1343" s="18">
        <v>613.0</v>
      </c>
      <c r="M1343" s="18" t="s">
        <v>24</v>
      </c>
      <c r="N1343" s="18" t="s">
        <v>25</v>
      </c>
      <c r="O1343" s="19">
        <v>2.0E7</v>
      </c>
      <c r="P1343" s="10">
        <f t="shared" si="2"/>
        <v>28546578</v>
      </c>
      <c r="Q1343" s="12">
        <f t="shared" si="3"/>
        <v>0</v>
      </c>
      <c r="R1343" s="18">
        <v>2006.0</v>
      </c>
      <c r="S1343" s="18">
        <v>2.7</v>
      </c>
    </row>
    <row r="1344" ht="15.75" customHeight="1">
      <c r="A1344" s="7" t="s">
        <v>1652</v>
      </c>
      <c r="B1344" s="8" t="str">
        <f>IFERROR(__xludf.DUMMYFUNCTION("REGEXREPLACE(A1344, ""[^0-9a-zA-Z .'Ã]"","""")"),"John Carpenter")</f>
        <v>John Carpenter</v>
      </c>
      <c r="C1344" s="9">
        <v>180.0</v>
      </c>
      <c r="D1344" s="10">
        <v>1.11E7</v>
      </c>
      <c r="E1344" s="9" t="s">
        <v>142</v>
      </c>
      <c r="F1344" s="9">
        <f t="shared" si="1"/>
        <v>4</v>
      </c>
      <c r="G1344" s="9" t="s">
        <v>3374</v>
      </c>
      <c r="H1344" s="11" t="str">
        <f>IFERROR(__xludf.DUMMYFUNCTION("REGEXREPLACE(G1344, ""[^0-9a-zA-Z .'Ã]"","""")"),"Victor Wong")</f>
        <v>Victor Wong</v>
      </c>
      <c r="I1344" s="11" t="s">
        <v>4767</v>
      </c>
      <c r="J1344" s="9">
        <v>92464.0</v>
      </c>
      <c r="K1344" s="9" t="s">
        <v>4768</v>
      </c>
      <c r="L1344" s="9">
        <v>331.0</v>
      </c>
      <c r="M1344" s="9" t="s">
        <v>24</v>
      </c>
      <c r="N1344" s="9" t="s">
        <v>25</v>
      </c>
      <c r="O1344" s="10">
        <v>2.5E7</v>
      </c>
      <c r="P1344" s="10">
        <f t="shared" si="2"/>
        <v>0</v>
      </c>
      <c r="Q1344" s="12">
        <f t="shared" si="3"/>
        <v>13900000</v>
      </c>
      <c r="R1344" s="9">
        <v>1986.0</v>
      </c>
      <c r="S1344" s="9">
        <v>7.3</v>
      </c>
    </row>
    <row r="1345" ht="15.75" customHeight="1">
      <c r="A1345" s="21" t="s">
        <v>3803</v>
      </c>
      <c r="B1345" s="8" t="str">
        <f>IFERROR(__xludf.DUMMYFUNCTION("REGEXREPLACE(A1345, ""[^0-9a-zA-Z .'Ã]"","""")"),"Danny Boyle")</f>
        <v>Danny Boyle</v>
      </c>
      <c r="C1345" s="22">
        <v>418.0</v>
      </c>
      <c r="D1345" s="23">
        <v>1.41319195E8</v>
      </c>
      <c r="E1345" s="22" t="s">
        <v>232</v>
      </c>
      <c r="F1345" s="9">
        <f t="shared" si="1"/>
        <v>2</v>
      </c>
      <c r="G1345" s="22" t="s">
        <v>4769</v>
      </c>
      <c r="H1345" s="11" t="str">
        <f>IFERROR(__xludf.DUMMYFUNCTION("REGEXREPLACE(G1345, ""[^0-9a-zA-Z .'Ã]"","""")"),"Anil Kapoor")</f>
        <v>Anil Kapoor</v>
      </c>
      <c r="I1345" s="24" t="s">
        <v>4770</v>
      </c>
      <c r="J1345" s="22">
        <v>641997.0</v>
      </c>
      <c r="K1345" s="22" t="s">
        <v>4771</v>
      </c>
      <c r="L1345" s="22">
        <v>1017.0</v>
      </c>
      <c r="M1345" s="22" t="s">
        <v>24</v>
      </c>
      <c r="N1345" s="22" t="s">
        <v>130</v>
      </c>
      <c r="O1345" s="23">
        <v>1.5E7</v>
      </c>
      <c r="P1345" s="10">
        <f t="shared" si="2"/>
        <v>126319195</v>
      </c>
      <c r="Q1345" s="12">
        <f t="shared" si="3"/>
        <v>0</v>
      </c>
      <c r="R1345" s="22">
        <v>2008.0</v>
      </c>
      <c r="S1345" s="22">
        <v>8.0</v>
      </c>
    </row>
    <row r="1346" ht="15.75" customHeight="1">
      <c r="A1346" s="7" t="s">
        <v>4772</v>
      </c>
      <c r="B1346" s="8" t="str">
        <f>IFERROR(__xludf.DUMMYFUNCTION("REGEXREPLACE(A1346, ""[^0-9a-zA-Z .'Ã]"","""")"),"Richard Eyre")</f>
        <v>Richard Eyre</v>
      </c>
      <c r="C1346" s="9">
        <v>220.0</v>
      </c>
      <c r="D1346" s="10">
        <v>1.750867E7</v>
      </c>
      <c r="E1346" s="9" t="s">
        <v>810</v>
      </c>
      <c r="F1346" s="9">
        <f t="shared" si="1"/>
        <v>4</v>
      </c>
      <c r="G1346" s="9" t="s">
        <v>4773</v>
      </c>
      <c r="H1346" s="11" t="str">
        <f>IFERROR(__xludf.DUMMYFUNCTION("REGEXREPLACE(G1346, ""[^0-9a-zA-Z .'Ã]"","""")"),"Phil Davis")</f>
        <v>Phil Davis</v>
      </c>
      <c r="I1346" s="11" t="s">
        <v>4774</v>
      </c>
      <c r="J1346" s="9">
        <v>64625.0</v>
      </c>
      <c r="K1346" s="9" t="s">
        <v>4775</v>
      </c>
      <c r="L1346" s="9">
        <v>281.0</v>
      </c>
      <c r="M1346" s="9" t="s">
        <v>24</v>
      </c>
      <c r="N1346" s="9" t="s">
        <v>130</v>
      </c>
      <c r="O1346" s="10">
        <v>1.5E7</v>
      </c>
      <c r="P1346" s="10">
        <f t="shared" si="2"/>
        <v>2508670</v>
      </c>
      <c r="Q1346" s="12">
        <f t="shared" si="3"/>
        <v>0</v>
      </c>
      <c r="R1346" s="9">
        <v>2006.0</v>
      </c>
      <c r="S1346" s="9">
        <v>7.4</v>
      </c>
    </row>
    <row r="1347" ht="15.75" customHeight="1">
      <c r="A1347" s="25" t="s">
        <v>4776</v>
      </c>
      <c r="B1347" s="8" t="str">
        <f>IFERROR(__xludf.DUMMYFUNCTION("REGEXREPLACE(A1347, ""[^0-9a-zA-Z .'Ã]"","""")"),"Shane Black")</f>
        <v>Shane Black</v>
      </c>
      <c r="C1347" s="26">
        <v>608.0</v>
      </c>
      <c r="D1347" s="27">
        <v>4.08992272E8</v>
      </c>
      <c r="E1347" s="26" t="s">
        <v>185</v>
      </c>
      <c r="F1347" s="9">
        <f t="shared" si="1"/>
        <v>3</v>
      </c>
      <c r="G1347" s="26" t="s">
        <v>327</v>
      </c>
      <c r="H1347" s="11" t="str">
        <f>IFERROR(__xludf.DUMMYFUNCTION("REGEXREPLACE(G1347, ""[^0-9a-zA-Z .'Ã]"","""")"),"Robert Downey Jr.")</f>
        <v>Robert Downey Jr.</v>
      </c>
      <c r="I1347" s="28" t="s">
        <v>4777</v>
      </c>
      <c r="J1347" s="26">
        <v>557489.0</v>
      </c>
      <c r="K1347" s="26" t="s">
        <v>4778</v>
      </c>
      <c r="L1347" s="26">
        <v>1187.0</v>
      </c>
      <c r="M1347" s="26" t="s">
        <v>24</v>
      </c>
      <c r="N1347" s="26" t="s">
        <v>25</v>
      </c>
      <c r="O1347" s="27">
        <v>2.0E8</v>
      </c>
      <c r="P1347" s="10">
        <f t="shared" si="2"/>
        <v>208992272</v>
      </c>
      <c r="Q1347" s="12">
        <f t="shared" si="3"/>
        <v>0</v>
      </c>
      <c r="R1347" s="26">
        <v>2013.0</v>
      </c>
      <c r="S1347" s="26">
        <v>7.2</v>
      </c>
    </row>
    <row r="1348" ht="15.75" customHeight="1">
      <c r="A1348" s="17" t="s">
        <v>4661</v>
      </c>
      <c r="B1348" s="8" t="str">
        <f>IFERROR(__xludf.DUMMYFUNCTION("REGEXREPLACE(A1348, ""[^0-9a-zA-Z .'Ã]"","""")"),"Randall Wallace")</f>
        <v>Randall Wallace</v>
      </c>
      <c r="C1348" s="18">
        <v>160.0</v>
      </c>
      <c r="D1348" s="19">
        <v>5.9699513E7</v>
      </c>
      <c r="E1348" s="18" t="s">
        <v>4779</v>
      </c>
      <c r="F1348" s="9">
        <f t="shared" si="1"/>
        <v>5</v>
      </c>
      <c r="G1348" s="18" t="s">
        <v>475</v>
      </c>
      <c r="H1348" s="11" t="str">
        <f>IFERROR(__xludf.DUMMYFUNCTION("REGEXREPLACE(G1348, ""[^0-9a-zA-Z .'Ã]"","""")"),"Scott Glenn")</f>
        <v>Scott Glenn</v>
      </c>
      <c r="I1348" s="20" t="s">
        <v>4780</v>
      </c>
      <c r="J1348" s="18">
        <v>20827.0</v>
      </c>
      <c r="K1348" s="18" t="s">
        <v>4781</v>
      </c>
      <c r="L1348" s="18">
        <v>136.0</v>
      </c>
      <c r="M1348" s="18" t="s">
        <v>24</v>
      </c>
      <c r="N1348" s="18" t="s">
        <v>25</v>
      </c>
      <c r="O1348" s="19">
        <v>3.5E7</v>
      </c>
      <c r="P1348" s="10">
        <f t="shared" si="2"/>
        <v>24699513</v>
      </c>
      <c r="Q1348" s="12">
        <f t="shared" si="3"/>
        <v>0</v>
      </c>
      <c r="R1348" s="18">
        <v>2010.0</v>
      </c>
      <c r="S1348" s="18">
        <v>7.2</v>
      </c>
    </row>
    <row r="1349" ht="15.75" customHeight="1">
      <c r="A1349" s="17" t="s">
        <v>4782</v>
      </c>
      <c r="B1349" s="8" t="str">
        <f>IFERROR(__xludf.DUMMYFUNCTION("REGEXREPLACE(A1349, ""[^0-9a-zA-Z .'Ã]"","""")"),"Ryan Coogler")</f>
        <v>Ryan Coogler</v>
      </c>
      <c r="C1349" s="18">
        <v>327.0</v>
      </c>
      <c r="D1349" s="19">
        <v>1.6097842E7</v>
      </c>
      <c r="E1349" s="18" t="s">
        <v>887</v>
      </c>
      <c r="F1349" s="9">
        <f t="shared" si="1"/>
        <v>3</v>
      </c>
      <c r="G1349" s="18" t="s">
        <v>4783</v>
      </c>
      <c r="H1349" s="11" t="str">
        <f>IFERROR(__xludf.DUMMYFUNCTION("REGEXREPLACE(G1349, ""[^0-9a-zA-Z .'Ã]"","""")"),"Ahna O'Reilly")</f>
        <v>Ahna O'Reilly</v>
      </c>
      <c r="I1349" s="20" t="s">
        <v>4784</v>
      </c>
      <c r="J1349" s="18">
        <v>53919.0</v>
      </c>
      <c r="K1349" s="18" t="s">
        <v>4785</v>
      </c>
      <c r="L1349" s="18">
        <v>168.0</v>
      </c>
      <c r="M1349" s="18" t="s">
        <v>24</v>
      </c>
      <c r="N1349" s="18" t="s">
        <v>25</v>
      </c>
      <c r="O1349" s="19">
        <v>900000.0</v>
      </c>
      <c r="P1349" s="10">
        <f t="shared" si="2"/>
        <v>15197842</v>
      </c>
      <c r="Q1349" s="12">
        <f t="shared" si="3"/>
        <v>0</v>
      </c>
      <c r="R1349" s="18">
        <v>2013.0</v>
      </c>
      <c r="S1349" s="18">
        <v>7.5</v>
      </c>
    </row>
    <row r="1350" ht="15.75" customHeight="1">
      <c r="A1350" s="25" t="s">
        <v>4786</v>
      </c>
      <c r="B1350" s="8" t="str">
        <f>IFERROR(__xludf.DUMMYFUNCTION("REGEXREPLACE(A1350, ""[^0-9a-zA-Z .'Ã]"","""")"),"Alejandro Agresti")</f>
        <v>Alejandro Agresti</v>
      </c>
      <c r="C1350" s="26">
        <v>175.0</v>
      </c>
      <c r="D1350" s="27">
        <v>5.2320979E7</v>
      </c>
      <c r="E1350" s="26" t="s">
        <v>3253</v>
      </c>
      <c r="F1350" s="9">
        <f t="shared" si="1"/>
        <v>3</v>
      </c>
      <c r="G1350" s="26" t="s">
        <v>1170</v>
      </c>
      <c r="H1350" s="11" t="str">
        <f>IFERROR(__xludf.DUMMYFUNCTION("REGEXREPLACE(G1350, ""[^0-9a-zA-Z .'Ã]"","""")"),"Keanu Reeves")</f>
        <v>Keanu Reeves</v>
      </c>
      <c r="I1350" s="28" t="s">
        <v>4787</v>
      </c>
      <c r="J1350" s="26">
        <v>114321.0</v>
      </c>
      <c r="K1350" s="26" t="s">
        <v>4788</v>
      </c>
      <c r="L1350" s="26">
        <v>548.0</v>
      </c>
      <c r="M1350" s="26" t="s">
        <v>24</v>
      </c>
      <c r="N1350" s="26" t="s">
        <v>25</v>
      </c>
      <c r="O1350" s="27">
        <v>4.0E7</v>
      </c>
      <c r="P1350" s="10">
        <f t="shared" si="2"/>
        <v>12320979</v>
      </c>
      <c r="Q1350" s="12">
        <f t="shared" si="3"/>
        <v>0</v>
      </c>
      <c r="R1350" s="26">
        <v>2006.0</v>
      </c>
      <c r="S1350" s="26">
        <v>6.8</v>
      </c>
    </row>
    <row r="1351" ht="15.75" customHeight="1">
      <c r="A1351" s="7" t="s">
        <v>4789</v>
      </c>
      <c r="B1351" s="8" t="str">
        <f>IFERROR(__xludf.DUMMYFUNCTION("REGEXREPLACE(A1351, ""[^0-9a-zA-Z .'Ã]"","""")"),"Albert Hughes")</f>
        <v>Albert Hughes</v>
      </c>
      <c r="C1351" s="9">
        <v>325.0</v>
      </c>
      <c r="D1351" s="10">
        <v>9.4822707E7</v>
      </c>
      <c r="E1351" s="9" t="s">
        <v>925</v>
      </c>
      <c r="F1351" s="9">
        <f t="shared" si="1"/>
        <v>4</v>
      </c>
      <c r="G1351" s="9" t="s">
        <v>70</v>
      </c>
      <c r="H1351" s="11" t="str">
        <f>IFERROR(__xludf.DUMMYFUNCTION("REGEXREPLACE(G1351, ""[^0-9a-zA-Z .'Ã]"","""")"),"Denzel Washington")</f>
        <v>Denzel Washington</v>
      </c>
      <c r="I1351" s="11" t="s">
        <v>4790</v>
      </c>
      <c r="J1351" s="9">
        <v>227072.0</v>
      </c>
      <c r="K1351" s="9" t="s">
        <v>4791</v>
      </c>
      <c r="L1351" s="9">
        <v>560.0</v>
      </c>
      <c r="M1351" s="9" t="s">
        <v>24</v>
      </c>
      <c r="N1351" s="9" t="s">
        <v>25</v>
      </c>
      <c r="O1351" s="10">
        <v>8.0E7</v>
      </c>
      <c r="P1351" s="10">
        <f t="shared" si="2"/>
        <v>14822707</v>
      </c>
      <c r="Q1351" s="12">
        <f t="shared" si="3"/>
        <v>0</v>
      </c>
      <c r="R1351" s="9">
        <v>2010.0</v>
      </c>
      <c r="S1351" s="9">
        <v>6.9</v>
      </c>
    </row>
    <row r="1352" ht="15.75" customHeight="1">
      <c r="A1352" s="17" t="s">
        <v>2409</v>
      </c>
      <c r="B1352" s="8" t="str">
        <f>IFERROR(__xludf.DUMMYFUNCTION("REGEXREPLACE(A1352, ""[^0-9a-zA-Z .'Ã]"","""")"),"Stephen Frears")</f>
        <v>Stephen Frears</v>
      </c>
      <c r="C1352" s="18">
        <v>51.0</v>
      </c>
      <c r="D1352" s="19">
        <v>3.47E7</v>
      </c>
      <c r="E1352" s="18" t="s">
        <v>232</v>
      </c>
      <c r="F1352" s="9">
        <f t="shared" si="1"/>
        <v>2</v>
      </c>
      <c r="G1352" s="18" t="s">
        <v>1170</v>
      </c>
      <c r="H1352" s="11" t="str">
        <f>IFERROR(__xludf.DUMMYFUNCTION("REGEXREPLACE(G1352, ""[^0-9a-zA-Z .'Ã]"","""")"),"Keanu Reeves")</f>
        <v>Keanu Reeves</v>
      </c>
      <c r="I1352" s="20" t="s">
        <v>4792</v>
      </c>
      <c r="J1352" s="18">
        <v>52846.0</v>
      </c>
      <c r="K1352" s="18" t="s">
        <v>4793</v>
      </c>
      <c r="L1352" s="18">
        <v>143.0</v>
      </c>
      <c r="M1352" s="18" t="s">
        <v>24</v>
      </c>
      <c r="N1352" s="18" t="s">
        <v>25</v>
      </c>
      <c r="O1352" s="19">
        <v>1.4E7</v>
      </c>
      <c r="P1352" s="10">
        <f t="shared" si="2"/>
        <v>20700000</v>
      </c>
      <c r="Q1352" s="12">
        <f t="shared" si="3"/>
        <v>0</v>
      </c>
      <c r="R1352" s="18">
        <v>1988.0</v>
      </c>
      <c r="S1352" s="18">
        <v>7.7</v>
      </c>
    </row>
    <row r="1353" ht="15.75" customHeight="1">
      <c r="A1353" s="17" t="s">
        <v>1708</v>
      </c>
      <c r="B1353" s="8" t="str">
        <f>IFERROR(__xludf.DUMMYFUNCTION("REGEXREPLACE(A1353, ""[^0-9a-zA-Z .'Ã]"","""")"),"Rob Minkoff")</f>
        <v>Rob Minkoff</v>
      </c>
      <c r="C1353" s="18">
        <v>206.0</v>
      </c>
      <c r="D1353" s="19">
        <v>2.5040293E7</v>
      </c>
      <c r="E1353" s="18" t="s">
        <v>278</v>
      </c>
      <c r="F1353" s="9">
        <f t="shared" si="1"/>
        <v>3</v>
      </c>
      <c r="G1353" s="18" t="s">
        <v>1555</v>
      </c>
      <c r="H1353" s="11" t="str">
        <f>IFERROR(__xludf.DUMMYFUNCTION("REGEXREPLACE(G1353, ""[^0-9a-zA-Z .'Ã]"","""")"),"Jet Li")</f>
        <v>Jet Li</v>
      </c>
      <c r="I1353" s="20" t="s">
        <v>4794</v>
      </c>
      <c r="J1353" s="18">
        <v>88049.0</v>
      </c>
      <c r="K1353" s="18" t="s">
        <v>4795</v>
      </c>
      <c r="L1353" s="18">
        <v>279.0</v>
      </c>
      <c r="M1353" s="18" t="s">
        <v>24</v>
      </c>
      <c r="N1353" s="18" t="s">
        <v>25</v>
      </c>
      <c r="O1353" s="19">
        <v>5.5E7</v>
      </c>
      <c r="P1353" s="10">
        <f t="shared" si="2"/>
        <v>0</v>
      </c>
      <c r="Q1353" s="12">
        <f t="shared" si="3"/>
        <v>29959707</v>
      </c>
      <c r="R1353" s="18">
        <v>2008.0</v>
      </c>
      <c r="S1353" s="18">
        <v>6.6</v>
      </c>
    </row>
    <row r="1354" ht="15.75" customHeight="1">
      <c r="A1354" s="21" t="s">
        <v>1482</v>
      </c>
      <c r="B1354" s="8" t="str">
        <f>IFERROR(__xludf.DUMMYFUNCTION("REGEXREPLACE(A1354, ""[^0-9a-zA-Z .'Ã]"","""")"),"Roger Donaldson")</f>
        <v>Roger Donaldson</v>
      </c>
      <c r="C1354" s="22">
        <v>93.0</v>
      </c>
      <c r="D1354" s="23">
        <v>6.7155742E7</v>
      </c>
      <c r="E1354" s="22" t="s">
        <v>474</v>
      </c>
      <c r="F1354" s="9">
        <f t="shared" si="1"/>
        <v>3</v>
      </c>
      <c r="G1354" s="22" t="s">
        <v>4796</v>
      </c>
      <c r="H1354" s="11" t="str">
        <f>IFERROR(__xludf.DUMMYFUNCTION("REGEXREPLACE(G1354, ""[^0-9a-zA-Z .'Ã]"","""")"),"Jamie RenÃe Smith")</f>
        <v>Jamie RenÃe Smith</v>
      </c>
      <c r="I1354" s="24" t="s">
        <v>4797</v>
      </c>
      <c r="J1354" s="22">
        <v>62271.0</v>
      </c>
      <c r="K1354" s="22" t="s">
        <v>4798</v>
      </c>
      <c r="L1354" s="22">
        <v>277.0</v>
      </c>
      <c r="M1354" s="22" t="s">
        <v>24</v>
      </c>
      <c r="N1354" s="22" t="s">
        <v>25</v>
      </c>
      <c r="O1354" s="23">
        <v>1.16E8</v>
      </c>
      <c r="P1354" s="10">
        <f t="shared" si="2"/>
        <v>0</v>
      </c>
      <c r="Q1354" s="12">
        <f t="shared" si="3"/>
        <v>48844258</v>
      </c>
      <c r="R1354" s="22">
        <v>1997.0</v>
      </c>
      <c r="S1354" s="22">
        <v>5.8</v>
      </c>
    </row>
    <row r="1355" ht="15.75" customHeight="1">
      <c r="A1355" s="13" t="s">
        <v>723</v>
      </c>
      <c r="B1355" s="8" t="str">
        <f>IFERROR(__xludf.DUMMYFUNCTION("REGEXREPLACE(A1355, ""[^0-9a-zA-Z .'Ã]"","""")"),"Robert Rodriguez")</f>
        <v>Robert Rodriguez</v>
      </c>
      <c r="C1355" s="14">
        <v>178.0</v>
      </c>
      <c r="D1355" s="15">
        <v>5.5845943E7</v>
      </c>
      <c r="E1355" s="14" t="s">
        <v>152</v>
      </c>
      <c r="F1355" s="9">
        <f t="shared" si="1"/>
        <v>3</v>
      </c>
      <c r="G1355" s="14" t="s">
        <v>85</v>
      </c>
      <c r="H1355" s="11" t="str">
        <f>IFERROR(__xludf.DUMMYFUNCTION("REGEXREPLACE(G1355, ""[^0-9a-zA-Z .'Ã]"","""")"),"Johnny Depp")</f>
        <v>Johnny Depp</v>
      </c>
      <c r="I1355" s="16" t="s">
        <v>4799</v>
      </c>
      <c r="J1355" s="14">
        <v>130094.0</v>
      </c>
      <c r="K1355" s="14" t="s">
        <v>4800</v>
      </c>
      <c r="L1355" s="14">
        <v>471.0</v>
      </c>
      <c r="M1355" s="14" t="s">
        <v>24</v>
      </c>
      <c r="N1355" s="14" t="s">
        <v>25</v>
      </c>
      <c r="O1355" s="15">
        <v>2.9E7</v>
      </c>
      <c r="P1355" s="10">
        <f t="shared" si="2"/>
        <v>26845943</v>
      </c>
      <c r="Q1355" s="12">
        <f t="shared" si="3"/>
        <v>0</v>
      </c>
      <c r="R1355" s="14">
        <v>2003.0</v>
      </c>
      <c r="S1355" s="14">
        <v>6.4</v>
      </c>
    </row>
    <row r="1356" ht="15.75" customHeight="1">
      <c r="A1356" s="7" t="s">
        <v>4801</v>
      </c>
      <c r="B1356" s="8" t="str">
        <f>IFERROR(__xludf.DUMMYFUNCTION("REGEXREPLACE(A1356, ""[^0-9a-zA-Z .'Ã]"","""")"),"Dan Trachtenberg")</f>
        <v>Dan Trachtenberg</v>
      </c>
      <c r="C1356" s="9">
        <v>411.0</v>
      </c>
      <c r="D1356" s="10">
        <v>7.1897215E7</v>
      </c>
      <c r="E1356" s="9" t="s">
        <v>4802</v>
      </c>
      <c r="F1356" s="9">
        <f t="shared" si="1"/>
        <v>5</v>
      </c>
      <c r="G1356" s="9" t="s">
        <v>1903</v>
      </c>
      <c r="H1356" s="11" t="str">
        <f>IFERROR(__xludf.DUMMYFUNCTION("REGEXREPLACE(G1356, ""[^0-9a-zA-Z .'Ã]"","""")"),"Bradley Cooper")</f>
        <v>Bradley Cooper</v>
      </c>
      <c r="I1356" s="11" t="s">
        <v>4803</v>
      </c>
      <c r="J1356" s="9">
        <v>126893.0</v>
      </c>
      <c r="K1356" s="9" t="s">
        <v>4804</v>
      </c>
      <c r="L1356" s="9">
        <v>440.0</v>
      </c>
      <c r="M1356" s="9" t="s">
        <v>24</v>
      </c>
      <c r="N1356" s="9" t="s">
        <v>25</v>
      </c>
      <c r="O1356" s="10">
        <v>1.5E7</v>
      </c>
      <c r="P1356" s="10">
        <f t="shared" si="2"/>
        <v>56897215</v>
      </c>
      <c r="Q1356" s="12">
        <f t="shared" si="3"/>
        <v>0</v>
      </c>
      <c r="R1356" s="9">
        <v>2016.0</v>
      </c>
      <c r="S1356" s="9">
        <v>7.3</v>
      </c>
    </row>
    <row r="1357" ht="15.75" customHeight="1">
      <c r="A1357" s="17" t="s">
        <v>3582</v>
      </c>
      <c r="B1357" s="8" t="str">
        <f>IFERROR(__xludf.DUMMYFUNCTION("REGEXREPLACE(A1357, ""[^0-9a-zA-Z .'Ã]"","""")"),"Jake Schreier")</f>
        <v>Jake Schreier</v>
      </c>
      <c r="C1357" s="18">
        <v>191.0</v>
      </c>
      <c r="D1357" s="19">
        <v>3.1990064E7</v>
      </c>
      <c r="E1357" s="18" t="s">
        <v>3417</v>
      </c>
      <c r="F1357" s="9">
        <f t="shared" si="1"/>
        <v>3</v>
      </c>
      <c r="G1357" s="18" t="s">
        <v>4805</v>
      </c>
      <c r="H1357" s="11" t="str">
        <f>IFERROR(__xludf.DUMMYFUNCTION("REGEXREPLACE(G1357, ""[^0-9a-zA-Z .'Ã]"","""")"),"Nat Wolff")</f>
        <v>Nat Wolff</v>
      </c>
      <c r="I1357" s="20" t="s">
        <v>4806</v>
      </c>
      <c r="J1357" s="18">
        <v>63390.0</v>
      </c>
      <c r="K1357" s="18" t="s">
        <v>4807</v>
      </c>
      <c r="L1357" s="18">
        <v>160.0</v>
      </c>
      <c r="M1357" s="18" t="s">
        <v>24</v>
      </c>
      <c r="N1357" s="18" t="s">
        <v>25</v>
      </c>
      <c r="O1357" s="19">
        <v>1.2E7</v>
      </c>
      <c r="P1357" s="10">
        <f t="shared" si="2"/>
        <v>19990064</v>
      </c>
      <c r="Q1357" s="12">
        <f t="shared" si="3"/>
        <v>0</v>
      </c>
      <c r="R1357" s="18">
        <v>2015.0</v>
      </c>
      <c r="S1357" s="18">
        <v>6.4</v>
      </c>
    </row>
    <row r="1358" ht="15.75" customHeight="1">
      <c r="A1358" s="7" t="s">
        <v>1588</v>
      </c>
      <c r="B1358" s="8" t="str">
        <f>IFERROR(__xludf.DUMMYFUNCTION("REGEXREPLACE(A1358, ""[^0-9a-zA-Z .'Ã]"","""")"),"Frank Oz")</f>
        <v>Frank Oz</v>
      </c>
      <c r="C1358" s="9">
        <v>169.0</v>
      </c>
      <c r="D1358" s="10">
        <v>5.9475623E7</v>
      </c>
      <c r="E1358" s="9" t="s">
        <v>4808</v>
      </c>
      <c r="F1358" s="9">
        <f t="shared" si="1"/>
        <v>3</v>
      </c>
      <c r="G1358" s="9" t="s">
        <v>1749</v>
      </c>
      <c r="H1358" s="11" t="str">
        <f>IFERROR(__xludf.DUMMYFUNCTION("REGEXREPLACE(G1358, ""[^0-9a-zA-Z .'Ã]"","""")"),"Jon Lovitz")</f>
        <v>Jon Lovitz</v>
      </c>
      <c r="I1358" s="11" t="s">
        <v>4809</v>
      </c>
      <c r="J1358" s="9">
        <v>49739.0</v>
      </c>
      <c r="K1358" s="9" t="s">
        <v>4810</v>
      </c>
      <c r="L1358" s="9">
        <v>407.0</v>
      </c>
      <c r="M1358" s="9" t="s">
        <v>24</v>
      </c>
      <c r="N1358" s="9" t="s">
        <v>25</v>
      </c>
      <c r="O1358" s="10">
        <v>9.0E7</v>
      </c>
      <c r="P1358" s="10">
        <f t="shared" si="2"/>
        <v>0</v>
      </c>
      <c r="Q1358" s="12">
        <f t="shared" si="3"/>
        <v>30524377</v>
      </c>
      <c r="R1358" s="9">
        <v>2004.0</v>
      </c>
      <c r="S1358" s="9">
        <v>5.2</v>
      </c>
    </row>
    <row r="1359" ht="15.75" customHeight="1">
      <c r="A1359" s="21" t="s">
        <v>4811</v>
      </c>
      <c r="B1359" s="8" t="str">
        <f>IFERROR(__xludf.DUMMYFUNCTION("REGEXREPLACE(A1359, ""[^0-9a-zA-Z -.'Ã]"","""")"),"Jean-Paul Rappeneau")</f>
        <v>Jean-Paul Rappeneau</v>
      </c>
      <c r="C1359" s="22">
        <v>69.0</v>
      </c>
      <c r="D1359" s="23">
        <v>2353728.0</v>
      </c>
      <c r="E1359" s="22" t="s">
        <v>4812</v>
      </c>
      <c r="F1359" s="9">
        <f t="shared" si="1"/>
        <v>6</v>
      </c>
      <c r="G1359" s="22" t="s">
        <v>4813</v>
      </c>
      <c r="H1359" s="11" t="str">
        <f>IFERROR(__xludf.DUMMYFUNCTION("REGEXREPLACE(G1359, ""[^0-9a-zA-Z .'Ã]"","""")"),"Isabelle Adjani")</f>
        <v>Isabelle Adjani</v>
      </c>
      <c r="I1359" s="24" t="s">
        <v>4814</v>
      </c>
      <c r="J1359" s="22">
        <v>4293.0</v>
      </c>
      <c r="K1359" s="22" t="s">
        <v>4815</v>
      </c>
      <c r="L1359" s="22">
        <v>53.0</v>
      </c>
      <c r="M1359" s="22" t="s">
        <v>658</v>
      </c>
      <c r="N1359" s="22" t="s">
        <v>608</v>
      </c>
      <c r="O1359" s="23">
        <v>2.0E7</v>
      </c>
      <c r="P1359" s="10">
        <f t="shared" si="2"/>
        <v>0</v>
      </c>
      <c r="Q1359" s="12">
        <f t="shared" si="3"/>
        <v>17646272</v>
      </c>
      <c r="R1359" s="22">
        <v>2003.0</v>
      </c>
      <c r="S1359" s="22">
        <v>6.9</v>
      </c>
    </row>
    <row r="1360" ht="15.75" customHeight="1">
      <c r="A1360" s="7" t="s">
        <v>4816</v>
      </c>
      <c r="B1360" s="8" t="str">
        <f>IFERROR(__xludf.DUMMYFUNCTION("REGEXREPLACE(A1360, ""[^0-9a-zA-Z .'Ã]"","""")"),"Tony Kaye")</f>
        <v>Tony Kaye</v>
      </c>
      <c r="C1360" s="9">
        <v>162.0</v>
      </c>
      <c r="D1360" s="10">
        <v>6712241.0</v>
      </c>
      <c r="E1360" s="9" t="s">
        <v>54</v>
      </c>
      <c r="F1360" s="9">
        <f t="shared" si="1"/>
        <v>2</v>
      </c>
      <c r="G1360" s="9" t="s">
        <v>2782</v>
      </c>
      <c r="H1360" s="11" t="str">
        <f>IFERROR(__xludf.DUMMYFUNCTION("REGEXREPLACE(G1360, ""[^0-9a-zA-Z .'Ã]"","""")"),"Ethan Suplee")</f>
        <v>Ethan Suplee</v>
      </c>
      <c r="I1360" s="11" t="s">
        <v>4817</v>
      </c>
      <c r="J1360" s="9">
        <v>782437.0</v>
      </c>
      <c r="K1360" s="9" t="s">
        <v>4818</v>
      </c>
      <c r="L1360" s="9">
        <v>1420.0</v>
      </c>
      <c r="M1360" s="9" t="s">
        <v>24</v>
      </c>
      <c r="N1360" s="9" t="s">
        <v>25</v>
      </c>
      <c r="O1360" s="10">
        <v>7500000.0</v>
      </c>
      <c r="P1360" s="10">
        <f t="shared" si="2"/>
        <v>0</v>
      </c>
      <c r="Q1360" s="12">
        <f t="shared" si="3"/>
        <v>787759</v>
      </c>
      <c r="R1360" s="9">
        <v>1998.0</v>
      </c>
      <c r="S1360" s="9">
        <v>8.6</v>
      </c>
    </row>
    <row r="1361" ht="15.75" customHeight="1">
      <c r="A1361" s="17" t="s">
        <v>1954</v>
      </c>
      <c r="B1361" s="8" t="str">
        <f>IFERROR(__xludf.DUMMYFUNCTION("REGEXREPLACE(A1361, ""[^0-9a-zA-Z .'Ã]"","""")"),"David R. Ellis")</f>
        <v>David R. Ellis</v>
      </c>
      <c r="C1361" s="18">
        <v>127.0</v>
      </c>
      <c r="D1361" s="19">
        <v>3.200362E7</v>
      </c>
      <c r="E1361" s="18" t="s">
        <v>152</v>
      </c>
      <c r="F1361" s="9">
        <f t="shared" si="1"/>
        <v>3</v>
      </c>
      <c r="G1361" s="18" t="s">
        <v>4819</v>
      </c>
      <c r="H1361" s="11" t="str">
        <f>IFERROR(__xludf.DUMMYFUNCTION("REGEXREPLACE(G1361, ""[^0-9a-zA-Z .'Ã]"","""")"),"Richard Burgi")</f>
        <v>Richard Burgi</v>
      </c>
      <c r="I1361" s="20" t="s">
        <v>4820</v>
      </c>
      <c r="J1361" s="18">
        <v>79141.0</v>
      </c>
      <c r="K1361" s="18" t="s">
        <v>4821</v>
      </c>
      <c r="L1361" s="18">
        <v>355.0</v>
      </c>
      <c r="M1361" s="18" t="s">
        <v>24</v>
      </c>
      <c r="N1361" s="18" t="s">
        <v>25</v>
      </c>
      <c r="O1361" s="19">
        <v>2.5E7</v>
      </c>
      <c r="P1361" s="10">
        <f t="shared" si="2"/>
        <v>7003620</v>
      </c>
      <c r="Q1361" s="12">
        <f t="shared" si="3"/>
        <v>0</v>
      </c>
      <c r="R1361" s="18">
        <v>2004.0</v>
      </c>
      <c r="S1361" s="18">
        <v>6.5</v>
      </c>
    </row>
    <row r="1362" ht="15.75" customHeight="1">
      <c r="A1362" s="7" t="s">
        <v>4822</v>
      </c>
      <c r="B1362" s="8" t="str">
        <f>IFERROR(__xludf.DUMMYFUNCTION("REGEXREPLACE(A1362, ""[^0-9a-zA-Z .'Ã]"","""")"),"Kevin Munroe")</f>
        <v>Kevin Munroe</v>
      </c>
      <c r="C1362" s="9">
        <v>138.0</v>
      </c>
      <c r="D1362" s="10">
        <v>1183354.0</v>
      </c>
      <c r="E1362" s="9" t="s">
        <v>4823</v>
      </c>
      <c r="F1362" s="9">
        <f t="shared" si="1"/>
        <v>8</v>
      </c>
      <c r="G1362" s="9" t="s">
        <v>4824</v>
      </c>
      <c r="H1362" s="11" t="str">
        <f>IFERROR(__xludf.DUMMYFUNCTION("REGEXREPLACE(G1362, ""[^0-9a-zA-Z .'Ã]"","""")"),"Marco St. John")</f>
        <v>Marco St. John</v>
      </c>
      <c r="I1362" s="11" t="s">
        <v>4825</v>
      </c>
      <c r="J1362" s="9">
        <v>13026.0</v>
      </c>
      <c r="K1362" s="9" t="s">
        <v>4826</v>
      </c>
      <c r="L1362" s="9">
        <v>75.0</v>
      </c>
      <c r="M1362" s="9" t="s">
        <v>24</v>
      </c>
      <c r="N1362" s="9" t="s">
        <v>25</v>
      </c>
      <c r="O1362" s="10">
        <v>2.0E7</v>
      </c>
      <c r="P1362" s="10">
        <f t="shared" si="2"/>
        <v>0</v>
      </c>
      <c r="Q1362" s="12">
        <f t="shared" si="3"/>
        <v>18816646</v>
      </c>
      <c r="R1362" s="9">
        <v>2010.0</v>
      </c>
      <c r="S1362" s="9">
        <v>5.1</v>
      </c>
    </row>
    <row r="1363" ht="15.75" customHeight="1">
      <c r="A1363" s="7" t="s">
        <v>174</v>
      </c>
      <c r="B1363" s="8" t="str">
        <f>IFERROR(__xludf.DUMMYFUNCTION("REGEXREPLACE(A1363, ""[^0-9a-zA-Z .'Ã]"","""")"),"Roland Emmerich")</f>
        <v>Roland Emmerich</v>
      </c>
      <c r="C1363" s="9">
        <v>288.0</v>
      </c>
      <c r="D1363" s="10">
        <v>4463292.0</v>
      </c>
      <c r="E1363" s="9" t="s">
        <v>960</v>
      </c>
      <c r="F1363" s="9">
        <f t="shared" si="1"/>
        <v>3</v>
      </c>
      <c r="G1363" s="9" t="s">
        <v>2907</v>
      </c>
      <c r="H1363" s="11" t="str">
        <f>IFERROR(__xludf.DUMMYFUNCTION("REGEXREPLACE(G1363, ""[^0-9a-zA-Z .'Ã]"","""")"),"Vanessa Redgrave")</f>
        <v>Vanessa Redgrave</v>
      </c>
      <c r="I1363" s="11" t="s">
        <v>4827</v>
      </c>
      <c r="J1363" s="9">
        <v>34488.0</v>
      </c>
      <c r="K1363" s="9" t="s">
        <v>4828</v>
      </c>
      <c r="L1363" s="9">
        <v>136.0</v>
      </c>
      <c r="M1363" s="9" t="s">
        <v>24</v>
      </c>
      <c r="N1363" s="9" t="s">
        <v>130</v>
      </c>
      <c r="O1363" s="10">
        <v>3.0E7</v>
      </c>
      <c r="P1363" s="10">
        <f t="shared" si="2"/>
        <v>0</v>
      </c>
      <c r="Q1363" s="12">
        <f t="shared" si="3"/>
        <v>25536708</v>
      </c>
      <c r="R1363" s="9">
        <v>2011.0</v>
      </c>
      <c r="S1363" s="9">
        <v>6.9</v>
      </c>
    </row>
    <row r="1364" ht="15.75" customHeight="1">
      <c r="A1364" s="25" t="s">
        <v>959</v>
      </c>
      <c r="B1364" s="8" t="str">
        <f>IFERROR(__xludf.DUMMYFUNCTION("REGEXREPLACE(A1364, ""[^0-9a-zA-Z .'Ã]"","""")"),"Oliver Stone")</f>
        <v>Oliver Stone</v>
      </c>
      <c r="C1364" s="26">
        <v>40.0</v>
      </c>
      <c r="D1364" s="27">
        <v>3468572.0</v>
      </c>
      <c r="E1364" s="26" t="s">
        <v>103</v>
      </c>
      <c r="F1364" s="9">
        <f t="shared" si="1"/>
        <v>1</v>
      </c>
      <c r="G1364" s="26" t="s">
        <v>3829</v>
      </c>
      <c r="H1364" s="11" t="str">
        <f>IFERROR(__xludf.DUMMYFUNCTION("REGEXREPLACE(G1364, ""[^0-9a-zA-Z .'Ã]"","""")"),"Michael Wincott")</f>
        <v>Michael Wincott</v>
      </c>
      <c r="I1364" s="28" t="s">
        <v>4829</v>
      </c>
      <c r="J1364" s="26">
        <v>10073.0</v>
      </c>
      <c r="K1364" s="26" t="s">
        <v>4830</v>
      </c>
      <c r="L1364" s="26">
        <v>78.0</v>
      </c>
      <c r="M1364" s="26" t="s">
        <v>24</v>
      </c>
      <c r="N1364" s="26" t="s">
        <v>25</v>
      </c>
      <c r="O1364" s="27">
        <v>4000000.0</v>
      </c>
      <c r="P1364" s="10">
        <f t="shared" si="2"/>
        <v>0</v>
      </c>
      <c r="Q1364" s="12">
        <f t="shared" si="3"/>
        <v>531428</v>
      </c>
      <c r="R1364" s="26">
        <v>1988.0</v>
      </c>
      <c r="S1364" s="26">
        <v>7.3</v>
      </c>
    </row>
    <row r="1365" ht="15.75" customHeight="1">
      <c r="A1365" s="25" t="s">
        <v>4831</v>
      </c>
      <c r="B1365" s="8" t="str">
        <f>IFERROR(__xludf.DUMMYFUNCTION("REGEXREPLACE(A1365, ""[^0-9a-zA-Z .'Ã]"","""")"),"Kasi Lemmons")</f>
        <v>Kasi Lemmons</v>
      </c>
      <c r="C1365" s="26">
        <v>40.0</v>
      </c>
      <c r="D1365" s="27">
        <v>7017178.0</v>
      </c>
      <c r="E1365" s="26" t="s">
        <v>4832</v>
      </c>
      <c r="F1365" s="9">
        <f t="shared" si="1"/>
        <v>4</v>
      </c>
      <c r="G1365" s="26" t="s">
        <v>4833</v>
      </c>
      <c r="H1365" s="11" t="str">
        <f>IFERROR(__xludf.DUMMYFUNCTION("REGEXREPLACE(G1365, ""[^0-9a-zA-Z .'Ã]"","""")"),"Jennifer Hudson")</f>
        <v>Jennifer Hudson</v>
      </c>
      <c r="I1365" s="28" t="s">
        <v>4834</v>
      </c>
      <c r="J1365" s="26">
        <v>1633.0</v>
      </c>
      <c r="K1365" s="26" t="s">
        <v>4835</v>
      </c>
      <c r="L1365" s="26">
        <v>17.0</v>
      </c>
      <c r="M1365" s="26" t="s">
        <v>24</v>
      </c>
      <c r="N1365" s="26" t="s">
        <v>25</v>
      </c>
      <c r="O1365" s="27">
        <v>1.75E7</v>
      </c>
      <c r="P1365" s="10">
        <f t="shared" si="2"/>
        <v>0</v>
      </c>
      <c r="Q1365" s="12">
        <f t="shared" si="3"/>
        <v>10482822</v>
      </c>
      <c r="R1365" s="26">
        <v>2013.0</v>
      </c>
      <c r="S1365" s="26">
        <v>4.4</v>
      </c>
    </row>
    <row r="1366" ht="15.75" customHeight="1">
      <c r="A1366" s="7" t="s">
        <v>4200</v>
      </c>
      <c r="B1366" s="8" t="str">
        <f>IFERROR(__xludf.DUMMYFUNCTION("REGEXREPLACE(A1366, ""[^0-9a-zA-Z .'Ã]"","""")"),"Mel Brooks")</f>
        <v>Mel Brooks</v>
      </c>
      <c r="C1366" s="9">
        <v>103.0</v>
      </c>
      <c r="D1366" s="10">
        <v>3.8119483E7</v>
      </c>
      <c r="E1366" s="9" t="s">
        <v>646</v>
      </c>
      <c r="F1366" s="9">
        <f t="shared" si="1"/>
        <v>3</v>
      </c>
      <c r="G1366" s="9" t="s">
        <v>4836</v>
      </c>
      <c r="H1366" s="11" t="str">
        <f>IFERROR(__xludf.DUMMYFUNCTION("REGEXREPLACE(G1366, ""[^0-9a-zA-Z .'Ã]"","""")"),"Joan Rivers")</f>
        <v>Joan Rivers</v>
      </c>
      <c r="I1366" s="11" t="s">
        <v>4837</v>
      </c>
      <c r="J1366" s="9">
        <v>136667.0</v>
      </c>
      <c r="K1366" s="9" t="s">
        <v>4838</v>
      </c>
      <c r="L1366" s="9">
        <v>273.0</v>
      </c>
      <c r="M1366" s="9" t="s">
        <v>24</v>
      </c>
      <c r="N1366" s="9" t="s">
        <v>25</v>
      </c>
      <c r="O1366" s="10">
        <v>2.27E7</v>
      </c>
      <c r="P1366" s="10">
        <f t="shared" si="2"/>
        <v>15419483</v>
      </c>
      <c r="Q1366" s="12">
        <f t="shared" si="3"/>
        <v>0</v>
      </c>
      <c r="R1366" s="9">
        <v>1987.0</v>
      </c>
      <c r="S1366" s="9">
        <v>7.1</v>
      </c>
    </row>
    <row r="1367" ht="15.75" customHeight="1">
      <c r="A1367" s="21" t="s">
        <v>4839</v>
      </c>
      <c r="B1367" s="8" t="str">
        <f>IFERROR(__xludf.DUMMYFUNCTION("REGEXREPLACE(A1367, ""[^0-9a-zA-Z .'Ã]"","""")"),"Christopher Scott Cherot")</f>
        <v>Christopher Scott Cherot</v>
      </c>
      <c r="C1367" s="22">
        <v>25.0</v>
      </c>
      <c r="D1367" s="23">
        <v>2301777.0</v>
      </c>
      <c r="E1367" s="22" t="s">
        <v>137</v>
      </c>
      <c r="F1367" s="9">
        <f t="shared" si="1"/>
        <v>1</v>
      </c>
      <c r="G1367" s="22" t="s">
        <v>4840</v>
      </c>
      <c r="H1367" s="11" t="str">
        <f>IFERROR(__xludf.DUMMYFUNCTION("REGEXREPLACE(G1367, ""[^0-9a-zA-Z .'Ã]"","""")"),"Hill Harper")</f>
        <v>Hill Harper</v>
      </c>
      <c r="I1367" s="24" t="s">
        <v>4841</v>
      </c>
      <c r="J1367" s="22">
        <v>819.0</v>
      </c>
      <c r="K1367" s="22" t="s">
        <v>4842</v>
      </c>
      <c r="L1367" s="22">
        <v>36.0</v>
      </c>
      <c r="M1367" s="22" t="s">
        <v>24</v>
      </c>
      <c r="N1367" s="22" t="s">
        <v>25</v>
      </c>
      <c r="O1367" s="23">
        <v>650000.0</v>
      </c>
      <c r="P1367" s="10">
        <f t="shared" si="2"/>
        <v>1651777</v>
      </c>
      <c r="Q1367" s="12">
        <f t="shared" si="3"/>
        <v>0</v>
      </c>
      <c r="R1367" s="22">
        <v>1997.0</v>
      </c>
      <c r="S1367" s="22">
        <v>6.5</v>
      </c>
    </row>
    <row r="1368" ht="15.75" customHeight="1">
      <c r="A1368" s="7" t="s">
        <v>1619</v>
      </c>
      <c r="B1368" s="8" t="str">
        <f>IFERROR(__xludf.DUMMYFUNCTION("REGEXREPLACE(A1368, ""[^0-9a-zA-Z .'Ã]"","""")"),"Allison Anders")</f>
        <v>Allison Anders</v>
      </c>
      <c r="C1368" s="9">
        <v>51.0</v>
      </c>
      <c r="D1368" s="10">
        <v>4301331.0</v>
      </c>
      <c r="E1368" s="9" t="s">
        <v>615</v>
      </c>
      <c r="F1368" s="9">
        <f t="shared" si="1"/>
        <v>2</v>
      </c>
      <c r="G1368" s="9" t="s">
        <v>4843</v>
      </c>
      <c r="H1368" s="11" t="str">
        <f>IFERROR(__xludf.DUMMYFUNCTION("REGEXREPLACE(G1368, ""[^0-9a-zA-Z .'Ã]"","""")"),"Salma Hayek")</f>
        <v>Salma Hayek</v>
      </c>
      <c r="I1368" s="11" t="s">
        <v>4844</v>
      </c>
      <c r="J1368" s="9">
        <v>78241.0</v>
      </c>
      <c r="K1368" s="9" t="s">
        <v>4845</v>
      </c>
      <c r="L1368" s="9">
        <v>177.0</v>
      </c>
      <c r="M1368" s="9" t="s">
        <v>24</v>
      </c>
      <c r="N1368" s="9" t="s">
        <v>25</v>
      </c>
      <c r="O1368" s="10">
        <v>4000000.0</v>
      </c>
      <c r="P1368" s="10">
        <f t="shared" si="2"/>
        <v>301331</v>
      </c>
      <c r="Q1368" s="12">
        <f t="shared" si="3"/>
        <v>0</v>
      </c>
      <c r="R1368" s="9">
        <v>1995.0</v>
      </c>
      <c r="S1368" s="9">
        <v>6.7</v>
      </c>
    </row>
    <row r="1369" ht="15.75" customHeight="1">
      <c r="A1369" s="17" t="s">
        <v>594</v>
      </c>
      <c r="B1369" s="8" t="str">
        <f>IFERROR(__xludf.DUMMYFUNCTION("REGEXREPLACE(A1369, ""[^0-9a-zA-Z .'Ã]"","""")"),"Phil Lord")</f>
        <v>Phil Lord</v>
      </c>
      <c r="C1369" s="18">
        <v>375.0</v>
      </c>
      <c r="D1369" s="19">
        <v>1.38447667E8</v>
      </c>
      <c r="E1369" s="18" t="s">
        <v>265</v>
      </c>
      <c r="F1369" s="9">
        <f t="shared" si="1"/>
        <v>3</v>
      </c>
      <c r="G1369" s="18" t="s">
        <v>176</v>
      </c>
      <c r="H1369" s="11" t="str">
        <f>IFERROR(__xludf.DUMMYFUNCTION("REGEXREPLACE(G1369, ""[^0-9a-zA-Z .'Ã]"","""")"),"Channing Tatum")</f>
        <v>Channing Tatum</v>
      </c>
      <c r="I1369" s="20" t="s">
        <v>4846</v>
      </c>
      <c r="J1369" s="18">
        <v>408302.0</v>
      </c>
      <c r="K1369" s="18" t="s">
        <v>4847</v>
      </c>
      <c r="L1369" s="18">
        <v>345.0</v>
      </c>
      <c r="M1369" s="18" t="s">
        <v>24</v>
      </c>
      <c r="N1369" s="18" t="s">
        <v>25</v>
      </c>
      <c r="O1369" s="19">
        <v>4.2E7</v>
      </c>
      <c r="P1369" s="10">
        <f t="shared" si="2"/>
        <v>96447667</v>
      </c>
      <c r="Q1369" s="12">
        <f t="shared" si="3"/>
        <v>0</v>
      </c>
      <c r="R1369" s="18">
        <v>2012.0</v>
      </c>
      <c r="S1369" s="18">
        <v>7.2</v>
      </c>
    </row>
    <row r="1370" ht="15.75" customHeight="1">
      <c r="A1370" s="25" t="s">
        <v>692</v>
      </c>
      <c r="B1370" s="8" t="str">
        <f>IFERROR(__xludf.DUMMYFUNCTION("REGEXREPLACE(A1370, ""[^0-9a-zA-Z .'Ã]"","""")"),"Peter Segal")</f>
        <v>Peter Segal</v>
      </c>
      <c r="C1370" s="26">
        <v>265.0</v>
      </c>
      <c r="D1370" s="27">
        <v>1.30313314E8</v>
      </c>
      <c r="E1370" s="26" t="s">
        <v>1879</v>
      </c>
      <c r="F1370" s="9">
        <f t="shared" si="1"/>
        <v>3</v>
      </c>
      <c r="G1370" s="26" t="s">
        <v>470</v>
      </c>
      <c r="H1370" s="11" t="str">
        <f>IFERROR(__xludf.DUMMYFUNCTION("REGEXREPLACE(G1370, ""[^0-9a-zA-Z .'Ã]"","""")"),"Bill Murray")</f>
        <v>Bill Murray</v>
      </c>
      <c r="I1370" s="28" t="s">
        <v>4848</v>
      </c>
      <c r="J1370" s="26">
        <v>168172.0</v>
      </c>
      <c r="K1370" s="26" t="s">
        <v>4849</v>
      </c>
      <c r="L1370" s="26">
        <v>380.0</v>
      </c>
      <c r="M1370" s="26" t="s">
        <v>24</v>
      </c>
      <c r="N1370" s="26" t="s">
        <v>25</v>
      </c>
      <c r="O1370" s="27">
        <v>8.0E7</v>
      </c>
      <c r="P1370" s="10">
        <f t="shared" si="2"/>
        <v>50313314</v>
      </c>
      <c r="Q1370" s="12">
        <f t="shared" si="3"/>
        <v>0</v>
      </c>
      <c r="R1370" s="26">
        <v>2008.0</v>
      </c>
      <c r="S1370" s="26">
        <v>6.5</v>
      </c>
    </row>
    <row r="1371" ht="15.75" customHeight="1">
      <c r="A1371" s="7" t="s">
        <v>4850</v>
      </c>
      <c r="B1371" s="8" t="str">
        <f>IFERROR(__xludf.DUMMYFUNCTION("REGEXREPLACE(A1371, ""[^0-9a-zA-Z .'Ã]"","""")"),"Dewey Nicks")</f>
        <v>Dewey Nicks</v>
      </c>
      <c r="C1371" s="9">
        <v>66.0</v>
      </c>
      <c r="D1371" s="10">
        <v>4814244.0</v>
      </c>
      <c r="E1371" s="9" t="s">
        <v>89</v>
      </c>
      <c r="F1371" s="9">
        <f t="shared" si="1"/>
        <v>2</v>
      </c>
      <c r="G1371" s="9" t="s">
        <v>4851</v>
      </c>
      <c r="H1371" s="11" t="str">
        <f>IFERROR(__xludf.DUMMYFUNCTION("REGEXREPLACE(G1371, ""[^0-9a-zA-Z .'Ã]"","""")"),"Jaime King")</f>
        <v>Jaime King</v>
      </c>
      <c r="I1371" s="11" t="s">
        <v>4852</v>
      </c>
      <c r="J1371" s="9">
        <v>12437.0</v>
      </c>
      <c r="K1371" s="9" t="s">
        <v>4853</v>
      </c>
      <c r="L1371" s="9">
        <v>107.0</v>
      </c>
      <c r="M1371" s="9" t="s">
        <v>24</v>
      </c>
      <c r="N1371" s="9" t="s">
        <v>624</v>
      </c>
      <c r="O1371" s="10">
        <v>1.1E7</v>
      </c>
      <c r="P1371" s="10">
        <f t="shared" si="2"/>
        <v>0</v>
      </c>
      <c r="Q1371" s="12">
        <f t="shared" si="3"/>
        <v>6185756</v>
      </c>
      <c r="R1371" s="9">
        <v>2002.0</v>
      </c>
      <c r="S1371" s="9">
        <v>5.3</v>
      </c>
    </row>
    <row r="1372" ht="15.75" customHeight="1">
      <c r="A1372" s="7" t="s">
        <v>3816</v>
      </c>
      <c r="B1372" s="8" t="str">
        <f>IFERROR(__xludf.DUMMYFUNCTION("REGEXREPLACE(A1372, ""[^0-9a-zA-Z .'Ã]"","""")"),"Jeff Nichols")</f>
        <v>Jeff Nichols</v>
      </c>
      <c r="C1372" s="9">
        <v>263.0</v>
      </c>
      <c r="D1372" s="10">
        <v>3707794.0</v>
      </c>
      <c r="E1372" s="9" t="s">
        <v>628</v>
      </c>
      <c r="F1372" s="9">
        <f t="shared" si="1"/>
        <v>4</v>
      </c>
      <c r="G1372" s="9" t="s">
        <v>951</v>
      </c>
      <c r="H1372" s="11" t="str">
        <f>IFERROR(__xludf.DUMMYFUNCTION("REGEXREPLACE(G1372, ""[^0-9a-zA-Z .'Ã]"","""")"),"Kirsten Dunst")</f>
        <v>Kirsten Dunst</v>
      </c>
      <c r="I1372" s="11" t="s">
        <v>4854</v>
      </c>
      <c r="J1372" s="9">
        <v>31359.0</v>
      </c>
      <c r="K1372" s="9" t="s">
        <v>4855</v>
      </c>
      <c r="L1372" s="9">
        <v>156.0</v>
      </c>
      <c r="M1372" s="9" t="s">
        <v>24</v>
      </c>
      <c r="N1372" s="9" t="s">
        <v>4856</v>
      </c>
      <c r="O1372" s="10">
        <v>1.8E7</v>
      </c>
      <c r="P1372" s="10">
        <f t="shared" si="2"/>
        <v>0</v>
      </c>
      <c r="Q1372" s="12">
        <f t="shared" si="3"/>
        <v>14292206</v>
      </c>
      <c r="R1372" s="9">
        <v>2016.0</v>
      </c>
      <c r="S1372" s="9">
        <v>6.7</v>
      </c>
    </row>
    <row r="1373" ht="15.75" customHeight="1">
      <c r="A1373" s="21" t="s">
        <v>212</v>
      </c>
      <c r="B1373" s="8" t="str">
        <f>IFERROR(__xludf.DUMMYFUNCTION("REGEXREPLACE(A1373, ""[^0-9a-zA-Z .'Ã]"","""")"),"Wayne Wang")</f>
        <v>Wayne Wang</v>
      </c>
      <c r="C1373" s="22">
        <v>36.0</v>
      </c>
      <c r="D1373" s="23">
        <v>1.8653615E7</v>
      </c>
      <c r="E1373" s="22" t="s">
        <v>454</v>
      </c>
      <c r="F1373" s="9">
        <f t="shared" si="1"/>
        <v>2</v>
      </c>
      <c r="G1373" s="22" t="s">
        <v>1088</v>
      </c>
      <c r="H1373" s="11" t="str">
        <f>IFERROR(__xludf.DUMMYFUNCTION("REGEXREPLACE(G1373, ""[^0-9a-zA-Z .'Ã]"","""")"),"Natalie Portman")</f>
        <v>Natalie Portman</v>
      </c>
      <c r="I1373" s="24" t="s">
        <v>4857</v>
      </c>
      <c r="J1373" s="22">
        <v>14786.0</v>
      </c>
      <c r="K1373" s="22" t="s">
        <v>4858</v>
      </c>
      <c r="L1373" s="22">
        <v>103.0</v>
      </c>
      <c r="M1373" s="22" t="s">
        <v>24</v>
      </c>
      <c r="N1373" s="22" t="s">
        <v>25</v>
      </c>
      <c r="O1373" s="23">
        <v>2.3E7</v>
      </c>
      <c r="P1373" s="10">
        <f t="shared" si="2"/>
        <v>0</v>
      </c>
      <c r="Q1373" s="12">
        <f t="shared" si="3"/>
        <v>4346385</v>
      </c>
      <c r="R1373" s="22">
        <v>1999.0</v>
      </c>
      <c r="S1373" s="22">
        <v>6.1</v>
      </c>
    </row>
    <row r="1374" ht="15.75" customHeight="1">
      <c r="A1374" s="21" t="s">
        <v>4859</v>
      </c>
      <c r="B1374" s="8" t="str">
        <f>IFERROR(__xludf.DUMMYFUNCTION("REGEXREPLACE(A1374, ""[^0-9a-zA-Z .'Ã]"","""")"),"John Gray")</f>
        <v>John Gray</v>
      </c>
      <c r="C1374" s="22">
        <v>39.0</v>
      </c>
      <c r="D1374" s="23">
        <v>2.0400913E7</v>
      </c>
      <c r="E1374" s="22" t="s">
        <v>2177</v>
      </c>
      <c r="F1374" s="9">
        <f t="shared" si="1"/>
        <v>5</v>
      </c>
      <c r="G1374" s="22" t="s">
        <v>2380</v>
      </c>
      <c r="H1374" s="11" t="str">
        <f>IFERROR(__xludf.DUMMYFUNCTION("REGEXREPLACE(G1374, ""[^0-9a-zA-Z .'Ã]"","""")"),"Alexa PenaVega")</f>
        <v>Alexa PenaVega</v>
      </c>
      <c r="I1374" s="24" t="s">
        <v>4860</v>
      </c>
      <c r="J1374" s="22">
        <v>15455.0</v>
      </c>
      <c r="K1374" s="22" t="s">
        <v>4861</v>
      </c>
      <c r="L1374" s="22">
        <v>80.0</v>
      </c>
      <c r="M1374" s="22" t="s">
        <v>24</v>
      </c>
      <c r="N1374" s="22" t="s">
        <v>25</v>
      </c>
      <c r="O1374" s="23">
        <v>4.5E7</v>
      </c>
      <c r="P1374" s="10">
        <f t="shared" si="2"/>
        <v>0</v>
      </c>
      <c r="Q1374" s="12">
        <f t="shared" si="3"/>
        <v>24599087</v>
      </c>
      <c r="R1374" s="22">
        <v>1996.0</v>
      </c>
      <c r="S1374" s="22">
        <v>5.3</v>
      </c>
    </row>
    <row r="1375" ht="15.75" customHeight="1">
      <c r="A1375" s="21" t="s">
        <v>4862</v>
      </c>
      <c r="B1375" s="8" t="str">
        <f>IFERROR(__xludf.DUMMYFUNCTION("REGEXREPLACE(A1375, ""[^0-9a-zA-Z .'Ã]"","""")"),"David E. Talbert")</f>
        <v>David E. Talbert</v>
      </c>
      <c r="C1375" s="22">
        <v>52.0</v>
      </c>
      <c r="D1375" s="23">
        <v>2.1564616E7</v>
      </c>
      <c r="E1375" s="22" t="s">
        <v>137</v>
      </c>
      <c r="F1375" s="9">
        <f t="shared" si="1"/>
        <v>1</v>
      </c>
      <c r="G1375" s="22" t="s">
        <v>2785</v>
      </c>
      <c r="H1375" s="11" t="str">
        <f>IFERROR(__xludf.DUMMYFUNCTION("REGEXREPLACE(G1375, ""[^0-9a-zA-Z .'Ã]"","""")"),"Djimon Hounsou")</f>
        <v>Djimon Hounsou</v>
      </c>
      <c r="I1375" s="24" t="s">
        <v>4863</v>
      </c>
      <c r="J1375" s="22">
        <v>7098.0</v>
      </c>
      <c r="K1375" s="22" t="s">
        <v>4864</v>
      </c>
      <c r="L1375" s="22">
        <v>41.0</v>
      </c>
      <c r="M1375" s="22" t="s">
        <v>24</v>
      </c>
      <c r="N1375" s="22" t="s">
        <v>25</v>
      </c>
      <c r="O1375" s="23">
        <v>8500000.0</v>
      </c>
      <c r="P1375" s="10">
        <f t="shared" si="2"/>
        <v>13064616</v>
      </c>
      <c r="Q1375" s="12">
        <f t="shared" si="3"/>
        <v>0</v>
      </c>
      <c r="R1375" s="22">
        <v>2013.0</v>
      </c>
      <c r="S1375" s="22">
        <v>5.0</v>
      </c>
    </row>
    <row r="1376" ht="15.75" customHeight="1">
      <c r="A1376" s="17" t="s">
        <v>1091</v>
      </c>
      <c r="B1376" s="8" t="str">
        <f>IFERROR(__xludf.DUMMYFUNCTION("REGEXREPLACE(A1376, ""[^0-9a-zA-Z .'Ã]"","""")"),"Brian Levant")</f>
        <v>Brian Levant</v>
      </c>
      <c r="C1376" s="18">
        <v>97.0</v>
      </c>
      <c r="D1376" s="19">
        <v>2.4268828E7</v>
      </c>
      <c r="E1376" s="18" t="s">
        <v>4865</v>
      </c>
      <c r="F1376" s="9">
        <f t="shared" si="1"/>
        <v>3</v>
      </c>
      <c r="G1376" s="18" t="s">
        <v>515</v>
      </c>
      <c r="H1376" s="11" t="str">
        <f>IFERROR(__xludf.DUMMYFUNCTION("REGEXREPLACE(G1376, ""[^0-9a-zA-Z .'Ã]"","""")"),"Madeline Carroll")</f>
        <v>Madeline Carroll</v>
      </c>
      <c r="I1376" s="20" t="s">
        <v>4866</v>
      </c>
      <c r="J1376" s="18">
        <v>29971.0</v>
      </c>
      <c r="K1376" s="18" t="s">
        <v>4867</v>
      </c>
      <c r="L1376" s="18">
        <v>71.0</v>
      </c>
      <c r="M1376" s="18" t="s">
        <v>24</v>
      </c>
      <c r="N1376" s="18" t="s">
        <v>25</v>
      </c>
      <c r="O1376" s="19">
        <v>2.8E7</v>
      </c>
      <c r="P1376" s="10">
        <f t="shared" si="2"/>
        <v>0</v>
      </c>
      <c r="Q1376" s="12">
        <f t="shared" si="3"/>
        <v>3731172</v>
      </c>
      <c r="R1376" s="18">
        <v>2010.0</v>
      </c>
      <c r="S1376" s="18">
        <v>5.4</v>
      </c>
    </row>
    <row r="1377" ht="15.75" customHeight="1">
      <c r="A1377" s="7" t="s">
        <v>1733</v>
      </c>
      <c r="B1377" s="8" t="str">
        <f>IFERROR(__xludf.DUMMYFUNCTION("REGEXREPLACE(A1377, ""[^0-9a-zA-Z .'Ã]"","""")"),"Mark Neveldine")</f>
        <v>Mark Neveldine</v>
      </c>
      <c r="C1377" s="9">
        <v>170.0</v>
      </c>
      <c r="D1377" s="10">
        <v>2.7829874E7</v>
      </c>
      <c r="E1377" s="9" t="s">
        <v>152</v>
      </c>
      <c r="F1377" s="9">
        <f t="shared" si="1"/>
        <v>3</v>
      </c>
      <c r="G1377" s="9" t="s">
        <v>815</v>
      </c>
      <c r="H1377" s="11" t="str">
        <f>IFERROR(__xludf.DUMMYFUNCTION("REGEXREPLACE(G1377, ""[^0-9a-zA-Z .'Ã]"","""")"),"Jason Statham")</f>
        <v>Jason Statham</v>
      </c>
      <c r="I1377" s="11" t="s">
        <v>4868</v>
      </c>
      <c r="J1377" s="9">
        <v>196422.0</v>
      </c>
      <c r="K1377" s="9" t="s">
        <v>4869</v>
      </c>
      <c r="L1377" s="9">
        <v>444.0</v>
      </c>
      <c r="M1377" s="9" t="s">
        <v>24</v>
      </c>
      <c r="N1377" s="9" t="s">
        <v>25</v>
      </c>
      <c r="O1377" s="10">
        <v>1.2E7</v>
      </c>
      <c r="P1377" s="10">
        <f t="shared" si="2"/>
        <v>15829874</v>
      </c>
      <c r="Q1377" s="12">
        <f t="shared" si="3"/>
        <v>0</v>
      </c>
      <c r="R1377" s="9">
        <v>2006.0</v>
      </c>
      <c r="S1377" s="9">
        <v>7.0</v>
      </c>
    </row>
    <row r="1378" ht="15.75" customHeight="1">
      <c r="A1378" s="29" t="s">
        <v>4870</v>
      </c>
      <c r="B1378" s="8" t="str">
        <f>IFERROR(__xludf.DUMMYFUNCTION("REGEXREPLACE(A1378, ""[^0-9a-zA-Z .'Ã]"","""")"),"Sheldon Lettich")</f>
        <v>Sheldon Lettich</v>
      </c>
      <c r="C1378" s="30">
        <v>17.0</v>
      </c>
      <c r="D1378" s="31">
        <v>3273588.0</v>
      </c>
      <c r="E1378" s="30" t="s">
        <v>208</v>
      </c>
      <c r="F1378" s="9">
        <f t="shared" si="1"/>
        <v>2</v>
      </c>
      <c r="G1378" s="30" t="s">
        <v>4871</v>
      </c>
      <c r="H1378" s="11" t="str">
        <f>IFERROR(__xludf.DUMMYFUNCTION("REGEXREPLACE(G1378, ""[^0-9a-zA-Z .'Ã]"","""")"),"Antoni Corone")</f>
        <v>Antoni Corone</v>
      </c>
      <c r="I1378" s="32" t="s">
        <v>4872</v>
      </c>
      <c r="J1378" s="30">
        <v>4195.0</v>
      </c>
      <c r="K1378" s="30" t="s">
        <v>4873</v>
      </c>
      <c r="L1378" s="30">
        <v>50.0</v>
      </c>
      <c r="M1378" s="30" t="s">
        <v>24</v>
      </c>
      <c r="N1378" s="30" t="s">
        <v>25</v>
      </c>
      <c r="O1378" s="31">
        <v>6000000.0</v>
      </c>
      <c r="P1378" s="10">
        <f t="shared" si="2"/>
        <v>0</v>
      </c>
      <c r="Q1378" s="12">
        <f t="shared" si="3"/>
        <v>2726412</v>
      </c>
      <c r="R1378" s="30">
        <v>1993.0</v>
      </c>
      <c r="S1378" s="30">
        <v>6.7</v>
      </c>
    </row>
    <row r="1379" ht="15.75" customHeight="1">
      <c r="A1379" s="7" t="s">
        <v>3158</v>
      </c>
      <c r="B1379" s="8" t="str">
        <f>IFERROR(__xludf.DUMMYFUNCTION("REGEXREPLACE(A1379, ""[^0-9a-zA-Z .'Ã]"","""")"),"Francis Lawrence")</f>
        <v>Francis Lawrence</v>
      </c>
      <c r="C1379" s="9">
        <v>323.0</v>
      </c>
      <c r="D1379" s="10">
        <v>2.56386216E8</v>
      </c>
      <c r="E1379" s="9" t="s">
        <v>4874</v>
      </c>
      <c r="F1379" s="9">
        <f t="shared" si="1"/>
        <v>3</v>
      </c>
      <c r="G1379" s="9" t="s">
        <v>2717</v>
      </c>
      <c r="H1379" s="11" t="str">
        <f>IFERROR(__xludf.DUMMYFUNCTION("REGEXREPLACE(G1379, ""[^0-9a-zA-Z .'Ã]"","""")"),"Will Smith")</f>
        <v>Will Smith</v>
      </c>
      <c r="I1379" s="11" t="s">
        <v>4875</v>
      </c>
      <c r="J1379" s="9">
        <v>530870.0</v>
      </c>
      <c r="K1379" s="9" t="s">
        <v>4876</v>
      </c>
      <c r="L1379" s="9">
        <v>1413.0</v>
      </c>
      <c r="M1379" s="9" t="s">
        <v>24</v>
      </c>
      <c r="N1379" s="9" t="s">
        <v>25</v>
      </c>
      <c r="O1379" s="10">
        <v>1.5E8</v>
      </c>
      <c r="P1379" s="10">
        <f t="shared" si="2"/>
        <v>106386216</v>
      </c>
      <c r="Q1379" s="12">
        <f t="shared" si="3"/>
        <v>0</v>
      </c>
      <c r="R1379" s="9">
        <v>2007.0</v>
      </c>
      <c r="S1379" s="9">
        <v>7.2</v>
      </c>
    </row>
    <row r="1380" ht="15.75" customHeight="1">
      <c r="A1380" s="21" t="s">
        <v>4877</v>
      </c>
      <c r="B1380" s="8" t="str">
        <f>IFERROR(__xludf.DUMMYFUNCTION("REGEXREPLACE(A1380, ""[^0-9a-zA-Z .'Ã]"","""")"),"Hayao Miyazaki")</f>
        <v>Hayao Miyazaki</v>
      </c>
      <c r="C1380" s="22">
        <v>246.0</v>
      </c>
      <c r="D1380" s="23">
        <v>1.0049886E7</v>
      </c>
      <c r="E1380" s="22" t="s">
        <v>865</v>
      </c>
      <c r="F1380" s="9">
        <f t="shared" si="1"/>
        <v>4</v>
      </c>
      <c r="G1380" s="22" t="s">
        <v>4878</v>
      </c>
      <c r="H1380" s="11" t="str">
        <f>IFERROR(__xludf.DUMMYFUNCTION("REGEXREPLACE(G1380, ""[^0-9a-zA-Z .'Ã]"","""")"),"Bunta Sugawara")</f>
        <v>Bunta Sugawara</v>
      </c>
      <c r="I1380" s="24" t="s">
        <v>4879</v>
      </c>
      <c r="J1380" s="22">
        <v>417971.0</v>
      </c>
      <c r="K1380" s="22" t="s">
        <v>4880</v>
      </c>
      <c r="L1380" s="22">
        <v>902.0</v>
      </c>
      <c r="M1380" s="22" t="s">
        <v>1534</v>
      </c>
      <c r="N1380" s="22" t="s">
        <v>1535</v>
      </c>
      <c r="O1380" s="23">
        <v>1.9E7</v>
      </c>
      <c r="P1380" s="10">
        <f t="shared" si="2"/>
        <v>0</v>
      </c>
      <c r="Q1380" s="12">
        <f t="shared" si="3"/>
        <v>8950114</v>
      </c>
      <c r="R1380" s="22">
        <v>2001.0</v>
      </c>
      <c r="S1380" s="22">
        <v>8.6</v>
      </c>
    </row>
    <row r="1381" ht="15.75" customHeight="1">
      <c r="A1381" s="17" t="s">
        <v>1332</v>
      </c>
      <c r="B1381" s="8" t="str">
        <f>IFERROR(__xludf.DUMMYFUNCTION("REGEXREPLACE(A1381, ""[^0-9a-zA-Z .'Ã]"","""")"),"Kirk Jones")</f>
        <v>Kirk Jones</v>
      </c>
      <c r="C1381" s="18">
        <v>128.0</v>
      </c>
      <c r="D1381" s="19">
        <v>4.71244E7</v>
      </c>
      <c r="E1381" s="18" t="s">
        <v>514</v>
      </c>
      <c r="F1381" s="9">
        <f t="shared" si="1"/>
        <v>3</v>
      </c>
      <c r="G1381" s="18" t="s">
        <v>542</v>
      </c>
      <c r="H1381" s="11" t="str">
        <f>IFERROR(__xludf.DUMMYFUNCTION("REGEXREPLACE(G1381, ""[^0-9a-zA-Z .'Ã]"","""")"),"Colin Firth")</f>
        <v>Colin Firth</v>
      </c>
      <c r="I1381" s="20" t="s">
        <v>4881</v>
      </c>
      <c r="J1381" s="18">
        <v>49676.0</v>
      </c>
      <c r="K1381" s="18" t="s">
        <v>4882</v>
      </c>
      <c r="L1381" s="18">
        <v>181.0</v>
      </c>
      <c r="M1381" s="18" t="s">
        <v>24</v>
      </c>
      <c r="N1381" s="18" t="s">
        <v>25</v>
      </c>
      <c r="O1381" s="19">
        <v>2.5E7</v>
      </c>
      <c r="P1381" s="10">
        <f t="shared" si="2"/>
        <v>22124400</v>
      </c>
      <c r="Q1381" s="12">
        <f t="shared" si="3"/>
        <v>0</v>
      </c>
      <c r="R1381" s="18">
        <v>2005.0</v>
      </c>
      <c r="S1381" s="18">
        <v>6.6</v>
      </c>
    </row>
    <row r="1382" ht="15.75" customHeight="1">
      <c r="A1382" s="17" t="s">
        <v>928</v>
      </c>
      <c r="B1382" s="8" t="str">
        <f>IFERROR(__xludf.DUMMYFUNCTION("REGEXREPLACE(A1382, ""[^0-9a-zA-Z .'Ã]"","""")"),"Rob Marshall")</f>
        <v>Rob Marshall</v>
      </c>
      <c r="C1382" s="18">
        <v>229.0</v>
      </c>
      <c r="D1382" s="19">
        <v>5.7010853E7</v>
      </c>
      <c r="E1382" s="18" t="s">
        <v>232</v>
      </c>
      <c r="F1382" s="9">
        <f t="shared" si="1"/>
        <v>2</v>
      </c>
      <c r="G1382" s="18" t="s">
        <v>3959</v>
      </c>
      <c r="H1382" s="11" t="str">
        <f>IFERROR(__xludf.DUMMYFUNCTION("REGEXREPLACE(G1382, ""[^0-9a-zA-Z .'Ã]"","""")"),"Li Gong")</f>
        <v>Li Gong</v>
      </c>
      <c r="I1382" s="20" t="s">
        <v>4883</v>
      </c>
      <c r="J1382" s="18">
        <v>119286.0</v>
      </c>
      <c r="K1382" s="18" t="s">
        <v>4884</v>
      </c>
      <c r="L1382" s="18">
        <v>548.0</v>
      </c>
      <c r="M1382" s="18" t="s">
        <v>24</v>
      </c>
      <c r="N1382" s="18" t="s">
        <v>25</v>
      </c>
      <c r="O1382" s="19">
        <v>8.5E7</v>
      </c>
      <c r="P1382" s="10">
        <f t="shared" si="2"/>
        <v>0</v>
      </c>
      <c r="Q1382" s="12">
        <f t="shared" si="3"/>
        <v>27989147</v>
      </c>
      <c r="R1382" s="18">
        <v>2005.0</v>
      </c>
      <c r="S1382" s="18">
        <v>7.3</v>
      </c>
    </row>
    <row r="1383" ht="15.75" customHeight="1">
      <c r="A1383" s="7" t="s">
        <v>860</v>
      </c>
      <c r="B1383" s="8" t="str">
        <f>IFERROR(__xludf.DUMMYFUNCTION("REGEXREPLACE(A1383, ""[^0-9a-zA-Z .'Ã]"","""")"),"Michael Bay")</f>
        <v>Michael Bay</v>
      </c>
      <c r="C1383" s="9">
        <v>257.0</v>
      </c>
      <c r="D1383" s="10">
        <v>3.5799026E7</v>
      </c>
      <c r="E1383" s="9" t="s">
        <v>4885</v>
      </c>
      <c r="F1383" s="9">
        <f t="shared" si="1"/>
        <v>5</v>
      </c>
      <c r="G1383" s="9" t="s">
        <v>436</v>
      </c>
      <c r="H1383" s="11" t="str">
        <f>IFERROR(__xludf.DUMMYFUNCTION("REGEXREPLACE(G1383, ""[^0-9a-zA-Z .'Ã]"","""")"),"Scarlett Johansson")</f>
        <v>Scarlett Johansson</v>
      </c>
      <c r="I1383" s="11" t="s">
        <v>4886</v>
      </c>
      <c r="J1383" s="9">
        <v>263329.0</v>
      </c>
      <c r="K1383" s="9" t="s">
        <v>4887</v>
      </c>
      <c r="L1383" s="9">
        <v>899.0</v>
      </c>
      <c r="M1383" s="9" t="s">
        <v>24</v>
      </c>
      <c r="N1383" s="9" t="s">
        <v>25</v>
      </c>
      <c r="O1383" s="10">
        <v>1.26E8</v>
      </c>
      <c r="P1383" s="10">
        <f t="shared" si="2"/>
        <v>0</v>
      </c>
      <c r="Q1383" s="12">
        <f t="shared" si="3"/>
        <v>90200974</v>
      </c>
      <c r="R1383" s="9">
        <v>2005.0</v>
      </c>
      <c r="S1383" s="9">
        <v>6.9</v>
      </c>
    </row>
    <row r="1384" ht="15.75" customHeight="1">
      <c r="A1384" s="29" t="s">
        <v>1198</v>
      </c>
      <c r="B1384" s="8" t="str">
        <f>IFERROR(__xludf.DUMMYFUNCTION("REGEXREPLACE(A1384, ""[^0-9a-zA-Z .'Ã]"","""")"),"Tim Johnson")</f>
        <v>Tim Johnson</v>
      </c>
      <c r="C1384" s="30">
        <v>166.0</v>
      </c>
      <c r="D1384" s="31">
        <v>1.5501934E8</v>
      </c>
      <c r="E1384" s="30" t="s">
        <v>1813</v>
      </c>
      <c r="F1384" s="9">
        <f t="shared" si="1"/>
        <v>4</v>
      </c>
      <c r="G1384" s="30" t="s">
        <v>55</v>
      </c>
      <c r="H1384" s="11" t="str">
        <f>IFERROR(__xludf.DUMMYFUNCTION("REGEXREPLACE(G1384, ""[^0-9a-zA-Z .'Ã]"","""")"),"Bruce Willis")</f>
        <v>Bruce Willis</v>
      </c>
      <c r="I1384" s="32" t="s">
        <v>4888</v>
      </c>
      <c r="J1384" s="30">
        <v>127345.0</v>
      </c>
      <c r="K1384" s="30" t="s">
        <v>4889</v>
      </c>
      <c r="L1384" s="30">
        <v>250.0</v>
      </c>
      <c r="M1384" s="30" t="s">
        <v>24</v>
      </c>
      <c r="N1384" s="30" t="s">
        <v>25</v>
      </c>
      <c r="O1384" s="31">
        <v>8.0E7</v>
      </c>
      <c r="P1384" s="10">
        <f t="shared" si="2"/>
        <v>75019340</v>
      </c>
      <c r="Q1384" s="12">
        <f t="shared" si="3"/>
        <v>0</v>
      </c>
      <c r="R1384" s="30">
        <v>2006.0</v>
      </c>
      <c r="S1384" s="30">
        <v>6.8</v>
      </c>
    </row>
    <row r="1385" ht="15.75" customHeight="1">
      <c r="A1385" s="25" t="s">
        <v>483</v>
      </c>
      <c r="B1385" s="8" t="str">
        <f>IFERROR(__xludf.DUMMYFUNCTION("REGEXREPLACE(A1385, ""[^0-9a-zA-Z .'Ã]"","""")"),"Kevin Spacey")</f>
        <v>Kevin Spacey</v>
      </c>
      <c r="C1385" s="26">
        <v>113.0</v>
      </c>
      <c r="D1385" s="27">
        <v>6144806.0</v>
      </c>
      <c r="E1385" s="26" t="s">
        <v>2436</v>
      </c>
      <c r="F1385" s="9">
        <f t="shared" si="1"/>
        <v>4</v>
      </c>
      <c r="G1385" s="26" t="s">
        <v>483</v>
      </c>
      <c r="H1385" s="11" t="str">
        <f>IFERROR(__xludf.DUMMYFUNCTION("REGEXREPLACE(G1385, ""[^0-9a-zA-Z .'Ã]"","""")"),"Kevin Spacey")</f>
        <v>Kevin Spacey</v>
      </c>
      <c r="I1385" s="28" t="s">
        <v>4890</v>
      </c>
      <c r="J1385" s="26">
        <v>12821.0</v>
      </c>
      <c r="K1385" s="26" t="s">
        <v>4891</v>
      </c>
      <c r="L1385" s="26">
        <v>248.0</v>
      </c>
      <c r="M1385" s="26" t="s">
        <v>24</v>
      </c>
      <c r="N1385" s="26" t="s">
        <v>25</v>
      </c>
      <c r="O1385" s="27">
        <v>2.3E7</v>
      </c>
      <c r="P1385" s="10">
        <f t="shared" si="2"/>
        <v>0</v>
      </c>
      <c r="Q1385" s="12">
        <f t="shared" si="3"/>
        <v>16855194</v>
      </c>
      <c r="R1385" s="26">
        <v>2004.0</v>
      </c>
      <c r="S1385" s="26">
        <v>6.7</v>
      </c>
    </row>
    <row r="1386" ht="15.75" customHeight="1">
      <c r="A1386" s="29" t="s">
        <v>1740</v>
      </c>
      <c r="B1386" s="8" t="str">
        <f>IFERROR(__xludf.DUMMYFUNCTION("REGEXREPLACE(A1386, ""[^0-9a-zA-Z .'Ã]"","""")"),"Woody Allen")</f>
        <v>Woody Allen</v>
      </c>
      <c r="C1386" s="30">
        <v>116.0</v>
      </c>
      <c r="D1386" s="31">
        <v>7496522.0</v>
      </c>
      <c r="E1386" s="30" t="s">
        <v>4892</v>
      </c>
      <c r="F1386" s="9">
        <f t="shared" si="1"/>
        <v>4</v>
      </c>
      <c r="G1386" s="30" t="s">
        <v>1740</v>
      </c>
      <c r="H1386" s="11" t="str">
        <f>IFERROR(__xludf.DUMMYFUNCTION("REGEXREPLACE(G1386, ""[^0-9a-zA-Z .'Ã]"","""")"),"Woody Allen")</f>
        <v>Woody Allen</v>
      </c>
      <c r="I1386" s="32" t="s">
        <v>4893</v>
      </c>
      <c r="J1386" s="30">
        <v>31798.0</v>
      </c>
      <c r="K1386" s="30" t="s">
        <v>4894</v>
      </c>
      <c r="L1386" s="30">
        <v>178.0</v>
      </c>
      <c r="M1386" s="30" t="s">
        <v>24</v>
      </c>
      <c r="N1386" s="30" t="s">
        <v>25</v>
      </c>
      <c r="O1386" s="31">
        <v>2.6E7</v>
      </c>
      <c r="P1386" s="10">
        <f t="shared" si="2"/>
        <v>0</v>
      </c>
      <c r="Q1386" s="12">
        <f t="shared" si="3"/>
        <v>18503478</v>
      </c>
      <c r="R1386" s="30">
        <v>2001.0</v>
      </c>
      <c r="S1386" s="30">
        <v>6.8</v>
      </c>
    </row>
    <row r="1387" ht="15.75" customHeight="1">
      <c r="A1387" s="7" t="s">
        <v>1868</v>
      </c>
      <c r="B1387" s="8" t="str">
        <f>IFERROR(__xludf.DUMMYFUNCTION("REGEXREPLACE(A1387, ""[^0-9a-zA-Z .'Ã]"","""")"),"Brett Ratner")</f>
        <v>Brett Ratner</v>
      </c>
      <c r="C1387" s="9">
        <v>236.0</v>
      </c>
      <c r="D1387" s="10">
        <v>7.8009155E7</v>
      </c>
      <c r="E1387" s="9" t="s">
        <v>265</v>
      </c>
      <c r="F1387" s="9">
        <f t="shared" si="1"/>
        <v>3</v>
      </c>
      <c r="G1387" s="9" t="s">
        <v>2192</v>
      </c>
      <c r="H1387" s="11" t="str">
        <f>IFERROR(__xludf.DUMMYFUNCTION("REGEXREPLACE(G1387, ""[^0-9a-zA-Z .'Ã]"","""")"),"Matthew Broderick")</f>
        <v>Matthew Broderick</v>
      </c>
      <c r="I1387" s="11" t="s">
        <v>4895</v>
      </c>
      <c r="J1387" s="9">
        <v>110073.0</v>
      </c>
      <c r="K1387" s="9" t="s">
        <v>4896</v>
      </c>
      <c r="L1387" s="9">
        <v>194.0</v>
      </c>
      <c r="M1387" s="9" t="s">
        <v>24</v>
      </c>
      <c r="N1387" s="9" t="s">
        <v>25</v>
      </c>
      <c r="O1387" s="10">
        <v>7.5E7</v>
      </c>
      <c r="P1387" s="10">
        <f t="shared" si="2"/>
        <v>3009155</v>
      </c>
      <c r="Q1387" s="12">
        <f t="shared" si="3"/>
        <v>0</v>
      </c>
      <c r="R1387" s="9">
        <v>2011.0</v>
      </c>
      <c r="S1387" s="9">
        <v>6.2</v>
      </c>
    </row>
    <row r="1388" ht="15.75" customHeight="1">
      <c r="A1388" s="21" t="s">
        <v>4897</v>
      </c>
      <c r="B1388" s="8" t="str">
        <f>IFERROR(__xludf.DUMMYFUNCTION("REGEXREPLACE(A1388, ""[^0-9a-zA-Z .'Ã]"","""")"),"Matty Rich")</f>
        <v>Matty Rich</v>
      </c>
      <c r="C1388" s="22">
        <v>8.0</v>
      </c>
      <c r="D1388" s="23">
        <v>2712293.0</v>
      </c>
      <c r="E1388" s="22" t="s">
        <v>54</v>
      </c>
      <c r="F1388" s="9">
        <f t="shared" si="1"/>
        <v>2</v>
      </c>
      <c r="G1388" s="22" t="s">
        <v>4898</v>
      </c>
      <c r="H1388" s="11" t="str">
        <f>IFERROR(__xludf.DUMMYFUNCTION("REGEXREPLACE(G1388, ""[^0-9a-zA-Z .'Ã]"","""")"),"Lawrence Gilliard Jr.")</f>
        <v>Lawrence Gilliard Jr.</v>
      </c>
      <c r="I1388" s="24" t="s">
        <v>4899</v>
      </c>
      <c r="J1388" s="22">
        <v>475.0</v>
      </c>
      <c r="K1388" s="22" t="s">
        <v>4900</v>
      </c>
      <c r="L1388" s="22">
        <v>11.0</v>
      </c>
      <c r="M1388" s="22" t="s">
        <v>24</v>
      </c>
      <c r="N1388" s="22" t="s">
        <v>25</v>
      </c>
      <c r="O1388" s="23">
        <v>450000.0</v>
      </c>
      <c r="P1388" s="10">
        <f t="shared" si="2"/>
        <v>2262293</v>
      </c>
      <c r="Q1388" s="12">
        <f t="shared" si="3"/>
        <v>0</v>
      </c>
      <c r="R1388" s="22">
        <v>1991.0</v>
      </c>
      <c r="S1388" s="22">
        <v>5.9</v>
      </c>
    </row>
    <row r="1389" ht="15.75" customHeight="1">
      <c r="A1389" s="21" t="s">
        <v>1016</v>
      </c>
      <c r="B1389" s="8" t="str">
        <f>IFERROR(__xludf.DUMMYFUNCTION("REGEXREPLACE(A1389, ""[^0-9a-zA-Z .'Ã]"","""")"),"John Erick Dowdle")</f>
        <v>John Erick Dowdle</v>
      </c>
      <c r="C1389" s="22">
        <v>273.0</v>
      </c>
      <c r="D1389" s="23">
        <v>3.3583175E7</v>
      </c>
      <c r="E1389" s="22" t="s">
        <v>94</v>
      </c>
      <c r="F1389" s="9">
        <f t="shared" si="1"/>
        <v>3</v>
      </c>
      <c r="G1389" s="22" t="s">
        <v>4901</v>
      </c>
      <c r="H1389" s="11" t="str">
        <f>IFERROR(__xludf.DUMMYFUNCTION("REGEXREPLACE(G1389, ""[^0-9a-zA-Z .'Ã]"","""")"),"Bojana Novakovic")</f>
        <v>Bojana Novakovic</v>
      </c>
      <c r="I1389" s="24" t="s">
        <v>4902</v>
      </c>
      <c r="J1389" s="22">
        <v>104089.0</v>
      </c>
      <c r="K1389" s="22" t="s">
        <v>4903</v>
      </c>
      <c r="L1389" s="22">
        <v>319.0</v>
      </c>
      <c r="M1389" s="22" t="s">
        <v>24</v>
      </c>
      <c r="N1389" s="22" t="s">
        <v>25</v>
      </c>
      <c r="O1389" s="23">
        <v>1.0E7</v>
      </c>
      <c r="P1389" s="10">
        <f t="shared" si="2"/>
        <v>23583175</v>
      </c>
      <c r="Q1389" s="12">
        <f t="shared" si="3"/>
        <v>0</v>
      </c>
      <c r="R1389" s="22">
        <v>2010.0</v>
      </c>
      <c r="S1389" s="22">
        <v>6.3</v>
      </c>
    </row>
    <row r="1390" ht="15.75" customHeight="1">
      <c r="A1390" s="7" t="s">
        <v>4904</v>
      </c>
      <c r="B1390" s="8" t="str">
        <f>IFERROR(__xludf.DUMMYFUNCTION("REGEXREPLACE(A1390, ""[^0-9a-zA-Z .'Ã]"","""")"),"Lena Dunham")</f>
        <v>Lena Dunham</v>
      </c>
      <c r="C1390" s="9">
        <v>113.0</v>
      </c>
      <c r="D1390" s="10">
        <v>389804.0</v>
      </c>
      <c r="E1390" s="9" t="s">
        <v>159</v>
      </c>
      <c r="F1390" s="9">
        <f t="shared" si="1"/>
        <v>3</v>
      </c>
      <c r="G1390" s="9" t="s">
        <v>4904</v>
      </c>
      <c r="H1390" s="11" t="str">
        <f>IFERROR(__xludf.DUMMYFUNCTION("REGEXREPLACE(G1390, ""[^0-9a-zA-Z .'Ã]"","""")"),"Lena Dunham")</f>
        <v>Lena Dunham</v>
      </c>
      <c r="I1390" s="11" t="s">
        <v>4905</v>
      </c>
      <c r="J1390" s="9">
        <v>11816.0</v>
      </c>
      <c r="K1390" s="9" t="s">
        <v>4906</v>
      </c>
      <c r="L1390" s="9">
        <v>35.0</v>
      </c>
      <c r="M1390" s="9" t="s">
        <v>24</v>
      </c>
      <c r="N1390" s="9" t="s">
        <v>25</v>
      </c>
      <c r="O1390" s="10">
        <v>65000.0</v>
      </c>
      <c r="P1390" s="10">
        <f t="shared" si="2"/>
        <v>324804</v>
      </c>
      <c r="Q1390" s="12">
        <f t="shared" si="3"/>
        <v>0</v>
      </c>
      <c r="R1390" s="9">
        <v>2010.0</v>
      </c>
      <c r="S1390" s="9">
        <v>6.3</v>
      </c>
    </row>
    <row r="1391" ht="15.75" customHeight="1">
      <c r="A1391" s="29" t="s">
        <v>4907</v>
      </c>
      <c r="B1391" s="8" t="str">
        <f>IFERROR(__xludf.DUMMYFUNCTION("REGEXREPLACE(A1391, ""[^0-9a-zA-Z .'Ã]"","""")"),"Henry Bean")</f>
        <v>Henry Bean</v>
      </c>
      <c r="C1391" s="30">
        <v>84.0</v>
      </c>
      <c r="D1391" s="31">
        <v>406035.0</v>
      </c>
      <c r="E1391" s="30" t="s">
        <v>103</v>
      </c>
      <c r="F1391" s="9">
        <f t="shared" si="1"/>
        <v>1</v>
      </c>
      <c r="G1391" s="30" t="s">
        <v>224</v>
      </c>
      <c r="H1391" s="11" t="str">
        <f>IFERROR(__xludf.DUMMYFUNCTION("REGEXREPLACE(G1391, ""[^0-9a-zA-Z .'Ã]"","""")"),"Ryan Gosling")</f>
        <v>Ryan Gosling</v>
      </c>
      <c r="I1391" s="32" t="s">
        <v>4908</v>
      </c>
      <c r="J1391" s="30">
        <v>30314.0</v>
      </c>
      <c r="K1391" s="30" t="s">
        <v>4909</v>
      </c>
      <c r="L1391" s="30">
        <v>159.0</v>
      </c>
      <c r="M1391" s="30" t="s">
        <v>24</v>
      </c>
      <c r="N1391" s="30" t="s">
        <v>25</v>
      </c>
      <c r="O1391" s="31">
        <v>1500000.0</v>
      </c>
      <c r="P1391" s="10">
        <f t="shared" si="2"/>
        <v>0</v>
      </c>
      <c r="Q1391" s="12">
        <f t="shared" si="3"/>
        <v>1093965</v>
      </c>
      <c r="R1391" s="30">
        <v>2001.0</v>
      </c>
      <c r="S1391" s="30">
        <v>7.2</v>
      </c>
    </row>
    <row r="1392" ht="15.75" customHeight="1">
      <c r="A1392" s="7" t="s">
        <v>310</v>
      </c>
      <c r="B1392" s="8" t="str">
        <f>IFERROR(__xludf.DUMMYFUNCTION("REGEXREPLACE(A1392, ""[^0-9a-zA-Z .'Ã]"","""")"),"D.J. Caruso")</f>
        <v>D.J. Caruso</v>
      </c>
      <c r="C1392" s="9">
        <v>288.0</v>
      </c>
      <c r="D1392" s="10">
        <v>5.509283E7</v>
      </c>
      <c r="E1392" s="9" t="s">
        <v>794</v>
      </c>
      <c r="F1392" s="9">
        <f t="shared" si="1"/>
        <v>4</v>
      </c>
      <c r="G1392" s="9" t="s">
        <v>4019</v>
      </c>
      <c r="H1392" s="11" t="str">
        <f>IFERROR(__xludf.DUMMYFUNCTION("REGEXREPLACE(G1392, ""[^0-9a-zA-Z .'Ã]"","""")"),"Alex Pettyfer")</f>
        <v>Alex Pettyfer</v>
      </c>
      <c r="I1392" s="11" t="s">
        <v>4910</v>
      </c>
      <c r="J1392" s="9">
        <v>195043.0</v>
      </c>
      <c r="K1392" s="9" t="s">
        <v>4911</v>
      </c>
      <c r="L1392" s="9">
        <v>329.0</v>
      </c>
      <c r="M1392" s="9" t="s">
        <v>24</v>
      </c>
      <c r="N1392" s="9" t="s">
        <v>25</v>
      </c>
      <c r="O1392" s="10">
        <v>6.0E7</v>
      </c>
      <c r="P1392" s="10">
        <f t="shared" si="2"/>
        <v>0</v>
      </c>
      <c r="Q1392" s="12">
        <f t="shared" si="3"/>
        <v>4907170</v>
      </c>
      <c r="R1392" s="9">
        <v>2011.0</v>
      </c>
      <c r="S1392" s="9">
        <v>6.1</v>
      </c>
    </row>
    <row r="1393" ht="15.75" customHeight="1">
      <c r="A1393" s="7" t="s">
        <v>4912</v>
      </c>
      <c r="B1393" s="8" t="str">
        <f>IFERROR(__xludf.DUMMYFUNCTION("REGEXREPLACE(A1393, ""[^0-9a-zA-Z .'Ã]"","""")"),"Ed Harris")</f>
        <v>Ed Harris</v>
      </c>
      <c r="C1393" s="9">
        <v>115.0</v>
      </c>
      <c r="D1393" s="10">
        <v>8596914.0</v>
      </c>
      <c r="E1393" s="9" t="s">
        <v>359</v>
      </c>
      <c r="F1393" s="9">
        <f t="shared" si="1"/>
        <v>2</v>
      </c>
      <c r="G1393" s="9" t="s">
        <v>4913</v>
      </c>
      <c r="H1393" s="11" t="str">
        <f>IFERROR(__xludf.DUMMYFUNCTION("REGEXREPLACE(G1393, ""[^0-9a-zA-Z .'Ã]"","""")"),"John Heard")</f>
        <v>John Heard</v>
      </c>
      <c r="I1393" s="11" t="s">
        <v>4914</v>
      </c>
      <c r="J1393" s="9">
        <v>23023.0</v>
      </c>
      <c r="K1393" s="9" t="s">
        <v>4915</v>
      </c>
      <c r="L1393" s="9">
        <v>148.0</v>
      </c>
      <c r="M1393" s="9" t="s">
        <v>24</v>
      </c>
      <c r="N1393" s="9" t="s">
        <v>25</v>
      </c>
      <c r="O1393" s="10">
        <v>6000000.0</v>
      </c>
      <c r="P1393" s="10">
        <f t="shared" si="2"/>
        <v>2596914</v>
      </c>
      <c r="Q1393" s="12">
        <f t="shared" si="3"/>
        <v>0</v>
      </c>
      <c r="R1393" s="9">
        <v>2000.0</v>
      </c>
      <c r="S1393" s="9">
        <v>7.0</v>
      </c>
    </row>
    <row r="1394" ht="15.75" customHeight="1">
      <c r="A1394" s="21" t="s">
        <v>4046</v>
      </c>
      <c r="B1394" s="8" t="str">
        <f>IFERROR(__xludf.DUMMYFUNCTION("REGEXREPLACE(A1394, ""[^0-9a-zA-Z .'Ã]"","""")"),"Steve Oedekerk")</f>
        <v>Steve Oedekerk</v>
      </c>
      <c r="C1394" s="22">
        <v>63.0</v>
      </c>
      <c r="D1394" s="23">
        <v>1.6033556E7</v>
      </c>
      <c r="E1394" s="22" t="s">
        <v>968</v>
      </c>
      <c r="F1394" s="9">
        <f t="shared" si="1"/>
        <v>2</v>
      </c>
      <c r="G1394" s="22" t="s">
        <v>4046</v>
      </c>
      <c r="H1394" s="11" t="str">
        <f>IFERROR(__xludf.DUMMYFUNCTION("REGEXREPLACE(G1394, ""[^0-9a-zA-Z .'Ã]"","""")"),"Steve Oedekerk")</f>
        <v>Steve Oedekerk</v>
      </c>
      <c r="I1394" s="24" t="s">
        <v>4916</v>
      </c>
      <c r="J1394" s="22">
        <v>37901.0</v>
      </c>
      <c r="K1394" s="22" t="s">
        <v>4917</v>
      </c>
      <c r="L1394" s="22">
        <v>518.0</v>
      </c>
      <c r="M1394" s="22" t="s">
        <v>24</v>
      </c>
      <c r="N1394" s="22" t="s">
        <v>25</v>
      </c>
      <c r="O1394" s="23">
        <v>1.0E7</v>
      </c>
      <c r="P1394" s="10">
        <f t="shared" si="2"/>
        <v>6033556</v>
      </c>
      <c r="Q1394" s="12">
        <f t="shared" si="3"/>
        <v>0</v>
      </c>
      <c r="R1394" s="22">
        <v>2002.0</v>
      </c>
      <c r="S1394" s="22">
        <v>6.2</v>
      </c>
    </row>
    <row r="1395" ht="15.75" customHeight="1">
      <c r="A1395" s="17" t="s">
        <v>3420</v>
      </c>
      <c r="B1395" s="8" t="str">
        <f>IFERROR(__xludf.DUMMYFUNCTION("REGEXREPLACE(A1395, ""[^0-9a-zA-Z .'Ã]"","""")"),"Carl Franklin")</f>
        <v>Carl Franklin</v>
      </c>
      <c r="C1395" s="18">
        <v>114.0</v>
      </c>
      <c r="D1395" s="19">
        <v>4.1543207E7</v>
      </c>
      <c r="E1395" s="18" t="s">
        <v>435</v>
      </c>
      <c r="F1395" s="9">
        <f t="shared" si="1"/>
        <v>4</v>
      </c>
      <c r="G1395" s="18" t="s">
        <v>170</v>
      </c>
      <c r="H1395" s="11" t="str">
        <f>IFERROR(__xludf.DUMMYFUNCTION("REGEXREPLACE(G1395, ""[^0-9a-zA-Z .'Ã]"","""")"),"Morgan Freeman")</f>
        <v>Morgan Freeman</v>
      </c>
      <c r="I1395" s="20" t="s">
        <v>4918</v>
      </c>
      <c r="J1395" s="18">
        <v>30077.0</v>
      </c>
      <c r="K1395" s="18" t="s">
        <v>4919</v>
      </c>
      <c r="L1395" s="18">
        <v>175.0</v>
      </c>
      <c r="M1395" s="18" t="s">
        <v>24</v>
      </c>
      <c r="N1395" s="18" t="s">
        <v>25</v>
      </c>
      <c r="O1395" s="19">
        <v>4.2E7</v>
      </c>
      <c r="P1395" s="10">
        <f t="shared" si="2"/>
        <v>0</v>
      </c>
      <c r="Q1395" s="12">
        <f t="shared" si="3"/>
        <v>456793</v>
      </c>
      <c r="R1395" s="18">
        <v>2002.0</v>
      </c>
      <c r="S1395" s="18">
        <v>6.3</v>
      </c>
    </row>
    <row r="1396" ht="15.75" customHeight="1">
      <c r="A1396" s="7" t="s">
        <v>4920</v>
      </c>
      <c r="B1396" s="8" t="str">
        <f>IFERROR(__xludf.DUMMYFUNCTION("REGEXREPLACE(A1396, ""[^0-9a-zA-Z .'Ã]"","""")"),"Luke Greenfield")</f>
        <v>Luke Greenfield</v>
      </c>
      <c r="C1396" s="9">
        <v>129.0</v>
      </c>
      <c r="D1396" s="10">
        <v>8.238956E7</v>
      </c>
      <c r="E1396" s="9" t="s">
        <v>137</v>
      </c>
      <c r="F1396" s="9">
        <f t="shared" si="1"/>
        <v>1</v>
      </c>
      <c r="G1396" s="9" t="s">
        <v>1506</v>
      </c>
      <c r="H1396" s="11" t="str">
        <f>IFERROR(__xludf.DUMMYFUNCTION("REGEXREPLACE(G1396, ""[^0-9a-zA-Z .'Ã]"","""")"),"Rob Riggle")</f>
        <v>Rob Riggle</v>
      </c>
      <c r="I1396" s="11" t="s">
        <v>4921</v>
      </c>
      <c r="J1396" s="9">
        <v>106820.0</v>
      </c>
      <c r="K1396" s="9" t="s">
        <v>4922</v>
      </c>
      <c r="L1396" s="9">
        <v>147.0</v>
      </c>
      <c r="M1396" s="9" t="s">
        <v>24</v>
      </c>
      <c r="N1396" s="9" t="s">
        <v>25</v>
      </c>
      <c r="O1396" s="10">
        <v>1.7E7</v>
      </c>
      <c r="P1396" s="10">
        <f t="shared" si="2"/>
        <v>65389560</v>
      </c>
      <c r="Q1396" s="12">
        <f t="shared" si="3"/>
        <v>0</v>
      </c>
      <c r="R1396" s="9">
        <v>2014.0</v>
      </c>
      <c r="S1396" s="9">
        <v>6.5</v>
      </c>
    </row>
    <row r="1397" ht="15.75" customHeight="1">
      <c r="A1397" s="7" t="s">
        <v>3110</v>
      </c>
      <c r="B1397" s="8" t="str">
        <f>IFERROR(__xludf.DUMMYFUNCTION("REGEXREPLACE(A1397, ""[^0-9a-zA-Z .'Ã]"","""")"),"Victor Salva")</f>
        <v>Victor Salva</v>
      </c>
      <c r="C1397" s="9">
        <v>190.0</v>
      </c>
      <c r="D1397" s="10">
        <v>3.7470017E7</v>
      </c>
      <c r="E1397" s="9" t="s">
        <v>565</v>
      </c>
      <c r="F1397" s="9">
        <f t="shared" si="1"/>
        <v>2</v>
      </c>
      <c r="G1397" s="9" t="s">
        <v>2051</v>
      </c>
      <c r="H1397" s="11" t="str">
        <f>IFERROR(__xludf.DUMMYFUNCTION("REGEXREPLACE(G1397, ""[^0-9a-zA-Z .'Ã]"","""")"),"Eileen Brennan")</f>
        <v>Eileen Brennan</v>
      </c>
      <c r="I1397" s="11" t="s">
        <v>4923</v>
      </c>
      <c r="J1397" s="9">
        <v>86890.0</v>
      </c>
      <c r="K1397" s="9" t="s">
        <v>4924</v>
      </c>
      <c r="L1397" s="9">
        <v>985.0</v>
      </c>
      <c r="M1397" s="9" t="s">
        <v>24</v>
      </c>
      <c r="N1397" s="9" t="s">
        <v>173</v>
      </c>
      <c r="O1397" s="10">
        <v>1.0E7</v>
      </c>
      <c r="P1397" s="10">
        <f t="shared" si="2"/>
        <v>27470017</v>
      </c>
      <c r="Q1397" s="12">
        <f t="shared" si="3"/>
        <v>0</v>
      </c>
      <c r="R1397" s="9">
        <v>2001.0</v>
      </c>
      <c r="S1397" s="9">
        <v>6.1</v>
      </c>
    </row>
    <row r="1398" ht="15.75" customHeight="1">
      <c r="A1398" s="17" t="s">
        <v>3292</v>
      </c>
      <c r="B1398" s="8" t="str">
        <f>IFERROR(__xludf.DUMMYFUNCTION("REGEXREPLACE(A1398, ""[^0-9a-zA-Z .'Ã]"","""")"),"Tate Taylor")</f>
        <v>Tate Taylor</v>
      </c>
      <c r="C1398" s="18">
        <v>373.0</v>
      </c>
      <c r="D1398" s="19">
        <v>1.69705587E8</v>
      </c>
      <c r="E1398" s="18" t="s">
        <v>103</v>
      </c>
      <c r="F1398" s="9">
        <f t="shared" si="1"/>
        <v>1</v>
      </c>
      <c r="G1398" s="18" t="s">
        <v>497</v>
      </c>
      <c r="H1398" s="11" t="str">
        <f>IFERROR(__xludf.DUMMYFUNCTION("REGEXREPLACE(G1398, ""[^0-9a-zA-Z .'Ã]"","""")"),"Emma Stone")</f>
        <v>Emma Stone</v>
      </c>
      <c r="I1398" s="20" t="s">
        <v>4925</v>
      </c>
      <c r="J1398" s="18">
        <v>318955.0</v>
      </c>
      <c r="K1398" s="18" t="s">
        <v>4926</v>
      </c>
      <c r="L1398" s="18">
        <v>460.0</v>
      </c>
      <c r="M1398" s="18" t="s">
        <v>24</v>
      </c>
      <c r="N1398" s="18" t="s">
        <v>25</v>
      </c>
      <c r="O1398" s="19">
        <v>2.5E7</v>
      </c>
      <c r="P1398" s="10">
        <f t="shared" si="2"/>
        <v>144705587</v>
      </c>
      <c r="Q1398" s="12">
        <f t="shared" si="3"/>
        <v>0</v>
      </c>
      <c r="R1398" s="18">
        <v>2011.0</v>
      </c>
      <c r="S1398" s="18">
        <v>8.1</v>
      </c>
    </row>
    <row r="1399" ht="15.75" customHeight="1">
      <c r="A1399" s="25" t="s">
        <v>4927</v>
      </c>
      <c r="B1399" s="8" t="str">
        <f>IFERROR(__xludf.DUMMYFUNCTION("REGEXREPLACE(A1399, ""[^0-9a-zA-Z .'Ã]"","""")"),"Dustin Hoffman")</f>
        <v>Dustin Hoffman</v>
      </c>
      <c r="C1399" s="26">
        <v>175.0</v>
      </c>
      <c r="D1399" s="27">
        <v>1.8381787E7</v>
      </c>
      <c r="E1399" s="26" t="s">
        <v>454</v>
      </c>
      <c r="F1399" s="9">
        <f t="shared" si="1"/>
        <v>2</v>
      </c>
      <c r="G1399" s="26" t="s">
        <v>4928</v>
      </c>
      <c r="H1399" s="11" t="str">
        <f>IFERROR(__xludf.DUMMYFUNCTION("REGEXREPLACE(G1399, ""[^0-9a-zA-Z .'Ã]"","""")"),"Luke Newberry")</f>
        <v>Luke Newberry</v>
      </c>
      <c r="I1399" s="28" t="s">
        <v>4929</v>
      </c>
      <c r="J1399" s="26">
        <v>15684.0</v>
      </c>
      <c r="K1399" s="26" t="s">
        <v>4930</v>
      </c>
      <c r="L1399" s="26">
        <v>126.0</v>
      </c>
      <c r="M1399" s="26" t="s">
        <v>24</v>
      </c>
      <c r="N1399" s="26" t="s">
        <v>130</v>
      </c>
      <c r="O1399" s="27">
        <v>1.1E7</v>
      </c>
      <c r="P1399" s="10">
        <f t="shared" si="2"/>
        <v>7381787</v>
      </c>
      <c r="Q1399" s="12">
        <f t="shared" si="3"/>
        <v>0</v>
      </c>
      <c r="R1399" s="26">
        <v>2012.0</v>
      </c>
      <c r="S1399" s="26">
        <v>6.8</v>
      </c>
    </row>
    <row r="1400" ht="15.75" customHeight="1">
      <c r="A1400" s="29" t="s">
        <v>4931</v>
      </c>
      <c r="B1400" s="8" t="str">
        <f>IFERROR(__xludf.DUMMYFUNCTION("REGEXREPLACE(A1400, ""[^0-9a-zA-Z .'Ã]"","""")"),"Mitch Davis")</f>
        <v>Mitch Davis</v>
      </c>
      <c r="C1400" s="30">
        <v>27.0</v>
      </c>
      <c r="D1400" s="31">
        <v>4720371.0</v>
      </c>
      <c r="E1400" s="30" t="s">
        <v>4932</v>
      </c>
      <c r="F1400" s="9">
        <f t="shared" si="1"/>
        <v>3</v>
      </c>
      <c r="G1400" s="30" t="s">
        <v>419</v>
      </c>
      <c r="H1400" s="11" t="str">
        <f>IFERROR(__xludf.DUMMYFUNCTION("REGEXREPLACE(G1400, ""[^0-9a-zA-Z .'Ã]"","""")"),"Anne Hathaway")</f>
        <v>Anne Hathaway</v>
      </c>
      <c r="I1400" s="32" t="s">
        <v>4933</v>
      </c>
      <c r="J1400" s="30">
        <v>3203.0</v>
      </c>
      <c r="K1400" s="30" t="s">
        <v>4934</v>
      </c>
      <c r="L1400" s="30">
        <v>85.0</v>
      </c>
      <c r="M1400" s="30" t="s">
        <v>24</v>
      </c>
      <c r="N1400" s="30" t="s">
        <v>25</v>
      </c>
      <c r="O1400" s="31">
        <v>7000000.0</v>
      </c>
      <c r="P1400" s="10">
        <f t="shared" si="2"/>
        <v>0</v>
      </c>
      <c r="Q1400" s="12">
        <f t="shared" si="3"/>
        <v>2279629</v>
      </c>
      <c r="R1400" s="30">
        <v>2001.0</v>
      </c>
      <c r="S1400" s="30">
        <v>6.5</v>
      </c>
    </row>
    <row r="1401" ht="15.75" customHeight="1">
      <c r="A1401" s="17" t="s">
        <v>1091</v>
      </c>
      <c r="B1401" s="8" t="str">
        <f>IFERROR(__xludf.DUMMYFUNCTION("REGEXREPLACE(A1401, ""[^0-9a-zA-Z .'Ã]"","""")"),"Brian Levant")</f>
        <v>Brian Levant</v>
      </c>
      <c r="C1401" s="18">
        <v>35.0</v>
      </c>
      <c r="D1401" s="19">
        <v>1.30512915E8</v>
      </c>
      <c r="E1401" s="18" t="s">
        <v>514</v>
      </c>
      <c r="F1401" s="9">
        <f t="shared" si="1"/>
        <v>3</v>
      </c>
      <c r="G1401" s="18" t="s">
        <v>1266</v>
      </c>
      <c r="H1401" s="11" t="str">
        <f>IFERROR(__xludf.DUMMYFUNCTION("REGEXREPLACE(G1401, ""[^0-9a-zA-Z .'Ã]"","""")"),"Jonathan Winters")</f>
        <v>Jonathan Winters</v>
      </c>
      <c r="I1401" s="20" t="s">
        <v>4935</v>
      </c>
      <c r="J1401" s="18">
        <v>60884.0</v>
      </c>
      <c r="K1401" s="18" t="s">
        <v>4936</v>
      </c>
      <c r="L1401" s="18">
        <v>85.0</v>
      </c>
      <c r="M1401" s="18" t="s">
        <v>24</v>
      </c>
      <c r="N1401" s="18" t="s">
        <v>25</v>
      </c>
      <c r="O1401" s="19">
        <v>4.5E7</v>
      </c>
      <c r="P1401" s="10">
        <f t="shared" si="2"/>
        <v>85512915</v>
      </c>
      <c r="Q1401" s="12">
        <f t="shared" si="3"/>
        <v>0</v>
      </c>
      <c r="R1401" s="18">
        <v>1994.0</v>
      </c>
      <c r="S1401" s="18">
        <v>4.8</v>
      </c>
    </row>
    <row r="1402" ht="15.75" customHeight="1">
      <c r="A1402" s="17" t="s">
        <v>469</v>
      </c>
      <c r="B1402" s="8" t="str">
        <f>IFERROR(__xludf.DUMMYFUNCTION("REGEXREPLACE(A1402, ""[^0-9a-zA-Z .'Ã]"","""")"),"Wes Anderson")</f>
        <v>Wes Anderson</v>
      </c>
      <c r="C1402" s="18">
        <v>487.0</v>
      </c>
      <c r="D1402" s="19">
        <v>4.5507053E7</v>
      </c>
      <c r="E1402" s="18" t="s">
        <v>4752</v>
      </c>
      <c r="F1402" s="9">
        <f t="shared" si="1"/>
        <v>4</v>
      </c>
      <c r="G1402" s="18" t="s">
        <v>55</v>
      </c>
      <c r="H1402" s="11" t="str">
        <f>IFERROR(__xludf.DUMMYFUNCTION("REGEXREPLACE(G1402, ""[^0-9a-zA-Z .'Ã]"","""")"),"Bruce Willis")</f>
        <v>Bruce Willis</v>
      </c>
      <c r="I1402" s="20" t="s">
        <v>4937</v>
      </c>
      <c r="J1402" s="18">
        <v>237848.0</v>
      </c>
      <c r="K1402" s="18" t="s">
        <v>4938</v>
      </c>
      <c r="L1402" s="18">
        <v>377.0</v>
      </c>
      <c r="M1402" s="18" t="s">
        <v>24</v>
      </c>
      <c r="N1402" s="18" t="s">
        <v>25</v>
      </c>
      <c r="O1402" s="19">
        <v>1.6E7</v>
      </c>
      <c r="P1402" s="10">
        <f t="shared" si="2"/>
        <v>29507053</v>
      </c>
      <c r="Q1402" s="12">
        <f t="shared" si="3"/>
        <v>0</v>
      </c>
      <c r="R1402" s="18">
        <v>2012.0</v>
      </c>
      <c r="S1402" s="18">
        <v>7.8</v>
      </c>
    </row>
    <row r="1403" ht="15.75" customHeight="1">
      <c r="A1403" s="21" t="s">
        <v>2229</v>
      </c>
      <c r="B1403" s="8" t="str">
        <f>IFERROR(__xludf.DUMMYFUNCTION("REGEXREPLACE(A1403, ""[^0-9a-zA-Z .'Ã]"","""")"),"Harold Becker")</f>
        <v>Harold Becker</v>
      </c>
      <c r="C1403" s="22">
        <v>50.0</v>
      </c>
      <c r="D1403" s="23">
        <v>2.03E7</v>
      </c>
      <c r="E1403" s="22" t="s">
        <v>369</v>
      </c>
      <c r="F1403" s="9">
        <f t="shared" si="1"/>
        <v>2</v>
      </c>
      <c r="G1403" s="22" t="s">
        <v>317</v>
      </c>
      <c r="H1403" s="11" t="str">
        <f>IFERROR(__xludf.DUMMYFUNCTION("REGEXREPLACE(G1403, ""[^0-9a-zA-Z .'Ã]"","""")"),"Al Pacino")</f>
        <v>Al Pacino</v>
      </c>
      <c r="I1403" s="24" t="s">
        <v>4939</v>
      </c>
      <c r="J1403" s="22">
        <v>16741.0</v>
      </c>
      <c r="K1403" s="22" t="s">
        <v>4940</v>
      </c>
      <c r="L1403" s="22">
        <v>60.0</v>
      </c>
      <c r="M1403" s="22" t="s">
        <v>24</v>
      </c>
      <c r="N1403" s="22" t="s">
        <v>25</v>
      </c>
      <c r="O1403" s="23">
        <v>4.0E7</v>
      </c>
      <c r="P1403" s="10">
        <f t="shared" si="2"/>
        <v>0</v>
      </c>
      <c r="Q1403" s="12">
        <f t="shared" si="3"/>
        <v>19700000</v>
      </c>
      <c r="R1403" s="22">
        <v>1996.0</v>
      </c>
      <c r="S1403" s="22">
        <v>6.2</v>
      </c>
    </row>
    <row r="1404" ht="15.75" customHeight="1">
      <c r="A1404" s="21" t="s">
        <v>4941</v>
      </c>
      <c r="B1404" s="8" t="str">
        <f>IFERROR(__xludf.DUMMYFUNCTION("REGEXREPLACE(A1404, ""[^0-9a-zA-Z .'Ã]"","""")"),"James Marsh")</f>
        <v>James Marsh</v>
      </c>
      <c r="C1404" s="22">
        <v>194.0</v>
      </c>
      <c r="D1404" s="23">
        <v>2957978.0</v>
      </c>
      <c r="E1404" s="22" t="s">
        <v>4942</v>
      </c>
      <c r="F1404" s="9">
        <f t="shared" si="1"/>
        <v>5</v>
      </c>
      <c r="G1404" s="22" t="s">
        <v>4943</v>
      </c>
      <c r="H1404" s="11" t="str">
        <f>IFERROR(__xludf.DUMMYFUNCTION("REGEXREPLACE(G1404, ""[^0-9a-zA-Z .'Ã]"","""")"),"Paul McGill")</f>
        <v>Paul McGill</v>
      </c>
      <c r="I1404" s="24" t="s">
        <v>4944</v>
      </c>
      <c r="J1404" s="22">
        <v>40481.0</v>
      </c>
      <c r="K1404" s="22" t="s">
        <v>4945</v>
      </c>
      <c r="L1404" s="22">
        <v>134.0</v>
      </c>
      <c r="M1404" s="22" t="s">
        <v>24</v>
      </c>
      <c r="N1404" s="22" t="s">
        <v>130</v>
      </c>
      <c r="O1404" s="23">
        <v>1000000.0</v>
      </c>
      <c r="P1404" s="10">
        <f t="shared" si="2"/>
        <v>1957978</v>
      </c>
      <c r="Q1404" s="12">
        <f t="shared" si="3"/>
        <v>0</v>
      </c>
      <c r="R1404" s="22">
        <v>2008.0</v>
      </c>
      <c r="S1404" s="22">
        <v>7.8</v>
      </c>
    </row>
    <row r="1405" ht="15.75" customHeight="1">
      <c r="A1405" s="25" t="s">
        <v>4946</v>
      </c>
      <c r="B1405" s="8" t="str">
        <f>IFERROR(__xludf.DUMMYFUNCTION("REGEXREPLACE(A1405, ""[^0-9a-zA-Z .'Ã]"","""")"),"Kiyoshi Kurosawa")</f>
        <v>Kiyoshi Kurosawa</v>
      </c>
      <c r="C1405" s="26">
        <v>78.0</v>
      </c>
      <c r="D1405" s="27">
        <v>94596.0</v>
      </c>
      <c r="E1405" s="26" t="s">
        <v>3401</v>
      </c>
      <c r="F1405" s="9">
        <f t="shared" si="1"/>
        <v>4</v>
      </c>
      <c r="G1405" s="26" t="s">
        <v>4947</v>
      </c>
      <c r="H1405" s="11" t="str">
        <f>IFERROR(__xludf.DUMMYFUNCTION("REGEXREPLACE(G1405, ""[^0-9a-zA-Z .'Ã]"","""")"),"KÃji Yakusho")</f>
        <v>KÃji Yakusho</v>
      </c>
      <c r="I1405" s="28" t="s">
        <v>4948</v>
      </c>
      <c r="J1405" s="26">
        <v>6318.0</v>
      </c>
      <c r="K1405" s="26" t="s">
        <v>4949</v>
      </c>
      <c r="L1405" s="26">
        <v>50.0</v>
      </c>
      <c r="M1405" s="26" t="s">
        <v>1534</v>
      </c>
      <c r="N1405" s="26" t="s">
        <v>1535</v>
      </c>
      <c r="O1405" s="27">
        <v>1000000.0</v>
      </c>
      <c r="P1405" s="10">
        <f t="shared" si="2"/>
        <v>0</v>
      </c>
      <c r="Q1405" s="12">
        <f t="shared" si="3"/>
        <v>905404</v>
      </c>
      <c r="R1405" s="26">
        <v>1997.0</v>
      </c>
      <c r="S1405" s="26">
        <v>7.4</v>
      </c>
    </row>
    <row r="1406" ht="15.75" customHeight="1">
      <c r="A1406" s="21" t="s">
        <v>886</v>
      </c>
      <c r="B1406" s="8" t="str">
        <f>IFERROR(__xludf.DUMMYFUNCTION("REGEXREPLACE(A1406, ""[^0-9a-zA-Z .'Ã]"","""")"),"Michael Hoffman")</f>
        <v>Michael Hoffman</v>
      </c>
      <c r="C1406" s="22">
        <v>85.0</v>
      </c>
      <c r="D1406" s="23">
        <v>2.6761283E7</v>
      </c>
      <c r="E1406" s="22" t="s">
        <v>232</v>
      </c>
      <c r="F1406" s="9">
        <f t="shared" si="1"/>
        <v>2</v>
      </c>
      <c r="G1406" s="22" t="s">
        <v>4950</v>
      </c>
      <c r="H1406" s="11" t="str">
        <f>IFERROR(__xludf.DUMMYFUNCTION("REGEXREPLACE(G1406, ""[^0-9a-zA-Z .'Ã]"","""")"),"Luke Bracey")</f>
        <v>Luke Bracey</v>
      </c>
      <c r="I1406" s="24" t="s">
        <v>4951</v>
      </c>
      <c r="J1406" s="22">
        <v>43084.0</v>
      </c>
      <c r="K1406" s="22" t="s">
        <v>4952</v>
      </c>
      <c r="L1406" s="22">
        <v>99.0</v>
      </c>
      <c r="M1406" s="22" t="s">
        <v>24</v>
      </c>
      <c r="N1406" s="22" t="s">
        <v>25</v>
      </c>
      <c r="O1406" s="23">
        <v>2.6E7</v>
      </c>
      <c r="P1406" s="10">
        <f t="shared" si="2"/>
        <v>761283</v>
      </c>
      <c r="Q1406" s="12">
        <f t="shared" si="3"/>
        <v>0</v>
      </c>
      <c r="R1406" s="22">
        <v>2014.0</v>
      </c>
      <c r="S1406" s="22">
        <v>6.7</v>
      </c>
    </row>
    <row r="1407" ht="15.75" customHeight="1">
      <c r="A1407" s="7" t="s">
        <v>1812</v>
      </c>
      <c r="B1407" s="8" t="str">
        <f>IFERROR(__xludf.DUMMYFUNCTION("REGEXREPLACE(A1407, ""[^0-9a-zA-Z .'Ã]"","""")"),"Steve Martino")</f>
        <v>Steve Martino</v>
      </c>
      <c r="C1407" s="9">
        <v>208.0</v>
      </c>
      <c r="D1407" s="10">
        <v>1.30174897E8</v>
      </c>
      <c r="E1407" s="9" t="s">
        <v>1813</v>
      </c>
      <c r="F1407" s="9">
        <f t="shared" si="1"/>
        <v>4</v>
      </c>
      <c r="G1407" s="9" t="s">
        <v>4953</v>
      </c>
      <c r="H1407" s="11" t="str">
        <f>IFERROR(__xludf.DUMMYFUNCTION("REGEXREPLACE(G1407, ""[^0-9a-zA-Z .'Ã]"","""")"),"Francesca Capaldi")</f>
        <v>Francesca Capaldi</v>
      </c>
      <c r="I1407" s="11" t="s">
        <v>4954</v>
      </c>
      <c r="J1407" s="9">
        <v>27918.0</v>
      </c>
      <c r="K1407" s="9" t="s">
        <v>4955</v>
      </c>
      <c r="L1407" s="9">
        <v>155.0</v>
      </c>
      <c r="M1407" s="9" t="s">
        <v>24</v>
      </c>
      <c r="N1407" s="9" t="s">
        <v>25</v>
      </c>
      <c r="O1407" s="10">
        <v>9.9E7</v>
      </c>
      <c r="P1407" s="10">
        <f t="shared" si="2"/>
        <v>31174897</v>
      </c>
      <c r="Q1407" s="12">
        <f t="shared" si="3"/>
        <v>0</v>
      </c>
      <c r="R1407" s="9">
        <v>2015.0</v>
      </c>
      <c r="S1407" s="9">
        <v>7.2</v>
      </c>
    </row>
    <row r="1408" ht="15.75" customHeight="1">
      <c r="A1408" s="17" t="s">
        <v>1652</v>
      </c>
      <c r="B1408" s="8" t="str">
        <f>IFERROR(__xludf.DUMMYFUNCTION("REGEXREPLACE(A1408, ""[^0-9a-zA-Z .'Ã]"","""")"),"John Carpenter")</f>
        <v>John Carpenter</v>
      </c>
      <c r="C1408" s="18">
        <v>212.0</v>
      </c>
      <c r="D1408" s="19">
        <v>2.1378E7</v>
      </c>
      <c r="E1408" s="18" t="s">
        <v>1235</v>
      </c>
      <c r="F1408" s="9">
        <f t="shared" si="1"/>
        <v>2</v>
      </c>
      <c r="G1408" s="18" t="s">
        <v>390</v>
      </c>
      <c r="H1408" s="11" t="str">
        <f>IFERROR(__xludf.DUMMYFUNCTION("REGEXREPLACE(G1408, ""[^0-9a-zA-Z .'Ã]"","""")"),"Jamie Lee Curtis")</f>
        <v>Jamie Lee Curtis</v>
      </c>
      <c r="I1408" s="20" t="s">
        <v>4956</v>
      </c>
      <c r="J1408" s="18">
        <v>46493.0</v>
      </c>
      <c r="K1408" s="18" t="s">
        <v>4957</v>
      </c>
      <c r="L1408" s="18">
        <v>335.0</v>
      </c>
      <c r="M1408" s="18" t="s">
        <v>24</v>
      </c>
      <c r="N1408" s="18" t="s">
        <v>25</v>
      </c>
      <c r="O1408" s="19">
        <v>1000000.0</v>
      </c>
      <c r="P1408" s="10">
        <f t="shared" si="2"/>
        <v>20378000</v>
      </c>
      <c r="Q1408" s="12">
        <f t="shared" si="3"/>
        <v>0</v>
      </c>
      <c r="R1408" s="18">
        <v>1980.0</v>
      </c>
      <c r="S1408" s="18">
        <v>6.8</v>
      </c>
    </row>
    <row r="1409" ht="15.75" customHeight="1">
      <c r="A1409" s="21" t="s">
        <v>4958</v>
      </c>
      <c r="B1409" s="8" t="str">
        <f>IFERROR(__xludf.DUMMYFUNCTION("REGEXREPLACE(A1409, ""[^0-9a-zA-Z .'Ã]"","""")"),"John Patrick Shanley")</f>
        <v>John Patrick Shanley</v>
      </c>
      <c r="C1409" s="22">
        <v>293.0</v>
      </c>
      <c r="D1409" s="23">
        <v>3.3422556E7</v>
      </c>
      <c r="E1409" s="22" t="s">
        <v>79</v>
      </c>
      <c r="F1409" s="9">
        <f t="shared" si="1"/>
        <v>2</v>
      </c>
      <c r="G1409" s="22" t="s">
        <v>1340</v>
      </c>
      <c r="H1409" s="11" t="str">
        <f>IFERROR(__xludf.DUMMYFUNCTION("REGEXREPLACE(G1409, ""[^0-9a-zA-Z .'Ã]"","""")"),"Philip Seymour Hoffman")</f>
        <v>Philip Seymour Hoffman</v>
      </c>
      <c r="I1409" s="24" t="s">
        <v>4959</v>
      </c>
      <c r="J1409" s="22">
        <v>99236.0</v>
      </c>
      <c r="K1409" s="22" t="s">
        <v>4960</v>
      </c>
      <c r="L1409" s="22">
        <v>321.0</v>
      </c>
      <c r="M1409" s="22" t="s">
        <v>24</v>
      </c>
      <c r="N1409" s="22" t="s">
        <v>25</v>
      </c>
      <c r="O1409" s="23">
        <v>2.0E7</v>
      </c>
      <c r="P1409" s="10">
        <f t="shared" si="2"/>
        <v>13422556</v>
      </c>
      <c r="Q1409" s="12">
        <f t="shared" si="3"/>
        <v>0</v>
      </c>
      <c r="R1409" s="22">
        <v>2008.0</v>
      </c>
      <c r="S1409" s="22">
        <v>7.5</v>
      </c>
    </row>
    <row r="1410" ht="15.75" customHeight="1">
      <c r="A1410" s="17" t="s">
        <v>2781</v>
      </c>
      <c r="B1410" s="8" t="str">
        <f>IFERROR(__xludf.DUMMYFUNCTION("REGEXREPLACE(A1410, ""[^0-9a-zA-Z .'Ã]"","""")"),"Morgan J. Freeman")</f>
        <v>Morgan J. Freeman</v>
      </c>
      <c r="C1410" s="18">
        <v>17.0</v>
      </c>
      <c r="D1410" s="19">
        <v>334041.0</v>
      </c>
      <c r="E1410" s="18" t="s">
        <v>4961</v>
      </c>
      <c r="F1410" s="9">
        <f t="shared" si="1"/>
        <v>3</v>
      </c>
      <c r="G1410" s="18" t="s">
        <v>4962</v>
      </c>
      <c r="H1410" s="11" t="str">
        <f>IFERROR(__xludf.DUMMYFUNCTION("REGEXREPLACE(G1410, ""[^0-9a-zA-Z .'Ã]"","""")"),"Edie Falco")</f>
        <v>Edie Falco</v>
      </c>
      <c r="I1410" s="20" t="s">
        <v>4963</v>
      </c>
      <c r="J1410" s="18">
        <v>1038.0</v>
      </c>
      <c r="K1410" s="18" t="s">
        <v>4964</v>
      </c>
      <c r="L1410" s="18">
        <v>21.0</v>
      </c>
      <c r="M1410" s="18" t="s">
        <v>24</v>
      </c>
      <c r="N1410" s="18" t="s">
        <v>25</v>
      </c>
      <c r="O1410" s="19">
        <v>500000.0</v>
      </c>
      <c r="P1410" s="10">
        <f t="shared" si="2"/>
        <v>0</v>
      </c>
      <c r="Q1410" s="12">
        <f t="shared" si="3"/>
        <v>165959</v>
      </c>
      <c r="R1410" s="18">
        <v>1997.0</v>
      </c>
      <c r="S1410" s="18">
        <v>6.5</v>
      </c>
    </row>
    <row r="1411" ht="15.75" customHeight="1">
      <c r="A1411" s="7" t="s">
        <v>136</v>
      </c>
      <c r="B1411" s="8" t="str">
        <f>IFERROR(__xludf.DUMMYFUNCTION("REGEXREPLACE(A1411, ""[^0-9a-zA-Z .'Ã]"","""")"),"Hugh Wilson")</f>
        <v>Hugh Wilson</v>
      </c>
      <c r="C1411" s="9">
        <v>95.0</v>
      </c>
      <c r="D1411" s="10">
        <v>2.6494611E7</v>
      </c>
      <c r="E1411" s="9" t="s">
        <v>4965</v>
      </c>
      <c r="F1411" s="9">
        <f t="shared" si="1"/>
        <v>4</v>
      </c>
      <c r="G1411" s="9" t="s">
        <v>21</v>
      </c>
      <c r="H1411" s="11" t="str">
        <f>IFERROR(__xludf.DUMMYFUNCTION("REGEXREPLACE(G1411, ""[^0-9a-zA-Z .'Ã]"","""")"),"Brendan Fraser")</f>
        <v>Brendan Fraser</v>
      </c>
      <c r="I1411" s="11" t="s">
        <v>4966</v>
      </c>
      <c r="J1411" s="9">
        <v>48621.0</v>
      </c>
      <c r="K1411" s="9" t="s">
        <v>4967</v>
      </c>
      <c r="L1411" s="9">
        <v>239.0</v>
      </c>
      <c r="M1411" s="9" t="s">
        <v>24</v>
      </c>
      <c r="N1411" s="9" t="s">
        <v>25</v>
      </c>
      <c r="O1411" s="10">
        <v>3.5E7</v>
      </c>
      <c r="P1411" s="10">
        <f t="shared" si="2"/>
        <v>0</v>
      </c>
      <c r="Q1411" s="12">
        <f t="shared" si="3"/>
        <v>8505389</v>
      </c>
      <c r="R1411" s="9">
        <v>1999.0</v>
      </c>
      <c r="S1411" s="9">
        <v>6.6</v>
      </c>
    </row>
    <row r="1412" ht="15.75" customHeight="1">
      <c r="A1412" s="7" t="s">
        <v>4968</v>
      </c>
      <c r="B1412" s="8" t="str">
        <f>IFERROR(__xludf.DUMMYFUNCTION("REGEXREPLACE(A1412, ""[^0-9a-zA-Z .'Ã]"","""")"),"Justin Lin")</f>
        <v>Justin Lin</v>
      </c>
      <c r="C1412" s="9">
        <v>342.0</v>
      </c>
      <c r="D1412" s="10">
        <v>2.09805005E8</v>
      </c>
      <c r="E1412" s="9" t="s">
        <v>152</v>
      </c>
      <c r="F1412" s="9">
        <f t="shared" si="1"/>
        <v>3</v>
      </c>
      <c r="G1412" s="9" t="s">
        <v>802</v>
      </c>
      <c r="H1412" s="11" t="str">
        <f>IFERROR(__xludf.DUMMYFUNCTION("REGEXREPLACE(G1412, ""[^0-9a-zA-Z .'Ã]"","""")"),"Paul Walker")</f>
        <v>Paul Walker</v>
      </c>
      <c r="I1412" s="11" t="s">
        <v>4969</v>
      </c>
      <c r="J1412" s="9">
        <v>284792.0</v>
      </c>
      <c r="K1412" s="9" t="s">
        <v>4970</v>
      </c>
      <c r="L1412" s="9">
        <v>366.0</v>
      </c>
      <c r="M1412" s="9" t="s">
        <v>24</v>
      </c>
      <c r="N1412" s="9" t="s">
        <v>25</v>
      </c>
      <c r="O1412" s="10">
        <v>1.25E8</v>
      </c>
      <c r="P1412" s="10">
        <f t="shared" si="2"/>
        <v>84805005</v>
      </c>
      <c r="Q1412" s="12">
        <f t="shared" si="3"/>
        <v>0</v>
      </c>
      <c r="R1412" s="9">
        <v>2011.0</v>
      </c>
      <c r="S1412" s="9">
        <v>7.3</v>
      </c>
    </row>
    <row r="1413" ht="15.75" customHeight="1">
      <c r="A1413" s="17" t="s">
        <v>4971</v>
      </c>
      <c r="B1413" s="8" t="str">
        <f>IFERROR(__xludf.DUMMYFUNCTION("REGEXREPLACE(A1413, ""[^0-9a-zA-Z .'Ã]"","""")"),"Penny Marshall")</f>
        <v>Penny Marshall</v>
      </c>
      <c r="C1413" s="18">
        <v>12.0</v>
      </c>
      <c r="D1413" s="19">
        <v>2.4332324E7</v>
      </c>
      <c r="E1413" s="18" t="s">
        <v>454</v>
      </c>
      <c r="F1413" s="9">
        <f t="shared" si="1"/>
        <v>2</v>
      </c>
      <c r="G1413" s="18" t="s">
        <v>247</v>
      </c>
      <c r="H1413" s="11" t="str">
        <f>IFERROR(__xludf.DUMMYFUNCTION("REGEXREPLACE(G1413, ""[^0-9a-zA-Z .'Ã]"","""")"),"Ed Begley Jr.")</f>
        <v>Ed Begley Jr.</v>
      </c>
      <c r="I1413" s="20" t="s">
        <v>4972</v>
      </c>
      <c r="J1413" s="18">
        <v>13830.0</v>
      </c>
      <c r="K1413" s="18" t="s">
        <v>4973</v>
      </c>
      <c r="L1413" s="18">
        <v>61.0</v>
      </c>
      <c r="M1413" s="18" t="s">
        <v>24</v>
      </c>
      <c r="N1413" s="18" t="s">
        <v>25</v>
      </c>
      <c r="O1413" s="19">
        <v>4.0E7</v>
      </c>
      <c r="P1413" s="10">
        <f t="shared" si="2"/>
        <v>0</v>
      </c>
      <c r="Q1413" s="12">
        <f t="shared" si="3"/>
        <v>15667676</v>
      </c>
      <c r="R1413" s="18">
        <v>1994.0</v>
      </c>
      <c r="S1413" s="18">
        <v>6.1</v>
      </c>
    </row>
    <row r="1414" ht="15.75" customHeight="1">
      <c r="A1414" s="29" t="s">
        <v>4974</v>
      </c>
      <c r="B1414" s="8" t="str">
        <f>IFERROR(__xludf.DUMMYFUNCTION("REGEXREPLACE(A1414, ""[^0-9a-zA-Z -.'Ã]"","""")"),"Ãlex de la Iglesia")</f>
        <v>Ãlex de la Iglesia</v>
      </c>
      <c r="C1414" s="30">
        <v>71.0</v>
      </c>
      <c r="D1414" s="31">
        <v>3607.0</v>
      </c>
      <c r="E1414" s="30" t="s">
        <v>575</v>
      </c>
      <c r="F1414" s="9">
        <f t="shared" si="1"/>
        <v>3</v>
      </c>
      <c r="G1414" s="30" t="s">
        <v>4975</v>
      </c>
      <c r="H1414" s="11" t="str">
        <f>IFERROR(__xludf.DUMMYFUNCTION("REGEXREPLACE(G1414, ""[^0-9a-zA-Z .'Ã]"","""")"),"Jim Carter")</f>
        <v>Jim Carter</v>
      </c>
      <c r="I1414" s="32" t="s">
        <v>4976</v>
      </c>
      <c r="J1414" s="30">
        <v>22753.0</v>
      </c>
      <c r="K1414" s="30" t="s">
        <v>4977</v>
      </c>
      <c r="L1414" s="30">
        <v>94.0</v>
      </c>
      <c r="M1414" s="30" t="s">
        <v>24</v>
      </c>
      <c r="N1414" s="30" t="s">
        <v>1108</v>
      </c>
      <c r="O1414" s="31">
        <v>1.0E7</v>
      </c>
      <c r="P1414" s="10">
        <f t="shared" si="2"/>
        <v>0</v>
      </c>
      <c r="Q1414" s="12">
        <f t="shared" si="3"/>
        <v>9996393</v>
      </c>
      <c r="R1414" s="30">
        <v>2008.0</v>
      </c>
      <c r="S1414" s="30">
        <v>6.1</v>
      </c>
    </row>
    <row r="1415" ht="15.75" customHeight="1">
      <c r="A1415" s="25" t="s">
        <v>2997</v>
      </c>
      <c r="B1415" s="8" t="str">
        <f>IFERROR(__xludf.DUMMYFUNCTION("REGEXREPLACE(A1415, ""[^0-9a-zA-Z .'Ã]"","""")"),"Chris Columbus")</f>
        <v>Chris Columbus</v>
      </c>
      <c r="C1415" s="26">
        <v>107.0</v>
      </c>
      <c r="D1415" s="27">
        <v>1.4793904E7</v>
      </c>
      <c r="E1415" s="26" t="s">
        <v>89</v>
      </c>
      <c r="F1415" s="9">
        <f t="shared" si="1"/>
        <v>2</v>
      </c>
      <c r="G1415" s="26" t="s">
        <v>4978</v>
      </c>
      <c r="H1415" s="11" t="str">
        <f>IFERROR(__xludf.DUMMYFUNCTION("REGEXREPLACE(G1415, ""[^0-9a-zA-Z .'Ã]"","""")"),"Alan Ruck")</f>
        <v>Alan Ruck</v>
      </c>
      <c r="I1415" s="28" t="s">
        <v>4979</v>
      </c>
      <c r="J1415" s="26">
        <v>28209.0</v>
      </c>
      <c r="K1415" s="26" t="s">
        <v>4980</v>
      </c>
      <c r="L1415" s="26">
        <v>80.0</v>
      </c>
      <c r="M1415" s="26" t="s">
        <v>24</v>
      </c>
      <c r="N1415" s="26" t="s">
        <v>624</v>
      </c>
      <c r="O1415" s="27">
        <v>1.8E7</v>
      </c>
      <c r="P1415" s="10">
        <f t="shared" si="2"/>
        <v>0</v>
      </c>
      <c r="Q1415" s="12">
        <f t="shared" si="3"/>
        <v>3206096</v>
      </c>
      <c r="R1415" s="26">
        <v>2009.0</v>
      </c>
      <c r="S1415" s="26">
        <v>5.3</v>
      </c>
    </row>
    <row r="1416" ht="15.75" customHeight="1">
      <c r="A1416" s="7" t="s">
        <v>1482</v>
      </c>
      <c r="B1416" s="8" t="str">
        <f>IFERROR(__xludf.DUMMYFUNCTION("REGEXREPLACE(A1416, ""[^0-9a-zA-Z .'Ã]"","""")"),"Roger Donaldson")</f>
        <v>Roger Donaldson</v>
      </c>
      <c r="C1416" s="9">
        <v>126.0</v>
      </c>
      <c r="D1416" s="10">
        <v>5128124.0</v>
      </c>
      <c r="E1416" s="9" t="s">
        <v>1124</v>
      </c>
      <c r="F1416" s="9">
        <f t="shared" si="1"/>
        <v>3</v>
      </c>
      <c r="G1416" s="9" t="s">
        <v>237</v>
      </c>
      <c r="H1416" s="11" t="str">
        <f>IFERROR(__xludf.DUMMYFUNCTION("REGEXREPLACE(G1416, ""[^0-9a-zA-Z .'Ã]"","""")"),"Anthony Hopkins")</f>
        <v>Anthony Hopkins</v>
      </c>
      <c r="I1416" s="11" t="s">
        <v>4981</v>
      </c>
      <c r="J1416" s="9">
        <v>44198.0</v>
      </c>
      <c r="K1416" s="9" t="s">
        <v>4982</v>
      </c>
      <c r="L1416" s="9">
        <v>251.0</v>
      </c>
      <c r="M1416" s="9" t="s">
        <v>24</v>
      </c>
      <c r="N1416" s="9" t="s">
        <v>1002</v>
      </c>
      <c r="O1416" s="10">
        <v>2.5E7</v>
      </c>
      <c r="P1416" s="10">
        <f t="shared" si="2"/>
        <v>0</v>
      </c>
      <c r="Q1416" s="12">
        <f t="shared" si="3"/>
        <v>19871876</v>
      </c>
      <c r="R1416" s="9">
        <v>2005.0</v>
      </c>
      <c r="S1416" s="9">
        <v>7.9</v>
      </c>
    </row>
    <row r="1417" ht="15.75" customHeight="1">
      <c r="A1417" s="25" t="s">
        <v>4983</v>
      </c>
      <c r="B1417" s="8" t="str">
        <f>IFERROR(__xludf.DUMMYFUNCTION("REGEXREPLACE(A1417, ""[^0-9a-zA-Z .'Ã]"","""")"),"Paul Abascal")</f>
        <v>Paul Abascal</v>
      </c>
      <c r="C1417" s="26">
        <v>77.0</v>
      </c>
      <c r="D1417" s="27">
        <v>1.5712072E7</v>
      </c>
      <c r="E1417" s="26" t="s">
        <v>501</v>
      </c>
      <c r="F1417" s="9">
        <f t="shared" si="1"/>
        <v>4</v>
      </c>
      <c r="G1417" s="26" t="s">
        <v>4984</v>
      </c>
      <c r="H1417" s="11" t="str">
        <f>IFERROR(__xludf.DUMMYFUNCTION("REGEXREPLACE(G1417, ""[^0-9a-zA-Z .'Ã]"","""")"),"Cole Hauser")</f>
        <v>Cole Hauser</v>
      </c>
      <c r="I1417" s="28" t="s">
        <v>4985</v>
      </c>
      <c r="J1417" s="26">
        <v>13210.0</v>
      </c>
      <c r="K1417" s="26" t="s">
        <v>4986</v>
      </c>
      <c r="L1417" s="26">
        <v>138.0</v>
      </c>
      <c r="M1417" s="26" t="s">
        <v>24</v>
      </c>
      <c r="N1417" s="26" t="s">
        <v>25</v>
      </c>
      <c r="O1417" s="27">
        <v>2.0E7</v>
      </c>
      <c r="P1417" s="10">
        <f t="shared" si="2"/>
        <v>0</v>
      </c>
      <c r="Q1417" s="12">
        <f t="shared" si="3"/>
        <v>4287928</v>
      </c>
      <c r="R1417" s="26">
        <v>2004.0</v>
      </c>
      <c r="S1417" s="26">
        <v>5.8</v>
      </c>
    </row>
    <row r="1418" ht="15.75" customHeight="1">
      <c r="A1418" s="7" t="s">
        <v>3832</v>
      </c>
      <c r="B1418" s="8" t="str">
        <f>IFERROR(__xludf.DUMMYFUNCTION("REGEXREPLACE(A1418, ""[^0-9a-zA-Z .'Ã]"","""")"),"Doug Liman")</f>
        <v>Doug Liman</v>
      </c>
      <c r="C1418" s="9">
        <v>249.0</v>
      </c>
      <c r="D1418" s="10">
        <v>1.2146896E8</v>
      </c>
      <c r="E1418" s="9" t="s">
        <v>1155</v>
      </c>
      <c r="F1418" s="9">
        <f t="shared" si="1"/>
        <v>3</v>
      </c>
      <c r="G1418" s="9" t="s">
        <v>585</v>
      </c>
      <c r="H1418" s="11" t="str">
        <f>IFERROR(__xludf.DUMMYFUNCTION("REGEXREPLACE(G1418, ""[^0-9a-zA-Z .'Ã]"","""")"),"Matt Damon")</f>
        <v>Matt Damon</v>
      </c>
      <c r="I1418" s="11" t="s">
        <v>4987</v>
      </c>
      <c r="J1418" s="9">
        <v>407601.0</v>
      </c>
      <c r="K1418" s="9" t="s">
        <v>4988</v>
      </c>
      <c r="L1418" s="9">
        <v>849.0</v>
      </c>
      <c r="M1418" s="9" t="s">
        <v>24</v>
      </c>
      <c r="N1418" s="9" t="s">
        <v>25</v>
      </c>
      <c r="O1418" s="10">
        <v>6.0E7</v>
      </c>
      <c r="P1418" s="10">
        <f t="shared" si="2"/>
        <v>61468960</v>
      </c>
      <c r="Q1418" s="12">
        <f t="shared" si="3"/>
        <v>0</v>
      </c>
      <c r="R1418" s="9">
        <v>2002.0</v>
      </c>
      <c r="S1418" s="9">
        <v>7.9</v>
      </c>
    </row>
    <row r="1419" ht="15.75" customHeight="1">
      <c r="A1419" s="7" t="s">
        <v>163</v>
      </c>
      <c r="B1419" s="8" t="str">
        <f>IFERROR(__xludf.DUMMYFUNCTION("REGEXREPLACE(A1419, ""[^0-9a-zA-Z .'Ã]"","""")"),"F. Gary Gray")</f>
        <v>F. Gary Gray</v>
      </c>
      <c r="C1419" s="9">
        <v>20.0</v>
      </c>
      <c r="D1419" s="10">
        <v>2.79E7</v>
      </c>
      <c r="E1419" s="9" t="s">
        <v>454</v>
      </c>
      <c r="F1419" s="9">
        <f t="shared" si="1"/>
        <v>2</v>
      </c>
      <c r="G1419" s="9" t="s">
        <v>1215</v>
      </c>
      <c r="H1419" s="11" t="str">
        <f>IFERROR(__xludf.DUMMYFUNCTION("REGEXREPLACE(G1419, ""[^0-9a-zA-Z .'Ã]"","""")"),"Nia Long")</f>
        <v>Nia Long</v>
      </c>
      <c r="I1419" s="11" t="s">
        <v>4989</v>
      </c>
      <c r="J1419" s="9">
        <v>74626.0</v>
      </c>
      <c r="K1419" s="9" t="s">
        <v>4990</v>
      </c>
      <c r="L1419" s="9">
        <v>157.0</v>
      </c>
      <c r="M1419" s="9" t="s">
        <v>24</v>
      </c>
      <c r="N1419" s="9" t="s">
        <v>25</v>
      </c>
      <c r="O1419" s="10">
        <v>3500000.0</v>
      </c>
      <c r="P1419" s="10">
        <f t="shared" si="2"/>
        <v>24400000</v>
      </c>
      <c r="Q1419" s="12">
        <f t="shared" si="3"/>
        <v>0</v>
      </c>
      <c r="R1419" s="9">
        <v>1995.0</v>
      </c>
      <c r="S1419" s="9">
        <v>7.3</v>
      </c>
    </row>
    <row r="1420" ht="15.75" customHeight="1">
      <c r="A1420" s="25" t="s">
        <v>860</v>
      </c>
      <c r="B1420" s="8" t="str">
        <f>IFERROR(__xludf.DUMMYFUNCTION("REGEXREPLACE(A1420, ""[^0-9a-zA-Z .'Ã]"","""")"),"Michael Bay")</f>
        <v>Michael Bay</v>
      </c>
      <c r="C1420" s="26">
        <v>378.0</v>
      </c>
      <c r="D1420" s="27">
        <v>2.45428137E8</v>
      </c>
      <c r="E1420" s="26" t="s">
        <v>185</v>
      </c>
      <c r="F1420" s="9">
        <f t="shared" si="1"/>
        <v>3</v>
      </c>
      <c r="G1420" s="26" t="s">
        <v>214</v>
      </c>
      <c r="H1420" s="11" t="str">
        <f>IFERROR(__xludf.DUMMYFUNCTION("REGEXREPLACE(G1420, ""[^0-9a-zA-Z .'Ã]"","""")"),"Bingbing Li")</f>
        <v>Bingbing Li</v>
      </c>
      <c r="I1420" s="28" t="s">
        <v>4991</v>
      </c>
      <c r="J1420" s="26">
        <v>242420.0</v>
      </c>
      <c r="K1420" s="26" t="s">
        <v>4992</v>
      </c>
      <c r="L1420" s="26">
        <v>918.0</v>
      </c>
      <c r="M1420" s="26" t="s">
        <v>24</v>
      </c>
      <c r="N1420" s="26" t="s">
        <v>25</v>
      </c>
      <c r="O1420" s="27">
        <v>2.1E8</v>
      </c>
      <c r="P1420" s="10">
        <f t="shared" si="2"/>
        <v>35428137</v>
      </c>
      <c r="Q1420" s="12">
        <f t="shared" si="3"/>
        <v>0</v>
      </c>
      <c r="R1420" s="26">
        <v>2014.0</v>
      </c>
      <c r="S1420" s="26">
        <v>5.7</v>
      </c>
    </row>
    <row r="1421" ht="15.75" customHeight="1">
      <c r="A1421" s="7" t="s">
        <v>4993</v>
      </c>
      <c r="B1421" s="8" t="str">
        <f>IFERROR(__xludf.DUMMYFUNCTION("REGEXREPLACE(A1421, ""[^0-9a-zA-Z -.'Ã]"","""")"),"RyÃhei Kitamura")</f>
        <v>RyÃhei Kitamura</v>
      </c>
      <c r="C1421" s="9">
        <v>177.0</v>
      </c>
      <c r="D1421" s="10">
        <v>73548.0</v>
      </c>
      <c r="E1421" s="9" t="s">
        <v>4994</v>
      </c>
      <c r="F1421" s="9">
        <f t="shared" si="1"/>
        <v>3</v>
      </c>
      <c r="G1421" s="9" t="s">
        <v>1903</v>
      </c>
      <c r="H1421" s="11" t="str">
        <f>IFERROR(__xludf.DUMMYFUNCTION("REGEXREPLACE(G1421, ""[^0-9a-zA-Z .'Ã]"","""")"),"Bradley Cooper")</f>
        <v>Bradley Cooper</v>
      </c>
      <c r="I1421" s="11" t="s">
        <v>4995</v>
      </c>
      <c r="J1421" s="9">
        <v>47574.0</v>
      </c>
      <c r="K1421" s="9" t="s">
        <v>4996</v>
      </c>
      <c r="L1421" s="9">
        <v>209.0</v>
      </c>
      <c r="M1421" s="9" t="s">
        <v>24</v>
      </c>
      <c r="N1421" s="9" t="s">
        <v>25</v>
      </c>
      <c r="O1421" s="10">
        <v>1.5E7</v>
      </c>
      <c r="P1421" s="10">
        <f t="shared" si="2"/>
        <v>0</v>
      </c>
      <c r="Q1421" s="12">
        <f t="shared" si="3"/>
        <v>14926452</v>
      </c>
      <c r="R1421" s="9">
        <v>2008.0</v>
      </c>
      <c r="S1421" s="9">
        <v>6.1</v>
      </c>
    </row>
    <row r="1422" ht="15.75" customHeight="1">
      <c r="A1422" s="7" t="s">
        <v>4997</v>
      </c>
      <c r="B1422" s="8" t="str">
        <f>IFERROR(__xludf.DUMMYFUNCTION("REGEXREPLACE(A1422, ""[^0-9a-zA-Z .'Ã]"","""")"),"Joel Coen")</f>
        <v>Joel Coen</v>
      </c>
      <c r="C1422" s="9">
        <v>77.0</v>
      </c>
      <c r="D1422" s="10">
        <v>2869369.0</v>
      </c>
      <c r="E1422" s="9" t="s">
        <v>615</v>
      </c>
      <c r="F1422" s="9">
        <f t="shared" si="1"/>
        <v>2</v>
      </c>
      <c r="G1422" s="9" t="s">
        <v>4998</v>
      </c>
      <c r="H1422" s="11" t="str">
        <f>IFERROR(__xludf.DUMMYFUNCTION("REGEXREPLACE(G1422, ""[^0-9a-zA-Z .'Ã]"","""")"),"Jennifer Jason Leigh")</f>
        <v>Jennifer Jason Leigh</v>
      </c>
      <c r="I1422" s="11" t="s">
        <v>4999</v>
      </c>
      <c r="J1422" s="9">
        <v>65474.0</v>
      </c>
      <c r="K1422" s="9" t="s">
        <v>5000</v>
      </c>
      <c r="L1422" s="9">
        <v>211.0</v>
      </c>
      <c r="M1422" s="9" t="s">
        <v>24</v>
      </c>
      <c r="N1422" s="9" t="s">
        <v>130</v>
      </c>
      <c r="O1422" s="10">
        <v>3.0E7</v>
      </c>
      <c r="P1422" s="10">
        <f t="shared" si="2"/>
        <v>0</v>
      </c>
      <c r="Q1422" s="12">
        <f t="shared" si="3"/>
        <v>27130631</v>
      </c>
      <c r="R1422" s="9">
        <v>1994.0</v>
      </c>
      <c r="S1422" s="9">
        <v>7.3</v>
      </c>
    </row>
    <row r="1423" ht="15.75" customHeight="1">
      <c r="A1423" s="17" t="s">
        <v>2715</v>
      </c>
      <c r="B1423" s="8" t="str">
        <f>IFERROR(__xludf.DUMMYFUNCTION("REGEXREPLACE(A1423, ""[^0-9a-zA-Z .'Ã]"","""")"),"Barry Sonnenfeld")</f>
        <v>Barry Sonnenfeld</v>
      </c>
      <c r="C1423" s="18">
        <v>175.0</v>
      </c>
      <c r="D1423" s="19">
        <v>2.50147615E8</v>
      </c>
      <c r="E1423" s="18" t="s">
        <v>5001</v>
      </c>
      <c r="F1423" s="9">
        <f t="shared" si="1"/>
        <v>5</v>
      </c>
      <c r="G1423" s="18" t="s">
        <v>2717</v>
      </c>
      <c r="H1423" s="11" t="str">
        <f>IFERROR(__xludf.DUMMYFUNCTION("REGEXREPLACE(G1423, ""[^0-9a-zA-Z .'Ã]"","""")"),"Will Smith")</f>
        <v>Will Smith</v>
      </c>
      <c r="I1423" s="20" t="s">
        <v>5002</v>
      </c>
      <c r="J1423" s="18">
        <v>403014.0</v>
      </c>
      <c r="K1423" s="18" t="s">
        <v>5003</v>
      </c>
      <c r="L1423" s="18">
        <v>289.0</v>
      </c>
      <c r="M1423" s="18" t="s">
        <v>24</v>
      </c>
      <c r="N1423" s="18" t="s">
        <v>25</v>
      </c>
      <c r="O1423" s="19">
        <v>9.0E7</v>
      </c>
      <c r="P1423" s="10">
        <f t="shared" si="2"/>
        <v>160147615</v>
      </c>
      <c r="Q1423" s="12">
        <f t="shared" si="3"/>
        <v>0</v>
      </c>
      <c r="R1423" s="18">
        <v>1997.0</v>
      </c>
      <c r="S1423" s="18">
        <v>7.3</v>
      </c>
    </row>
    <row r="1424" ht="15.75" customHeight="1">
      <c r="A1424" s="7" t="s">
        <v>5004</v>
      </c>
      <c r="B1424" s="8" t="str">
        <f>IFERROR(__xludf.DUMMYFUNCTION("REGEXREPLACE(A1424, ""[^0-9a-zA-Z .'Ã]"","""")"),"Dan Mazer")</f>
        <v>Dan Mazer</v>
      </c>
      <c r="C1424" s="9">
        <v>158.0</v>
      </c>
      <c r="D1424" s="10">
        <v>3.5537564E7</v>
      </c>
      <c r="E1424" s="9" t="s">
        <v>137</v>
      </c>
      <c r="F1424" s="9">
        <f t="shared" si="1"/>
        <v>1</v>
      </c>
      <c r="G1424" s="9" t="s">
        <v>883</v>
      </c>
      <c r="H1424" s="11" t="str">
        <f>IFERROR(__xludf.DUMMYFUNCTION("REGEXREPLACE(G1424, ""[^0-9a-zA-Z .'Ã]"","""")"),"Robert De Niro")</f>
        <v>Robert De Niro</v>
      </c>
      <c r="I1424" s="11" t="s">
        <v>5005</v>
      </c>
      <c r="J1424" s="9">
        <v>49671.0</v>
      </c>
      <c r="K1424" s="9" t="s">
        <v>5006</v>
      </c>
      <c r="L1424" s="9">
        <v>166.0</v>
      </c>
      <c r="M1424" s="9" t="s">
        <v>24</v>
      </c>
      <c r="N1424" s="9" t="s">
        <v>25</v>
      </c>
      <c r="O1424" s="10">
        <v>1.15E7</v>
      </c>
      <c r="P1424" s="10">
        <f t="shared" si="2"/>
        <v>24037564</v>
      </c>
      <c r="Q1424" s="12">
        <f t="shared" si="3"/>
        <v>0</v>
      </c>
      <c r="R1424" s="9">
        <v>2016.0</v>
      </c>
      <c r="S1424" s="9">
        <v>6.0</v>
      </c>
    </row>
    <row r="1425" ht="15.75" customHeight="1">
      <c r="A1425" s="17" t="s">
        <v>4349</v>
      </c>
      <c r="B1425" s="8" t="str">
        <f>IFERROR(__xludf.DUMMYFUNCTION("REGEXREPLACE(A1425, ""[^0-9a-zA-Z .'Ã]"","""")"),"Olivier Assayas")</f>
        <v>Olivier Assayas</v>
      </c>
      <c r="C1425" s="18">
        <v>81.0</v>
      </c>
      <c r="D1425" s="19">
        <v>136007.0</v>
      </c>
      <c r="E1425" s="18" t="s">
        <v>734</v>
      </c>
      <c r="F1425" s="9">
        <f t="shared" si="1"/>
        <v>3</v>
      </c>
      <c r="G1425" s="18" t="s">
        <v>5007</v>
      </c>
      <c r="H1425" s="11" t="str">
        <f>IFERROR(__xludf.DUMMYFUNCTION("REGEXREPLACE(G1425, ""[^0-9a-zA-Z .'Ã]"","""")"),"Maggie Cheung")</f>
        <v>Maggie Cheung</v>
      </c>
      <c r="I1425" s="20" t="s">
        <v>5008</v>
      </c>
      <c r="J1425" s="18">
        <v>3924.0</v>
      </c>
      <c r="K1425" s="18" t="s">
        <v>5009</v>
      </c>
      <c r="L1425" s="18">
        <v>39.0</v>
      </c>
      <c r="M1425" s="18" t="s">
        <v>658</v>
      </c>
      <c r="N1425" s="18" t="s">
        <v>608</v>
      </c>
      <c r="O1425" s="19">
        <v>4500.0</v>
      </c>
      <c r="P1425" s="10">
        <f t="shared" si="2"/>
        <v>131507</v>
      </c>
      <c r="Q1425" s="12">
        <f t="shared" si="3"/>
        <v>0</v>
      </c>
      <c r="R1425" s="18">
        <v>2004.0</v>
      </c>
      <c r="S1425" s="18">
        <v>6.9</v>
      </c>
    </row>
    <row r="1426" ht="15.75" customHeight="1">
      <c r="A1426" s="17" t="s">
        <v>5010</v>
      </c>
      <c r="B1426" s="8" t="str">
        <f>IFERROR(__xludf.DUMMYFUNCTION("REGEXREPLACE(A1426, ""[^0-9a-zA-Z -.'Ã]"","""")"),"MÃns MÃrlind")</f>
        <v>MÃns MÃrlind</v>
      </c>
      <c r="C1426" s="18">
        <v>242.0</v>
      </c>
      <c r="D1426" s="19">
        <v>6.2321039E7</v>
      </c>
      <c r="E1426" s="18" t="s">
        <v>479</v>
      </c>
      <c r="F1426" s="9">
        <f t="shared" si="1"/>
        <v>3</v>
      </c>
      <c r="G1426" s="18" t="s">
        <v>5011</v>
      </c>
      <c r="H1426" s="11" t="str">
        <f>IFERROR(__xludf.DUMMYFUNCTION("REGEXREPLACE(G1426, ""[^0-9a-zA-Z .'Ã]"","""")"),"Theo James")</f>
        <v>Theo James</v>
      </c>
      <c r="I1426" s="20" t="s">
        <v>5012</v>
      </c>
      <c r="J1426" s="18">
        <v>117096.0</v>
      </c>
      <c r="K1426" s="18" t="s">
        <v>5013</v>
      </c>
      <c r="L1426" s="18">
        <v>271.0</v>
      </c>
      <c r="M1426" s="18" t="s">
        <v>24</v>
      </c>
      <c r="N1426" s="18" t="s">
        <v>25</v>
      </c>
      <c r="O1426" s="19">
        <v>7.0E7</v>
      </c>
      <c r="P1426" s="10">
        <f t="shared" si="2"/>
        <v>0</v>
      </c>
      <c r="Q1426" s="12">
        <f t="shared" si="3"/>
        <v>7678961</v>
      </c>
      <c r="R1426" s="18">
        <v>2012.0</v>
      </c>
      <c r="S1426" s="18">
        <v>6.4</v>
      </c>
    </row>
    <row r="1427" ht="15.75" customHeight="1">
      <c r="A1427" s="7" t="s">
        <v>5014</v>
      </c>
      <c r="B1427" s="8" t="str">
        <f>IFERROR(__xludf.DUMMYFUNCTION("REGEXREPLACE(A1427, ""[^0-9a-zA-Z .'Ã]"","""")"),"Klaus Menzel")</f>
        <v>Klaus Menzel</v>
      </c>
      <c r="C1427" s="9">
        <v>13.0</v>
      </c>
      <c r="D1427" s="10">
        <v>16066.0</v>
      </c>
      <c r="E1427" s="9" t="s">
        <v>5015</v>
      </c>
      <c r="F1427" s="9">
        <f t="shared" si="1"/>
        <v>3</v>
      </c>
      <c r="G1427" s="9" t="s">
        <v>4135</v>
      </c>
      <c r="H1427" s="11" t="str">
        <f>IFERROR(__xludf.DUMMYFUNCTION("REGEXREPLACE(G1427, ""[^0-9a-zA-Z .'Ã]"","""")"),"Adam Garcia")</f>
        <v>Adam Garcia</v>
      </c>
      <c r="I1427" s="11" t="s">
        <v>5016</v>
      </c>
      <c r="J1427" s="9">
        <v>1207.0</v>
      </c>
      <c r="K1427" s="9" t="s">
        <v>5017</v>
      </c>
      <c r="L1427" s="9">
        <v>44.0</v>
      </c>
      <c r="M1427" s="9" t="s">
        <v>24</v>
      </c>
      <c r="N1427" s="9" t="s">
        <v>173</v>
      </c>
      <c r="O1427" s="10">
        <v>5000000.0</v>
      </c>
      <c r="P1427" s="10">
        <f t="shared" si="2"/>
        <v>0</v>
      </c>
      <c r="Q1427" s="12">
        <f t="shared" si="3"/>
        <v>4983934</v>
      </c>
      <c r="R1427" s="9">
        <v>2004.0</v>
      </c>
      <c r="S1427" s="9">
        <v>3.3</v>
      </c>
    </row>
    <row r="1428" ht="15.75" customHeight="1">
      <c r="A1428" s="7" t="s">
        <v>2755</v>
      </c>
      <c r="B1428" s="8" t="str">
        <f>IFERROR(__xludf.DUMMYFUNCTION("REGEXREPLACE(A1428, ""[^0-9a-zA-Z .'Ã]"","""")"),"Genndy Tartakovsky")</f>
        <v>Genndy Tartakovsky</v>
      </c>
      <c r="C1428" s="9">
        <v>152.0</v>
      </c>
      <c r="D1428" s="10">
        <v>1.69692572E8</v>
      </c>
      <c r="E1428" s="9" t="s">
        <v>2756</v>
      </c>
      <c r="F1428" s="9">
        <f t="shared" si="1"/>
        <v>4</v>
      </c>
      <c r="G1428" s="9" t="s">
        <v>453</v>
      </c>
      <c r="H1428" s="11" t="str">
        <f>IFERROR(__xludf.DUMMYFUNCTION("REGEXREPLACE(G1428, ""[^0-9a-zA-Z .'Ã]"","""")"),"Steve Buscemi")</f>
        <v>Steve Buscemi</v>
      </c>
      <c r="I1428" s="11" t="s">
        <v>5018</v>
      </c>
      <c r="J1428" s="9">
        <v>56501.0</v>
      </c>
      <c r="K1428" s="9" t="s">
        <v>5019</v>
      </c>
      <c r="L1428" s="9">
        <v>97.0</v>
      </c>
      <c r="M1428" s="9" t="s">
        <v>24</v>
      </c>
      <c r="N1428" s="9" t="s">
        <v>25</v>
      </c>
      <c r="O1428" s="10">
        <v>8.0E7</v>
      </c>
      <c r="P1428" s="10">
        <f t="shared" si="2"/>
        <v>89692572</v>
      </c>
      <c r="Q1428" s="12">
        <f t="shared" si="3"/>
        <v>0</v>
      </c>
      <c r="R1428" s="9">
        <v>2015.0</v>
      </c>
      <c r="S1428" s="9">
        <v>6.7</v>
      </c>
    </row>
    <row r="1429" ht="15.75" customHeight="1">
      <c r="A1429" s="21" t="s">
        <v>107</v>
      </c>
      <c r="B1429" s="8" t="str">
        <f>IFERROR(__xludf.DUMMYFUNCTION("REGEXREPLACE(A1429, ""[^0-9a-zA-Z .'Ã]"","""")"),"Steve Miner")</f>
        <v>Steve Miner</v>
      </c>
      <c r="C1429" s="22">
        <v>242.0</v>
      </c>
      <c r="D1429" s="23">
        <v>1.91E7</v>
      </c>
      <c r="E1429" s="22" t="s">
        <v>94</v>
      </c>
      <c r="F1429" s="9">
        <f t="shared" si="1"/>
        <v>3</v>
      </c>
      <c r="G1429" s="22" t="s">
        <v>5020</v>
      </c>
      <c r="H1429" s="11" t="str">
        <f>IFERROR(__xludf.DUMMYFUNCTION("REGEXREPLACE(G1429, ""[^0-9a-zA-Z .'Ã]"","""")"),"Betsy Palmer")</f>
        <v>Betsy Palmer</v>
      </c>
      <c r="I1429" s="24" t="s">
        <v>5021</v>
      </c>
      <c r="J1429" s="22">
        <v>39690.0</v>
      </c>
      <c r="K1429" s="22" t="s">
        <v>5022</v>
      </c>
      <c r="L1429" s="22">
        <v>394.0</v>
      </c>
      <c r="M1429" s="22" t="s">
        <v>24</v>
      </c>
      <c r="N1429" s="22" t="s">
        <v>25</v>
      </c>
      <c r="O1429" s="23">
        <v>1250000.0</v>
      </c>
      <c r="P1429" s="10">
        <f t="shared" si="2"/>
        <v>17850000</v>
      </c>
      <c r="Q1429" s="12">
        <f t="shared" si="3"/>
        <v>0</v>
      </c>
      <c r="R1429" s="22">
        <v>1981.0</v>
      </c>
      <c r="S1429" s="22">
        <v>6.1</v>
      </c>
    </row>
    <row r="1430" ht="15.75" customHeight="1">
      <c r="A1430" s="17" t="s">
        <v>4256</v>
      </c>
      <c r="B1430" s="8" t="str">
        <f>IFERROR(__xludf.DUMMYFUNCTION("REGEXREPLACE(A1430, ""[^0-9a-zA-Z .'Ã]"","""")"),"Michael Apted")</f>
        <v>Michael Apted</v>
      </c>
      <c r="C1430" s="18">
        <v>98.0</v>
      </c>
      <c r="D1430" s="19">
        <v>3.9177215E7</v>
      </c>
      <c r="E1430" s="18" t="s">
        <v>113</v>
      </c>
      <c r="F1430" s="9">
        <f t="shared" si="1"/>
        <v>3</v>
      </c>
      <c r="G1430" s="18" t="s">
        <v>942</v>
      </c>
      <c r="H1430" s="11" t="str">
        <f>IFERROR(__xludf.DUMMYFUNCTION("REGEXREPLACE(G1430, ""[^0-9a-zA-Z .'Ã]"","""")"),"Bill Cobbs")</f>
        <v>Bill Cobbs</v>
      </c>
      <c r="I1430" s="20" t="s">
        <v>5023</v>
      </c>
      <c r="J1430" s="18">
        <v>30667.0</v>
      </c>
      <c r="K1430" s="18" t="s">
        <v>5024</v>
      </c>
      <c r="L1430" s="18">
        <v>234.0</v>
      </c>
      <c r="M1430" s="18" t="s">
        <v>24</v>
      </c>
      <c r="N1430" s="18" t="s">
        <v>25</v>
      </c>
      <c r="O1430" s="19">
        <v>3.8E7</v>
      </c>
      <c r="P1430" s="10">
        <f t="shared" si="2"/>
        <v>1177215</v>
      </c>
      <c r="Q1430" s="12">
        <f t="shared" si="3"/>
        <v>0</v>
      </c>
      <c r="R1430" s="18">
        <v>2002.0</v>
      </c>
      <c r="S1430" s="18">
        <v>5.6</v>
      </c>
    </row>
    <row r="1431" ht="15.75" customHeight="1">
      <c r="A1431" s="17" t="s">
        <v>1562</v>
      </c>
      <c r="B1431" s="8" t="str">
        <f>IFERROR(__xludf.DUMMYFUNCTION("REGEXREPLACE(A1431, ""[^0-9a-zA-Z .'Ã]"","""")"),"David S. Goyer")</f>
        <v>David S. Goyer</v>
      </c>
      <c r="C1431" s="18">
        <v>185.0</v>
      </c>
      <c r="D1431" s="19">
        <v>5.2397389E7</v>
      </c>
      <c r="E1431" s="18" t="s">
        <v>5025</v>
      </c>
      <c r="F1431" s="9">
        <f t="shared" si="1"/>
        <v>6</v>
      </c>
      <c r="G1431" s="18" t="s">
        <v>2451</v>
      </c>
      <c r="H1431" s="11" t="str">
        <f>IFERROR(__xludf.DUMMYFUNCTION("REGEXREPLACE(G1431, ""[^0-9a-zA-Z .'Ã]"","""")"),"Ryan Reynolds")</f>
        <v>Ryan Reynolds</v>
      </c>
      <c r="I1431" s="20" t="s">
        <v>5026</v>
      </c>
      <c r="J1431" s="18">
        <v>132954.0</v>
      </c>
      <c r="K1431" s="18" t="s">
        <v>5027</v>
      </c>
      <c r="L1431" s="18">
        <v>514.0</v>
      </c>
      <c r="M1431" s="18" t="s">
        <v>24</v>
      </c>
      <c r="N1431" s="18" t="s">
        <v>25</v>
      </c>
      <c r="O1431" s="19">
        <v>6.5E7</v>
      </c>
      <c r="P1431" s="10">
        <f t="shared" si="2"/>
        <v>0</v>
      </c>
      <c r="Q1431" s="12">
        <f t="shared" si="3"/>
        <v>12602611</v>
      </c>
      <c r="R1431" s="18">
        <v>2004.0</v>
      </c>
      <c r="S1431" s="18">
        <v>5.9</v>
      </c>
    </row>
    <row r="1432" ht="15.75" customHeight="1">
      <c r="A1432" s="17" t="s">
        <v>5028</v>
      </c>
      <c r="B1432" s="8" t="str">
        <f>IFERROR(__xludf.DUMMYFUNCTION("REGEXREPLACE(A1432, ""[^0-9a-zA-Z .'Ã]"","""")"),"Evan Goldberg")</f>
        <v>Evan Goldberg</v>
      </c>
      <c r="C1432" s="18">
        <v>418.0</v>
      </c>
      <c r="D1432" s="19">
        <v>1.01470202E8</v>
      </c>
      <c r="E1432" s="18" t="s">
        <v>615</v>
      </c>
      <c r="F1432" s="9">
        <f t="shared" si="1"/>
        <v>2</v>
      </c>
      <c r="G1432" s="18" t="s">
        <v>176</v>
      </c>
      <c r="H1432" s="11" t="str">
        <f>IFERROR(__xludf.DUMMYFUNCTION("REGEXREPLACE(G1432, ""[^0-9a-zA-Z .'Ã]"","""")"),"Channing Tatum")</f>
        <v>Channing Tatum</v>
      </c>
      <c r="I1432" s="20" t="s">
        <v>5029</v>
      </c>
      <c r="J1432" s="18">
        <v>310540.0</v>
      </c>
      <c r="K1432" s="18" t="s">
        <v>5030</v>
      </c>
      <c r="L1432" s="18">
        <v>669.0</v>
      </c>
      <c r="M1432" s="18" t="s">
        <v>24</v>
      </c>
      <c r="N1432" s="18" t="s">
        <v>25</v>
      </c>
      <c r="O1432" s="19">
        <v>3.2E7</v>
      </c>
      <c r="P1432" s="10">
        <f t="shared" si="2"/>
        <v>69470202</v>
      </c>
      <c r="Q1432" s="12">
        <f t="shared" si="3"/>
        <v>0</v>
      </c>
      <c r="R1432" s="18">
        <v>2013.0</v>
      </c>
      <c r="S1432" s="18">
        <v>6.7</v>
      </c>
    </row>
    <row r="1433" ht="15.75" customHeight="1">
      <c r="A1433" s="17" t="s">
        <v>2723</v>
      </c>
      <c r="B1433" s="8" t="str">
        <f>IFERROR(__xludf.DUMMYFUNCTION("REGEXREPLACE(A1433, ""[^0-9a-zA-Z .'Ã]"","""")"),"Patrick Read Johnson")</f>
        <v>Patrick Read Johnson</v>
      </c>
      <c r="C1433" s="18">
        <v>22.0</v>
      </c>
      <c r="D1433" s="19">
        <v>1.6671505E7</v>
      </c>
      <c r="E1433" s="18" t="s">
        <v>5031</v>
      </c>
      <c r="F1433" s="9">
        <f t="shared" si="1"/>
        <v>5</v>
      </c>
      <c r="G1433" s="18" t="s">
        <v>1981</v>
      </c>
      <c r="H1433" s="11" t="str">
        <f>IFERROR(__xludf.DUMMYFUNCTION("REGEXREPLACE(G1433, ""[^0-9a-zA-Z .'Ã]"","""")"),"Joe Mantegna")</f>
        <v>Joe Mantegna</v>
      </c>
      <c r="I1433" s="20" t="s">
        <v>5032</v>
      </c>
      <c r="J1433" s="18">
        <v>33186.0</v>
      </c>
      <c r="K1433" s="18" t="s">
        <v>5033</v>
      </c>
      <c r="L1433" s="18">
        <v>78.0</v>
      </c>
      <c r="M1433" s="18" t="s">
        <v>24</v>
      </c>
      <c r="N1433" s="18" t="s">
        <v>25</v>
      </c>
      <c r="O1433" s="19">
        <v>5.0E7</v>
      </c>
      <c r="P1433" s="10">
        <f t="shared" si="2"/>
        <v>0</v>
      </c>
      <c r="Q1433" s="12">
        <f t="shared" si="3"/>
        <v>33328495</v>
      </c>
      <c r="R1433" s="18">
        <v>1994.0</v>
      </c>
      <c r="S1433" s="18">
        <v>5.9</v>
      </c>
    </row>
    <row r="1434" ht="15.75" customHeight="1">
      <c r="A1434" s="21" t="s">
        <v>1087</v>
      </c>
      <c r="B1434" s="8" t="str">
        <f>IFERROR(__xludf.DUMMYFUNCTION("REGEXREPLACE(A1434, ""[^0-9a-zA-Z .'Ã]"","""")"),"Jim Sheridan")</f>
        <v>Jim Sheridan</v>
      </c>
      <c r="C1434" s="22">
        <v>174.0</v>
      </c>
      <c r="D1434" s="23">
        <v>2.128344E7</v>
      </c>
      <c r="E1434" s="22" t="s">
        <v>311</v>
      </c>
      <c r="F1434" s="9">
        <f t="shared" si="1"/>
        <v>3</v>
      </c>
      <c r="G1434" s="22" t="s">
        <v>874</v>
      </c>
      <c r="H1434" s="11" t="str">
        <f>IFERROR(__xludf.DUMMYFUNCTION("REGEXREPLACE(G1434, ""[^0-9a-zA-Z .'Ã]"","""")"),"Naomi Watts")</f>
        <v>Naomi Watts</v>
      </c>
      <c r="I1434" s="24" t="s">
        <v>5034</v>
      </c>
      <c r="J1434" s="22">
        <v>46239.0</v>
      </c>
      <c r="K1434" s="22" t="s">
        <v>5035</v>
      </c>
      <c r="L1434" s="22">
        <v>137.0</v>
      </c>
      <c r="M1434" s="22" t="s">
        <v>24</v>
      </c>
      <c r="N1434" s="22" t="s">
        <v>25</v>
      </c>
      <c r="O1434" s="23">
        <v>5.5E7</v>
      </c>
      <c r="P1434" s="10">
        <f t="shared" si="2"/>
        <v>0</v>
      </c>
      <c r="Q1434" s="12">
        <f t="shared" si="3"/>
        <v>33716560</v>
      </c>
      <c r="R1434" s="22">
        <v>2011.0</v>
      </c>
      <c r="S1434" s="22">
        <v>6.0</v>
      </c>
    </row>
    <row r="1435" ht="15.75" customHeight="1">
      <c r="A1435" s="21" t="s">
        <v>5036</v>
      </c>
      <c r="B1435" s="8" t="str">
        <f>IFERROR(__xludf.DUMMYFUNCTION("REGEXREPLACE(A1435, ""[^0-9a-zA-Z .'Ã]"","""")"),"Stephen Kay")</f>
        <v>Stephen Kay</v>
      </c>
      <c r="C1435" s="22">
        <v>102.0</v>
      </c>
      <c r="D1435" s="23">
        <v>1.4967182E7</v>
      </c>
      <c r="E1435" s="22" t="s">
        <v>501</v>
      </c>
      <c r="F1435" s="9">
        <f t="shared" si="1"/>
        <v>4</v>
      </c>
      <c r="G1435" s="22" t="s">
        <v>2532</v>
      </c>
      <c r="H1435" s="11" t="str">
        <f>IFERROR(__xludf.DUMMYFUNCTION("REGEXREPLACE(G1435, ""[^0-9a-zA-Z .'Ã]"","""")"),"Sylvester Stallone")</f>
        <v>Sylvester Stallone</v>
      </c>
      <c r="I1435" s="24" t="s">
        <v>5037</v>
      </c>
      <c r="J1435" s="22">
        <v>27305.0</v>
      </c>
      <c r="K1435" s="22" t="s">
        <v>5038</v>
      </c>
      <c r="L1435" s="22">
        <v>284.0</v>
      </c>
      <c r="M1435" s="22" t="s">
        <v>24</v>
      </c>
      <c r="N1435" s="22" t="s">
        <v>25</v>
      </c>
      <c r="O1435" s="23">
        <v>4.0E7</v>
      </c>
      <c r="P1435" s="10">
        <f t="shared" si="2"/>
        <v>0</v>
      </c>
      <c r="Q1435" s="12">
        <f t="shared" si="3"/>
        <v>25032818</v>
      </c>
      <c r="R1435" s="22">
        <v>2000.0</v>
      </c>
      <c r="S1435" s="22">
        <v>5.1</v>
      </c>
    </row>
    <row r="1436" ht="15.75" customHeight="1">
      <c r="A1436" s="17" t="s">
        <v>5039</v>
      </c>
      <c r="B1436" s="8" t="str">
        <f>IFERROR(__xludf.DUMMYFUNCTION("REGEXREPLACE(A1436, ""[^0-9a-zA-Z .'Ã]"","""")"),"Roger Allers")</f>
        <v>Roger Allers</v>
      </c>
      <c r="C1436" s="18">
        <v>186.0</v>
      </c>
      <c r="D1436" s="19">
        <v>4.22783777E8</v>
      </c>
      <c r="E1436" s="18" t="s">
        <v>5040</v>
      </c>
      <c r="F1436" s="9">
        <f t="shared" si="1"/>
        <v>5</v>
      </c>
      <c r="G1436" s="18" t="s">
        <v>2192</v>
      </c>
      <c r="H1436" s="11" t="str">
        <f>IFERROR(__xludf.DUMMYFUNCTION("REGEXREPLACE(G1436, ""[^0-9a-zA-Z .'Ã]"","""")"),"Matthew Broderick")</f>
        <v>Matthew Broderick</v>
      </c>
      <c r="I1436" s="20" t="s">
        <v>5041</v>
      </c>
      <c r="J1436" s="18">
        <v>644348.0</v>
      </c>
      <c r="K1436" s="18" t="s">
        <v>5042</v>
      </c>
      <c r="L1436" s="18">
        <v>656.0</v>
      </c>
      <c r="M1436" s="18" t="s">
        <v>24</v>
      </c>
      <c r="N1436" s="18" t="s">
        <v>25</v>
      </c>
      <c r="O1436" s="19">
        <v>4.5E7</v>
      </c>
      <c r="P1436" s="10">
        <f t="shared" si="2"/>
        <v>377783777</v>
      </c>
      <c r="Q1436" s="12">
        <f t="shared" si="3"/>
        <v>0</v>
      </c>
      <c r="R1436" s="18">
        <v>1994.0</v>
      </c>
      <c r="S1436" s="18">
        <v>8.5</v>
      </c>
    </row>
    <row r="1437" ht="15.75" customHeight="1">
      <c r="A1437" s="7" t="s">
        <v>444</v>
      </c>
      <c r="B1437" s="8" t="str">
        <f>IFERROR(__xludf.DUMMYFUNCTION("REGEXREPLACE(A1437, ""[^0-9a-zA-Z .'Ã]"","""")"),"Michael Winterbottom")</f>
        <v>Michael Winterbottom</v>
      </c>
      <c r="C1437" s="9">
        <v>133.0</v>
      </c>
      <c r="D1437" s="10">
        <v>197148.0</v>
      </c>
      <c r="E1437" s="9" t="s">
        <v>4159</v>
      </c>
      <c r="F1437" s="9">
        <f t="shared" si="1"/>
        <v>4</v>
      </c>
      <c r="G1437" s="9" t="s">
        <v>297</v>
      </c>
      <c r="H1437" s="11" t="str">
        <f>IFERROR(__xludf.DUMMYFUNCTION("REGEXREPLACE(G1437, ""[^0-9a-zA-Z .'Ã]"","""")"),"Samantha Morton")</f>
        <v>Samantha Morton</v>
      </c>
      <c r="I1437" s="11" t="s">
        <v>5043</v>
      </c>
      <c r="J1437" s="9">
        <v>18109.0</v>
      </c>
      <c r="K1437" s="9" t="s">
        <v>5044</v>
      </c>
      <c r="L1437" s="9">
        <v>150.0</v>
      </c>
      <c r="M1437" s="9" t="s">
        <v>24</v>
      </c>
      <c r="N1437" s="9" t="s">
        <v>130</v>
      </c>
      <c r="O1437" s="10">
        <v>7500000.0</v>
      </c>
      <c r="P1437" s="10">
        <f t="shared" si="2"/>
        <v>0</v>
      </c>
      <c r="Q1437" s="12">
        <f t="shared" si="3"/>
        <v>7302852</v>
      </c>
      <c r="R1437" s="9">
        <v>2003.0</v>
      </c>
      <c r="S1437" s="9">
        <v>6.3</v>
      </c>
    </row>
    <row r="1438" ht="15.75" customHeight="1">
      <c r="A1438" s="17" t="s">
        <v>1386</v>
      </c>
      <c r="B1438" s="8" t="str">
        <f>IFERROR(__xludf.DUMMYFUNCTION("REGEXREPLACE(A1438, ""[^0-9a-zA-Z .'Ã]"","""")"),"Jonathan Liebesman")</f>
        <v>Jonathan Liebesman</v>
      </c>
      <c r="C1438" s="18">
        <v>310.0</v>
      </c>
      <c r="D1438" s="19">
        <v>8.3640426E7</v>
      </c>
      <c r="E1438" s="18" t="s">
        <v>278</v>
      </c>
      <c r="F1438" s="9">
        <f t="shared" si="1"/>
        <v>3</v>
      </c>
      <c r="G1438" s="18" t="s">
        <v>605</v>
      </c>
      <c r="H1438" s="11" t="str">
        <f>IFERROR(__xludf.DUMMYFUNCTION("REGEXREPLACE(G1438, ""[^0-9a-zA-Z .'Ã]"","""")"),"Liam Neeson")</f>
        <v>Liam Neeson</v>
      </c>
      <c r="I1438" s="20" t="s">
        <v>5045</v>
      </c>
      <c r="J1438" s="18">
        <v>152826.0</v>
      </c>
      <c r="K1438" s="18" t="s">
        <v>5046</v>
      </c>
      <c r="L1438" s="18">
        <v>253.0</v>
      </c>
      <c r="M1438" s="18" t="s">
        <v>24</v>
      </c>
      <c r="N1438" s="18" t="s">
        <v>25</v>
      </c>
      <c r="O1438" s="19">
        <v>1.5E8</v>
      </c>
      <c r="P1438" s="10">
        <f t="shared" si="2"/>
        <v>0</v>
      </c>
      <c r="Q1438" s="12">
        <f t="shared" si="3"/>
        <v>66359574</v>
      </c>
      <c r="R1438" s="18">
        <v>2012.0</v>
      </c>
      <c r="S1438" s="18">
        <v>5.8</v>
      </c>
    </row>
    <row r="1439" ht="15.75" customHeight="1">
      <c r="A1439" s="17" t="s">
        <v>5047</v>
      </c>
      <c r="B1439" s="8" t="str">
        <f>IFERROR(__xludf.DUMMYFUNCTION("REGEXREPLACE(A1439, ""[^0-9a-zA-Z .'Ã]"","""")"),"Mark L. Lester")</f>
        <v>Mark L. Lester</v>
      </c>
      <c r="C1439" s="18">
        <v>45.0</v>
      </c>
      <c r="D1439" s="19">
        <v>1.51E7</v>
      </c>
      <c r="E1439" s="18" t="s">
        <v>64</v>
      </c>
      <c r="F1439" s="9">
        <f t="shared" si="1"/>
        <v>4</v>
      </c>
      <c r="G1439" s="18" t="s">
        <v>4396</v>
      </c>
      <c r="H1439" s="11" t="str">
        <f>IFERROR(__xludf.DUMMYFUNCTION("REGEXREPLACE(G1439, ""[^0-9a-zA-Z .'Ã]"","""")"),"Heather Locklear")</f>
        <v>Heather Locklear</v>
      </c>
      <c r="I1439" s="20" t="s">
        <v>5048</v>
      </c>
      <c r="J1439" s="18">
        <v>22797.0</v>
      </c>
      <c r="K1439" s="18" t="s">
        <v>5049</v>
      </c>
      <c r="L1439" s="18">
        <v>96.0</v>
      </c>
      <c r="M1439" s="18" t="s">
        <v>24</v>
      </c>
      <c r="N1439" s="18" t="s">
        <v>25</v>
      </c>
      <c r="O1439" s="19">
        <v>1.5E7</v>
      </c>
      <c r="P1439" s="10">
        <f t="shared" si="2"/>
        <v>100000</v>
      </c>
      <c r="Q1439" s="12">
        <f t="shared" si="3"/>
        <v>0</v>
      </c>
      <c r="R1439" s="18">
        <v>1984.0</v>
      </c>
      <c r="S1439" s="18">
        <v>6.0</v>
      </c>
    </row>
    <row r="1440" ht="15.75" customHeight="1">
      <c r="A1440" s="29" t="s">
        <v>1111</v>
      </c>
      <c r="B1440" s="8" t="str">
        <f>IFERROR(__xludf.DUMMYFUNCTION("REGEXREPLACE(A1440, ""[^0-9a-zA-Z .'Ã]"","""")"),"Jan de Bont")</f>
        <v>Jan de Bont</v>
      </c>
      <c r="C1440" s="30">
        <v>167.0</v>
      </c>
      <c r="D1440" s="31">
        <v>9.1188905E7</v>
      </c>
      <c r="E1440" s="30" t="s">
        <v>819</v>
      </c>
      <c r="F1440" s="9">
        <f t="shared" si="1"/>
        <v>4</v>
      </c>
      <c r="G1440" s="30" t="s">
        <v>605</v>
      </c>
      <c r="H1440" s="11" t="str">
        <f>IFERROR(__xludf.DUMMYFUNCTION("REGEXREPLACE(G1440, ""[^0-9a-zA-Z .'Ã]"","""")"),"Liam Neeson")</f>
        <v>Liam Neeson</v>
      </c>
      <c r="I1440" s="32" t="s">
        <v>5050</v>
      </c>
      <c r="J1440" s="30">
        <v>58184.0</v>
      </c>
      <c r="K1440" s="30" t="s">
        <v>5051</v>
      </c>
      <c r="L1440" s="30">
        <v>805.0</v>
      </c>
      <c r="M1440" s="30" t="s">
        <v>24</v>
      </c>
      <c r="N1440" s="30" t="s">
        <v>25</v>
      </c>
      <c r="O1440" s="31">
        <v>8.0E7</v>
      </c>
      <c r="P1440" s="10">
        <f t="shared" si="2"/>
        <v>11188905</v>
      </c>
      <c r="Q1440" s="12">
        <f t="shared" si="3"/>
        <v>0</v>
      </c>
      <c r="R1440" s="30">
        <v>1999.0</v>
      </c>
      <c r="S1440" s="30">
        <v>4.9</v>
      </c>
    </row>
    <row r="1441" ht="15.75" customHeight="1">
      <c r="A1441" s="7" t="s">
        <v>3119</v>
      </c>
      <c r="B1441" s="8" t="str">
        <f>IFERROR(__xludf.DUMMYFUNCTION("REGEXREPLACE(A1441, ""[^0-9a-zA-Z -.'Ã]"","""")"),"Jean-Marie PoirÃ")</f>
        <v>Jean-Marie PoirÃ</v>
      </c>
      <c r="C1441" s="9">
        <v>61.0</v>
      </c>
      <c r="D1441" s="10">
        <v>4777007.0</v>
      </c>
      <c r="E1441" s="9" t="s">
        <v>3120</v>
      </c>
      <c r="F1441" s="9">
        <f t="shared" si="1"/>
        <v>3</v>
      </c>
      <c r="G1441" s="9" t="s">
        <v>5052</v>
      </c>
      <c r="H1441" s="11" t="str">
        <f>IFERROR(__xludf.DUMMYFUNCTION("REGEXREPLACE(G1441, ""[^0-9a-zA-Z .'Ã]"","""")"),"Bridgette WilsonSampras")</f>
        <v>Bridgette WilsonSampras</v>
      </c>
      <c r="I1441" s="11" t="s">
        <v>5053</v>
      </c>
      <c r="J1441" s="9">
        <v>15130.0</v>
      </c>
      <c r="K1441" s="9" t="s">
        <v>5054</v>
      </c>
      <c r="L1441" s="9">
        <v>98.0</v>
      </c>
      <c r="M1441" s="9" t="s">
        <v>24</v>
      </c>
      <c r="N1441" s="9" t="s">
        <v>608</v>
      </c>
      <c r="O1441" s="10">
        <v>4.0E7</v>
      </c>
      <c r="P1441" s="10">
        <f t="shared" si="2"/>
        <v>0</v>
      </c>
      <c r="Q1441" s="12">
        <f t="shared" si="3"/>
        <v>35222993</v>
      </c>
      <c r="R1441" s="9">
        <v>2001.0</v>
      </c>
      <c r="S1441" s="9">
        <v>5.8</v>
      </c>
    </row>
    <row r="1442" ht="15.75" customHeight="1">
      <c r="A1442" s="7" t="s">
        <v>1529</v>
      </c>
      <c r="B1442" s="8" t="str">
        <f>IFERROR(__xludf.DUMMYFUNCTION("REGEXREPLACE(A1442, ""[^0-9a-zA-Z -.'Ã]"","""")"),"Katsuhiro Ãtomo")</f>
        <v>Katsuhiro Ãtomo</v>
      </c>
      <c r="C1442" s="9">
        <v>105.0</v>
      </c>
      <c r="D1442" s="10">
        <v>410388.0</v>
      </c>
      <c r="E1442" s="9" t="s">
        <v>5055</v>
      </c>
      <c r="F1442" s="9">
        <f t="shared" si="1"/>
        <v>6</v>
      </c>
      <c r="G1442" s="9" t="s">
        <v>5056</v>
      </c>
      <c r="H1442" s="11" t="str">
        <f>IFERROR(__xludf.DUMMYFUNCTION("REGEXREPLACE(G1442, ""[^0-9a-zA-Z .'Ã]"","""")"),"William Hootkins")</f>
        <v>William Hootkins</v>
      </c>
      <c r="I1442" s="11" t="s">
        <v>5057</v>
      </c>
      <c r="J1442" s="9">
        <v>13727.0</v>
      </c>
      <c r="K1442" s="9" t="s">
        <v>5058</v>
      </c>
      <c r="L1442" s="9">
        <v>79.0</v>
      </c>
      <c r="M1442" s="9" t="s">
        <v>1534</v>
      </c>
      <c r="N1442" s="9" t="s">
        <v>1535</v>
      </c>
      <c r="O1442" s="10">
        <v>2.127519898E9</v>
      </c>
      <c r="P1442" s="10">
        <f t="shared" si="2"/>
        <v>0</v>
      </c>
      <c r="Q1442" s="12">
        <f t="shared" si="3"/>
        <v>2127109510</v>
      </c>
      <c r="R1442" s="9">
        <v>2004.0</v>
      </c>
      <c r="S1442" s="9">
        <v>6.9</v>
      </c>
    </row>
    <row r="1443" ht="15.75" customHeight="1">
      <c r="A1443" s="21" t="s">
        <v>4751</v>
      </c>
      <c r="B1443" s="8" t="str">
        <f>IFERROR(__xludf.DUMMYFUNCTION("REGEXREPLACE(A1443, ""[^0-9a-zA-Z .'Ã]"","""")"),"Rian Johnson")</f>
        <v>Rian Johnson</v>
      </c>
      <c r="C1443" s="22">
        <v>589.0</v>
      </c>
      <c r="D1443" s="23">
        <v>6.6468315E7</v>
      </c>
      <c r="E1443" s="22" t="s">
        <v>5059</v>
      </c>
      <c r="F1443" s="9">
        <f t="shared" si="1"/>
        <v>5</v>
      </c>
      <c r="G1443" s="22" t="s">
        <v>764</v>
      </c>
      <c r="H1443" s="11" t="str">
        <f>IFERROR(__xludf.DUMMYFUNCTION("REGEXREPLACE(G1443, ""[^0-9a-zA-Z .'Ã]"","""")"),"Joseph GordonLevitt")</f>
        <v>Joseph GordonLevitt</v>
      </c>
      <c r="I1443" s="24" t="s">
        <v>5060</v>
      </c>
      <c r="J1443" s="22">
        <v>428916.0</v>
      </c>
      <c r="K1443" s="22" t="s">
        <v>5061</v>
      </c>
      <c r="L1443" s="22">
        <v>667.0</v>
      </c>
      <c r="M1443" s="22" t="s">
        <v>24</v>
      </c>
      <c r="N1443" s="22" t="s">
        <v>25</v>
      </c>
      <c r="O1443" s="23">
        <v>3.0E7</v>
      </c>
      <c r="P1443" s="10">
        <f t="shared" si="2"/>
        <v>36468315</v>
      </c>
      <c r="Q1443" s="12">
        <f t="shared" si="3"/>
        <v>0</v>
      </c>
      <c r="R1443" s="22">
        <v>2012.0</v>
      </c>
      <c r="S1443" s="22">
        <v>7.4</v>
      </c>
    </row>
    <row r="1444" ht="15.75" customHeight="1">
      <c r="A1444" s="21" t="s">
        <v>5062</v>
      </c>
      <c r="B1444" s="8" t="str">
        <f>IFERROR(__xludf.DUMMYFUNCTION("REGEXREPLACE(A1444, ""[^0-9a-zA-Z .'Ã]"","""")"),"Sidney Lumet")</f>
        <v>Sidney Lumet</v>
      </c>
      <c r="C1444" s="22">
        <v>32.0</v>
      </c>
      <c r="D1444" s="23">
        <v>1.3E7</v>
      </c>
      <c r="E1444" s="22" t="s">
        <v>5063</v>
      </c>
      <c r="F1444" s="9">
        <f t="shared" si="1"/>
        <v>5</v>
      </c>
      <c r="G1444" s="22" t="s">
        <v>5064</v>
      </c>
      <c r="H1444" s="11" t="str">
        <f>IFERROR(__xludf.DUMMYFUNCTION("REGEXREPLACE(G1444, ""[^0-9a-zA-Z .'Ã]"","""")"),"Lena Horne")</f>
        <v>Lena Horne</v>
      </c>
      <c r="I1444" s="24" t="s">
        <v>5065</v>
      </c>
      <c r="J1444" s="22">
        <v>10895.0</v>
      </c>
      <c r="K1444" s="22" t="s">
        <v>5066</v>
      </c>
      <c r="L1444" s="22">
        <v>150.0</v>
      </c>
      <c r="M1444" s="22" t="s">
        <v>24</v>
      </c>
      <c r="N1444" s="22" t="s">
        <v>25</v>
      </c>
      <c r="O1444" s="23">
        <v>2.4E7</v>
      </c>
      <c r="P1444" s="10">
        <f t="shared" si="2"/>
        <v>0</v>
      </c>
      <c r="Q1444" s="12">
        <f t="shared" si="3"/>
        <v>11000000</v>
      </c>
      <c r="R1444" s="22">
        <v>1978.0</v>
      </c>
      <c r="S1444" s="22">
        <v>5.2</v>
      </c>
    </row>
    <row r="1445" ht="15.75" customHeight="1">
      <c r="A1445" s="13" t="s">
        <v>5067</v>
      </c>
      <c r="B1445" s="8" t="str">
        <f>IFERROR(__xludf.DUMMYFUNCTION("REGEXREPLACE(A1445, ""[^0-9a-zA-Z .'Ã]"","""")"),"Tommy Lee Wallace")</f>
        <v>Tommy Lee Wallace</v>
      </c>
      <c r="C1445" s="14">
        <v>162.0</v>
      </c>
      <c r="D1445" s="15">
        <v>1.44E7</v>
      </c>
      <c r="E1445" s="14" t="s">
        <v>724</v>
      </c>
      <c r="F1445" s="9">
        <f t="shared" si="1"/>
        <v>3</v>
      </c>
      <c r="G1445" s="14" t="s">
        <v>5068</v>
      </c>
      <c r="H1445" s="11" t="str">
        <f>IFERROR(__xludf.DUMMYFUNCTION("REGEXREPLACE(G1445, ""[^0-9a-zA-Z .'Ã]"","""")"),"Tom Atkins")</f>
        <v>Tom Atkins</v>
      </c>
      <c r="I1445" s="16" t="s">
        <v>5069</v>
      </c>
      <c r="J1445" s="14">
        <v>28589.0</v>
      </c>
      <c r="K1445" s="14" t="s">
        <v>5070</v>
      </c>
      <c r="L1445" s="14">
        <v>532.0</v>
      </c>
      <c r="M1445" s="14" t="s">
        <v>24</v>
      </c>
      <c r="N1445" s="14" t="s">
        <v>25</v>
      </c>
      <c r="O1445" s="15">
        <v>2500000.0</v>
      </c>
      <c r="P1445" s="10">
        <f t="shared" si="2"/>
        <v>11900000</v>
      </c>
      <c r="Q1445" s="12">
        <f t="shared" si="3"/>
        <v>0</v>
      </c>
      <c r="R1445" s="14">
        <v>1982.0</v>
      </c>
      <c r="S1445" s="14">
        <v>4.6</v>
      </c>
    </row>
    <row r="1446" ht="15.75" customHeight="1">
      <c r="A1446" s="29" t="s">
        <v>5071</v>
      </c>
      <c r="B1446" s="8" t="str">
        <f>IFERROR(__xludf.DUMMYFUNCTION("REGEXREPLACE(A1446, ""[^0-9a-zA-Z .'Ã]"","""")"),"James Mather")</f>
        <v>James Mather</v>
      </c>
      <c r="C1446" s="30">
        <v>289.0</v>
      </c>
      <c r="D1446" s="31">
        <v>1.429157E7</v>
      </c>
      <c r="E1446" s="30" t="s">
        <v>794</v>
      </c>
      <c r="F1446" s="9">
        <f t="shared" si="1"/>
        <v>4</v>
      </c>
      <c r="G1446" s="30" t="s">
        <v>4321</v>
      </c>
      <c r="H1446" s="11" t="str">
        <f>IFERROR(__xludf.DUMMYFUNCTION("REGEXREPLACE(G1446, ""[^0-9a-zA-Z .'Ã]"","""")"),"Joseph Gilgun")</f>
        <v>Joseph Gilgun</v>
      </c>
      <c r="I1446" s="32" t="s">
        <v>5072</v>
      </c>
      <c r="J1446" s="30">
        <v>82082.0</v>
      </c>
      <c r="K1446" s="30" t="s">
        <v>5073</v>
      </c>
      <c r="L1446" s="30">
        <v>236.0</v>
      </c>
      <c r="M1446" s="30" t="s">
        <v>24</v>
      </c>
      <c r="N1446" s="30" t="s">
        <v>608</v>
      </c>
      <c r="O1446" s="31">
        <v>2.0E7</v>
      </c>
      <c r="P1446" s="10">
        <f t="shared" si="2"/>
        <v>0</v>
      </c>
      <c r="Q1446" s="12">
        <f t="shared" si="3"/>
        <v>5708430</v>
      </c>
      <c r="R1446" s="30">
        <v>2012.0</v>
      </c>
      <c r="S1446" s="30">
        <v>6.1</v>
      </c>
    </row>
    <row r="1447" ht="15.75" customHeight="1">
      <c r="A1447" s="7" t="s">
        <v>5074</v>
      </c>
      <c r="B1447" s="8" t="str">
        <f>IFERROR(__xludf.DUMMYFUNCTION("REGEXREPLACE(A1447, ""[^0-9a-zA-Z .'Ã]"","""")"),"Charles Robert Carner")</f>
        <v>Charles Robert Carner</v>
      </c>
      <c r="C1447" s="9">
        <v>35.0</v>
      </c>
      <c r="D1447" s="10">
        <v>4131640.0</v>
      </c>
      <c r="E1447" s="9" t="s">
        <v>440</v>
      </c>
      <c r="F1447" s="9">
        <f t="shared" si="1"/>
        <v>2</v>
      </c>
      <c r="G1447" s="9" t="s">
        <v>3982</v>
      </c>
      <c r="H1447" s="11" t="str">
        <f>IFERROR(__xludf.DUMMYFUNCTION("REGEXREPLACE(G1447, ""[^0-9a-zA-Z .'Ã]"","""")"),"Ivana Milicevic")</f>
        <v>Ivana Milicevic</v>
      </c>
      <c r="I1447" s="11" t="s">
        <v>5075</v>
      </c>
      <c r="J1447" s="9">
        <v>5463.0</v>
      </c>
      <c r="K1447" s="9" t="s">
        <v>5076</v>
      </c>
      <c r="L1447" s="9">
        <v>20.0</v>
      </c>
      <c r="M1447" s="9" t="s">
        <v>24</v>
      </c>
      <c r="N1447" s="9" t="s">
        <v>25</v>
      </c>
      <c r="O1447" s="10">
        <v>7500000.0</v>
      </c>
      <c r="P1447" s="10">
        <f t="shared" si="2"/>
        <v>0</v>
      </c>
      <c r="Q1447" s="12">
        <f t="shared" si="3"/>
        <v>3368360</v>
      </c>
      <c r="R1447" s="9">
        <v>2008.0</v>
      </c>
      <c r="S1447" s="9">
        <v>3.1</v>
      </c>
    </row>
    <row r="1448" ht="15.75" customHeight="1">
      <c r="A1448" s="7" t="s">
        <v>5077</v>
      </c>
      <c r="B1448" s="8" t="str">
        <f>IFERROR(__xludf.DUMMYFUNCTION("REGEXREPLACE(A1448, ""[^0-9a-zA-Z .'Ã]"","""")"),"James Wan")</f>
        <v>James Wan</v>
      </c>
      <c r="C1448" s="9">
        <v>511.0</v>
      </c>
      <c r="D1448" s="10">
        <v>1.37387272E8</v>
      </c>
      <c r="E1448" s="9" t="s">
        <v>94</v>
      </c>
      <c r="F1448" s="9">
        <f t="shared" si="1"/>
        <v>3</v>
      </c>
      <c r="G1448" s="9" t="s">
        <v>5078</v>
      </c>
      <c r="H1448" s="11" t="str">
        <f>IFERROR(__xludf.DUMMYFUNCTION("REGEXREPLACE(G1448, ""[^0-9a-zA-Z .'Ã]"","""")"),"Mackenzie Foy")</f>
        <v>Mackenzie Foy</v>
      </c>
      <c r="I1448" s="11" t="s">
        <v>5079</v>
      </c>
      <c r="J1448" s="9">
        <v>300110.0</v>
      </c>
      <c r="K1448" s="9" t="s">
        <v>5080</v>
      </c>
      <c r="L1448" s="9">
        <v>807.0</v>
      </c>
      <c r="M1448" s="9" t="s">
        <v>24</v>
      </c>
      <c r="N1448" s="9" t="s">
        <v>25</v>
      </c>
      <c r="O1448" s="10">
        <v>2.0E7</v>
      </c>
      <c r="P1448" s="10">
        <f t="shared" si="2"/>
        <v>117387272</v>
      </c>
      <c r="Q1448" s="12">
        <f t="shared" si="3"/>
        <v>0</v>
      </c>
      <c r="R1448" s="9">
        <v>2013.0</v>
      </c>
      <c r="S1448" s="9">
        <v>7.5</v>
      </c>
    </row>
    <row r="1449" ht="15.75" customHeight="1">
      <c r="A1449" s="17" t="s">
        <v>5081</v>
      </c>
      <c r="B1449" s="8" t="str">
        <f>IFERROR(__xludf.DUMMYFUNCTION("REGEXREPLACE(A1449, ""[^0-9a-zA-Z .'Ã]"","""")"),"Patricia Rozema")</f>
        <v>Patricia Rozema</v>
      </c>
      <c r="C1449" s="18">
        <v>73.0</v>
      </c>
      <c r="D1449" s="19">
        <v>1.7655201E7</v>
      </c>
      <c r="E1449" s="18" t="s">
        <v>2166</v>
      </c>
      <c r="F1449" s="9">
        <f t="shared" si="1"/>
        <v>2</v>
      </c>
      <c r="G1449" s="18" t="s">
        <v>5082</v>
      </c>
      <c r="H1449" s="11" t="str">
        <f>IFERROR(__xludf.DUMMYFUNCTION("REGEXREPLACE(G1449, ""[^0-9a-zA-Z .'Ã]"","""")"),"Julia Ormond")</f>
        <v>Julia Ormond</v>
      </c>
      <c r="I1449" s="20" t="s">
        <v>5083</v>
      </c>
      <c r="J1449" s="18">
        <v>4719.0</v>
      </c>
      <c r="K1449" s="18" t="s">
        <v>5084</v>
      </c>
      <c r="L1449" s="18">
        <v>24.0</v>
      </c>
      <c r="M1449" s="18" t="s">
        <v>24</v>
      </c>
      <c r="N1449" s="18" t="s">
        <v>25</v>
      </c>
      <c r="O1449" s="19">
        <v>1.0E7</v>
      </c>
      <c r="P1449" s="10">
        <f t="shared" si="2"/>
        <v>7655201</v>
      </c>
      <c r="Q1449" s="12">
        <f t="shared" si="3"/>
        <v>0</v>
      </c>
      <c r="R1449" s="18">
        <v>2008.0</v>
      </c>
      <c r="S1449" s="18">
        <v>6.7</v>
      </c>
    </row>
    <row r="1450" ht="15.75" customHeight="1">
      <c r="A1450" s="17" t="s">
        <v>5085</v>
      </c>
      <c r="B1450" s="8" t="str">
        <f>IFERROR(__xludf.DUMMYFUNCTION("REGEXREPLACE(A1450, ""[^0-9a-zA-Z .'Ã]"","""")"),"Piyush Dinker Pandya")</f>
        <v>Piyush Dinker Pandya</v>
      </c>
      <c r="C1450" s="18">
        <v>9.0</v>
      </c>
      <c r="D1450" s="19">
        <v>902835.0</v>
      </c>
      <c r="E1450" s="18" t="s">
        <v>159</v>
      </c>
      <c r="F1450" s="9">
        <f t="shared" si="1"/>
        <v>3</v>
      </c>
      <c r="G1450" s="18" t="s">
        <v>5086</v>
      </c>
      <c r="H1450" s="11" t="str">
        <f>IFERROR(__xludf.DUMMYFUNCTION("REGEXREPLACE(G1450, ""[^0-9a-zA-Z .'Ã]"","""")"),"Purva Bedi")</f>
        <v>Purva Bedi</v>
      </c>
      <c r="I1450" s="20" t="s">
        <v>5087</v>
      </c>
      <c r="J1450" s="18">
        <v>1489.0</v>
      </c>
      <c r="K1450" s="18" t="s">
        <v>5088</v>
      </c>
      <c r="L1450" s="18">
        <v>40.0</v>
      </c>
      <c r="M1450" s="18" t="s">
        <v>24</v>
      </c>
      <c r="N1450" s="18" t="s">
        <v>25</v>
      </c>
      <c r="O1450" s="19">
        <v>250000.0</v>
      </c>
      <c r="P1450" s="10">
        <f t="shared" si="2"/>
        <v>652835</v>
      </c>
      <c r="Q1450" s="12">
        <f t="shared" si="3"/>
        <v>0</v>
      </c>
      <c r="R1450" s="18">
        <v>2001.0</v>
      </c>
      <c r="S1450" s="18">
        <v>6.7</v>
      </c>
    </row>
    <row r="1451" ht="15.75" customHeight="1">
      <c r="A1451" s="21" t="s">
        <v>3016</v>
      </c>
      <c r="B1451" s="8" t="str">
        <f>IFERROR(__xludf.DUMMYFUNCTION("REGEXREPLACE(A1451, ""[^0-9a-zA-Z .'Ã]"","""")"),"Dean DeBlois")</f>
        <v>Dean DeBlois</v>
      </c>
      <c r="C1451" s="22">
        <v>288.0</v>
      </c>
      <c r="D1451" s="23">
        <v>2.17387997E8</v>
      </c>
      <c r="E1451" s="22" t="s">
        <v>865</v>
      </c>
      <c r="F1451" s="9">
        <f t="shared" si="1"/>
        <v>4</v>
      </c>
      <c r="G1451" s="22" t="s">
        <v>830</v>
      </c>
      <c r="H1451" s="11" t="str">
        <f>IFERROR(__xludf.DUMMYFUNCTION("REGEXREPLACE(G1451, ""[^0-9a-zA-Z .'Ã]"","""")"),"Gerard Butler")</f>
        <v>Gerard Butler</v>
      </c>
      <c r="I1451" s="24" t="s">
        <v>5089</v>
      </c>
      <c r="J1451" s="22">
        <v>485430.0</v>
      </c>
      <c r="K1451" s="22" t="s">
        <v>5090</v>
      </c>
      <c r="L1451" s="22">
        <v>492.0</v>
      </c>
      <c r="M1451" s="22" t="s">
        <v>24</v>
      </c>
      <c r="N1451" s="22" t="s">
        <v>25</v>
      </c>
      <c r="O1451" s="23">
        <v>1.65E8</v>
      </c>
      <c r="P1451" s="10">
        <f t="shared" si="2"/>
        <v>52387997</v>
      </c>
      <c r="Q1451" s="12">
        <f t="shared" si="3"/>
        <v>0</v>
      </c>
      <c r="R1451" s="22">
        <v>2010.0</v>
      </c>
      <c r="S1451" s="22">
        <v>8.2</v>
      </c>
    </row>
    <row r="1452" ht="15.75" customHeight="1">
      <c r="A1452" s="17" t="s">
        <v>5091</v>
      </c>
      <c r="B1452" s="8" t="str">
        <f>IFERROR(__xludf.DUMMYFUNCTION("REGEXREPLACE(A1452, ""[^0-9a-zA-Z .'Ã]"","""")"),"Jonathan Glazer")</f>
        <v>Jonathan Glazer</v>
      </c>
      <c r="C1452" s="18">
        <v>167.0</v>
      </c>
      <c r="D1452" s="19">
        <v>5005883.0</v>
      </c>
      <c r="E1452" s="18" t="s">
        <v>1025</v>
      </c>
      <c r="F1452" s="9">
        <f t="shared" si="1"/>
        <v>4</v>
      </c>
      <c r="G1452" s="18" t="s">
        <v>5092</v>
      </c>
      <c r="H1452" s="11" t="str">
        <f>IFERROR(__xludf.DUMMYFUNCTION("REGEXREPLACE(G1452, ""[^0-9a-zA-Z .'Ã]"","""")"),"Cameron Bright")</f>
        <v>Cameron Bright</v>
      </c>
      <c r="I1452" s="20" t="s">
        <v>5093</v>
      </c>
      <c r="J1452" s="18">
        <v>29649.0</v>
      </c>
      <c r="K1452" s="18" t="s">
        <v>5094</v>
      </c>
      <c r="L1452" s="18">
        <v>361.0</v>
      </c>
      <c r="M1452" s="18" t="s">
        <v>24</v>
      </c>
      <c r="N1452" s="18" t="s">
        <v>25</v>
      </c>
      <c r="O1452" s="19">
        <v>2.0E7</v>
      </c>
      <c r="P1452" s="10">
        <f t="shared" si="2"/>
        <v>0</v>
      </c>
      <c r="Q1452" s="12">
        <f t="shared" si="3"/>
        <v>14994117</v>
      </c>
      <c r="R1452" s="18">
        <v>2004.0</v>
      </c>
      <c r="S1452" s="18">
        <v>6.1</v>
      </c>
    </row>
    <row r="1453" ht="15.75" customHeight="1">
      <c r="A1453" s="17" t="s">
        <v>5095</v>
      </c>
      <c r="B1453" s="8" t="str">
        <f>IFERROR(__xludf.DUMMYFUNCTION("REGEXREPLACE(A1453, ""[^0-9a-zA-Z .'Ã]"","""")"),"Max Joseph")</f>
        <v>Max Joseph</v>
      </c>
      <c r="C1453" s="18">
        <v>158.0</v>
      </c>
      <c r="D1453" s="19">
        <v>3590010.0</v>
      </c>
      <c r="E1453" s="18" t="s">
        <v>734</v>
      </c>
      <c r="F1453" s="9">
        <f t="shared" si="1"/>
        <v>3</v>
      </c>
      <c r="G1453" s="18" t="s">
        <v>5096</v>
      </c>
      <c r="H1453" s="11" t="str">
        <f>IFERROR(__xludf.DUMMYFUNCTION("REGEXREPLACE(G1453, ""[^0-9a-zA-Z .'Ã]"","""")"),"Vanessa Lengies")</f>
        <v>Vanessa Lengies</v>
      </c>
      <c r="I1453" s="20" t="s">
        <v>5097</v>
      </c>
      <c r="J1453" s="18">
        <v>20885.0</v>
      </c>
      <c r="K1453" s="18" t="s">
        <v>5098</v>
      </c>
      <c r="L1453" s="18">
        <v>60.0</v>
      </c>
      <c r="M1453" s="18" t="s">
        <v>24</v>
      </c>
      <c r="N1453" s="18" t="s">
        <v>130</v>
      </c>
      <c r="O1453" s="19">
        <v>2000000.0</v>
      </c>
      <c r="P1453" s="10">
        <f t="shared" si="2"/>
        <v>1590010</v>
      </c>
      <c r="Q1453" s="12">
        <f t="shared" si="3"/>
        <v>0</v>
      </c>
      <c r="R1453" s="18">
        <v>2015.0</v>
      </c>
      <c r="S1453" s="18">
        <v>6.1</v>
      </c>
    </row>
    <row r="1454" ht="15.75" customHeight="1">
      <c r="A1454" s="29" t="s">
        <v>3404</v>
      </c>
      <c r="B1454" s="8" t="str">
        <f>IFERROR(__xludf.DUMMYFUNCTION("REGEXREPLACE(A1454, ""[^0-9a-zA-Z .'Ã]"","""")"),"Neil Jordan")</f>
        <v>Neil Jordan</v>
      </c>
      <c r="C1454" s="30">
        <v>120.0</v>
      </c>
      <c r="D1454" s="31">
        <v>1.05264608E8</v>
      </c>
      <c r="E1454" s="30" t="s">
        <v>5099</v>
      </c>
      <c r="F1454" s="9">
        <f t="shared" si="1"/>
        <v>3</v>
      </c>
      <c r="G1454" s="30" t="s">
        <v>1426</v>
      </c>
      <c r="H1454" s="11" t="str">
        <f>IFERROR(__xludf.DUMMYFUNCTION("REGEXREPLACE(G1454, ""[^0-9a-zA-Z .'Ã]"","""")"),"Brad Pitt")</f>
        <v>Brad Pitt</v>
      </c>
      <c r="I1454" s="32" t="s">
        <v>5100</v>
      </c>
      <c r="J1454" s="30">
        <v>239752.0</v>
      </c>
      <c r="K1454" s="30" t="s">
        <v>5101</v>
      </c>
      <c r="L1454" s="30">
        <v>406.0</v>
      </c>
      <c r="M1454" s="30" t="s">
        <v>24</v>
      </c>
      <c r="N1454" s="30" t="s">
        <v>25</v>
      </c>
      <c r="O1454" s="31">
        <v>6.0E7</v>
      </c>
      <c r="P1454" s="10">
        <f t="shared" si="2"/>
        <v>45264608</v>
      </c>
      <c r="Q1454" s="12">
        <f t="shared" si="3"/>
        <v>0</v>
      </c>
      <c r="R1454" s="30">
        <v>1994.0</v>
      </c>
      <c r="S1454" s="30">
        <v>7.6</v>
      </c>
    </row>
    <row r="1455" ht="15.75" customHeight="1">
      <c r="A1455" s="25" t="s">
        <v>5102</v>
      </c>
      <c r="B1455" s="8" t="str">
        <f>IFERROR(__xludf.DUMMYFUNCTION("REGEXREPLACE(A1455, ""[^0-9a-zA-Z .'Ã]"","""")"),"Jim Hanon")</f>
        <v>Jim Hanon</v>
      </c>
      <c r="C1455" s="26">
        <v>47.0</v>
      </c>
      <c r="D1455" s="27">
        <v>1.1703287E7</v>
      </c>
      <c r="E1455" s="26" t="s">
        <v>892</v>
      </c>
      <c r="F1455" s="9">
        <f t="shared" si="1"/>
        <v>2</v>
      </c>
      <c r="G1455" s="26" t="s">
        <v>5103</v>
      </c>
      <c r="H1455" s="11" t="str">
        <f>IFERROR(__xludf.DUMMYFUNCTION("REGEXREPLACE(G1455, ""[^0-9a-zA-Z .'Ã]"","""")"),"Chase Ellison")</f>
        <v>Chase Ellison</v>
      </c>
      <c r="I1455" s="28" t="s">
        <v>5104</v>
      </c>
      <c r="J1455" s="26">
        <v>4360.0</v>
      </c>
      <c r="K1455" s="26" t="s">
        <v>5105</v>
      </c>
      <c r="L1455" s="26">
        <v>148.0</v>
      </c>
      <c r="M1455" s="26" t="s">
        <v>24</v>
      </c>
      <c r="N1455" s="26" t="s">
        <v>25</v>
      </c>
      <c r="O1455" s="27">
        <v>1.0E7</v>
      </c>
      <c r="P1455" s="10">
        <f t="shared" si="2"/>
        <v>1703287</v>
      </c>
      <c r="Q1455" s="12">
        <f t="shared" si="3"/>
        <v>0</v>
      </c>
      <c r="R1455" s="26">
        <v>2005.0</v>
      </c>
      <c r="S1455" s="26">
        <v>7.0</v>
      </c>
    </row>
    <row r="1456" ht="15.75" customHeight="1">
      <c r="A1456" s="25" t="s">
        <v>5106</v>
      </c>
      <c r="B1456" s="8" t="str">
        <f>IFERROR(__xludf.DUMMYFUNCTION("REGEXREPLACE(A1456, ""[^0-9a-zA-Z .'Ã]"","""")"),"Derek Cianfrance")</f>
        <v>Derek Cianfrance</v>
      </c>
      <c r="C1456" s="26">
        <v>417.0</v>
      </c>
      <c r="D1456" s="27">
        <v>2.1383298E7</v>
      </c>
      <c r="E1456" s="26" t="s">
        <v>113</v>
      </c>
      <c r="F1456" s="9">
        <f t="shared" si="1"/>
        <v>3</v>
      </c>
      <c r="G1456" s="26" t="s">
        <v>224</v>
      </c>
      <c r="H1456" s="11" t="str">
        <f>IFERROR(__xludf.DUMMYFUNCTION("REGEXREPLACE(G1456, ""[^0-9a-zA-Z .'Ã]"","""")"),"Ryan Gosling")</f>
        <v>Ryan Gosling</v>
      </c>
      <c r="I1456" s="28" t="s">
        <v>5107</v>
      </c>
      <c r="J1456" s="26">
        <v>187170.0</v>
      </c>
      <c r="K1456" s="26" t="s">
        <v>5108</v>
      </c>
      <c r="L1456" s="26">
        <v>376.0</v>
      </c>
      <c r="M1456" s="26" t="s">
        <v>24</v>
      </c>
      <c r="N1456" s="26" t="s">
        <v>25</v>
      </c>
      <c r="O1456" s="27">
        <v>1.5E7</v>
      </c>
      <c r="P1456" s="10">
        <f t="shared" si="2"/>
        <v>6383298</v>
      </c>
      <c r="Q1456" s="12">
        <f t="shared" si="3"/>
        <v>0</v>
      </c>
      <c r="R1456" s="26">
        <v>2012.0</v>
      </c>
      <c r="S1456" s="26">
        <v>7.3</v>
      </c>
    </row>
    <row r="1457" ht="15.75" customHeight="1">
      <c r="A1457" s="17" t="s">
        <v>3210</v>
      </c>
      <c r="B1457" s="8" t="str">
        <f>IFERROR(__xludf.DUMMYFUNCTION("REGEXREPLACE(A1457, ""[^0-9a-zA-Z .'Ã]"","""")"),"Preston A. Whitmore II")</f>
        <v>Preston A. Whitmore II</v>
      </c>
      <c r="C1457" s="18">
        <v>25.0</v>
      </c>
      <c r="D1457" s="19">
        <v>7009668.0</v>
      </c>
      <c r="E1457" s="18" t="s">
        <v>5109</v>
      </c>
      <c r="F1457" s="9">
        <f t="shared" si="1"/>
        <v>2</v>
      </c>
      <c r="G1457" s="18" t="s">
        <v>5110</v>
      </c>
      <c r="H1457" s="11" t="str">
        <f>IFERROR(__xludf.DUMMYFUNCTION("REGEXREPLACE(G1457, ""[^0-9a-zA-Z .'Ã]"","""")"),"Wesley Jonathan")</f>
        <v>Wesley Jonathan</v>
      </c>
      <c r="I1457" s="20" t="s">
        <v>5111</v>
      </c>
      <c r="J1457" s="18">
        <v>8707.0</v>
      </c>
      <c r="K1457" s="18" t="s">
        <v>5112</v>
      </c>
      <c r="L1457" s="18">
        <v>36.0</v>
      </c>
      <c r="M1457" s="18" t="s">
        <v>24</v>
      </c>
      <c r="N1457" s="18" t="s">
        <v>25</v>
      </c>
      <c r="O1457" s="19">
        <v>5600000.0</v>
      </c>
      <c r="P1457" s="10">
        <f t="shared" si="2"/>
        <v>1409668</v>
      </c>
      <c r="Q1457" s="12">
        <f t="shared" si="3"/>
        <v>0</v>
      </c>
      <c r="R1457" s="18">
        <v>2006.0</v>
      </c>
      <c r="S1457" s="18">
        <v>2.1</v>
      </c>
    </row>
    <row r="1458" ht="15.75" customHeight="1">
      <c r="A1458" s="17" t="s">
        <v>881</v>
      </c>
      <c r="B1458" s="8" t="str">
        <f>IFERROR(__xludf.DUMMYFUNCTION("REGEXREPLACE(A1458, ""[^0-9a-zA-Z .'Ã]"","""")"),"Terry Gilliam")</f>
        <v>Terry Gilliam</v>
      </c>
      <c r="C1458" s="18">
        <v>292.0</v>
      </c>
      <c r="D1458" s="19">
        <v>7689458.0</v>
      </c>
      <c r="E1458" s="18" t="s">
        <v>5113</v>
      </c>
      <c r="F1458" s="9">
        <f t="shared" si="1"/>
        <v>3</v>
      </c>
      <c r="G1458" s="18" t="s">
        <v>5114</v>
      </c>
      <c r="H1458" s="11" t="str">
        <f>IFERROR(__xludf.DUMMYFUNCTION("REGEXREPLACE(G1458, ""[^0-9a-zA-Z .'Ã]"","""")"),"Andrew Garfield")</f>
        <v>Andrew Garfield</v>
      </c>
      <c r="I1458" s="20" t="s">
        <v>5115</v>
      </c>
      <c r="J1458" s="18">
        <v>126307.0</v>
      </c>
      <c r="K1458" s="18" t="s">
        <v>5116</v>
      </c>
      <c r="L1458" s="18">
        <v>210.0</v>
      </c>
      <c r="M1458" s="18" t="s">
        <v>24</v>
      </c>
      <c r="N1458" s="18" t="s">
        <v>130</v>
      </c>
      <c r="O1458" s="19">
        <v>4.0E7</v>
      </c>
      <c r="P1458" s="10">
        <f t="shared" si="2"/>
        <v>0</v>
      </c>
      <c r="Q1458" s="12">
        <f t="shared" si="3"/>
        <v>32310542</v>
      </c>
      <c r="R1458" s="18">
        <v>2009.0</v>
      </c>
      <c r="S1458" s="18">
        <v>6.8</v>
      </c>
    </row>
    <row r="1459" ht="15.75" customHeight="1">
      <c r="A1459" s="7" t="s">
        <v>5117</v>
      </c>
      <c r="B1459" s="8" t="str">
        <f>IFERROR(__xludf.DUMMYFUNCTION("REGEXREPLACE(A1459, ""[^0-9a-zA-Z .'Ã]"","""")"),"Xavier Beauvois")</f>
        <v>Xavier Beauvois</v>
      </c>
      <c r="C1459" s="9">
        <v>195.0</v>
      </c>
      <c r="D1459" s="10">
        <v>3950029.0</v>
      </c>
      <c r="E1459" s="9" t="s">
        <v>103</v>
      </c>
      <c r="F1459" s="9">
        <f t="shared" si="1"/>
        <v>1</v>
      </c>
      <c r="G1459" s="9" t="s">
        <v>5118</v>
      </c>
      <c r="H1459" s="11" t="str">
        <f>IFERROR(__xludf.DUMMYFUNCTION("REGEXREPLACE(G1459, ""[^0-9a-zA-Z .'Ã]"","""")"),"Lambert Wilson")</f>
        <v>Lambert Wilson</v>
      </c>
      <c r="I1459" s="11" t="s">
        <v>5119</v>
      </c>
      <c r="J1459" s="9">
        <v>12411.0</v>
      </c>
      <c r="K1459" s="9" t="s">
        <v>5120</v>
      </c>
      <c r="L1459" s="9">
        <v>89.0</v>
      </c>
      <c r="M1459" s="9" t="s">
        <v>658</v>
      </c>
      <c r="N1459" s="9" t="s">
        <v>608</v>
      </c>
      <c r="O1459" s="10">
        <v>4000000.0</v>
      </c>
      <c r="P1459" s="10">
        <f t="shared" si="2"/>
        <v>0</v>
      </c>
      <c r="Q1459" s="12">
        <f t="shared" si="3"/>
        <v>49971</v>
      </c>
      <c r="R1459" s="9">
        <v>2010.0</v>
      </c>
      <c r="S1459" s="9">
        <v>7.2</v>
      </c>
    </row>
    <row r="1460" ht="15.75" customHeight="1">
      <c r="A1460" s="7" t="s">
        <v>1682</v>
      </c>
      <c r="B1460" s="8" t="str">
        <f>IFERROR(__xludf.DUMMYFUNCTION("REGEXREPLACE(A1460, ""[^0-9a-zA-Z .'Ã]"","""")"),"Paul W.S. Anderson")</f>
        <v>Paul W.S. Anderson</v>
      </c>
      <c r="C1460" s="9">
        <v>226.0</v>
      </c>
      <c r="D1460" s="10">
        <v>3.9532308E7</v>
      </c>
      <c r="E1460" s="9" t="s">
        <v>2417</v>
      </c>
      <c r="F1460" s="9">
        <f t="shared" si="1"/>
        <v>3</v>
      </c>
      <c r="G1460" s="9" t="s">
        <v>65</v>
      </c>
      <c r="H1460" s="11" t="str">
        <f>IFERROR(__xludf.DUMMYFUNCTION("REGEXREPLACE(G1460, ""[^0-9a-zA-Z .'Ã]"","""")"),"Milla Jovovich")</f>
        <v>Milla Jovovich</v>
      </c>
      <c r="I1460" s="11" t="s">
        <v>5121</v>
      </c>
      <c r="J1460" s="9">
        <v>198701.0</v>
      </c>
      <c r="K1460" s="9" t="s">
        <v>5122</v>
      </c>
      <c r="L1460" s="9">
        <v>1138.0</v>
      </c>
      <c r="M1460" s="9" t="s">
        <v>24</v>
      </c>
      <c r="N1460" s="9" t="s">
        <v>130</v>
      </c>
      <c r="O1460" s="10">
        <v>3.3E7</v>
      </c>
      <c r="P1460" s="10">
        <f t="shared" si="2"/>
        <v>6532308</v>
      </c>
      <c r="Q1460" s="12">
        <f t="shared" si="3"/>
        <v>0</v>
      </c>
      <c r="R1460" s="9">
        <v>2002.0</v>
      </c>
      <c r="S1460" s="9">
        <v>6.7</v>
      </c>
    </row>
    <row r="1461" ht="15.75" customHeight="1">
      <c r="A1461" s="7" t="s">
        <v>756</v>
      </c>
      <c r="B1461" s="8" t="str">
        <f>IFERROR(__xludf.DUMMYFUNCTION("REGEXREPLACE(A1461, ""[^0-9a-zA-Z .'Ã]"","""")"),"Adam Shankman")</f>
        <v>Adam Shankman</v>
      </c>
      <c r="C1461" s="9">
        <v>121.0</v>
      </c>
      <c r="D1461" s="10">
        <v>1.32541238E8</v>
      </c>
      <c r="E1461" s="9" t="s">
        <v>137</v>
      </c>
      <c r="F1461" s="9">
        <f t="shared" si="1"/>
        <v>1</v>
      </c>
      <c r="G1461" s="9" t="s">
        <v>5123</v>
      </c>
      <c r="H1461" s="11" t="str">
        <f>IFERROR(__xludf.DUMMYFUNCTION("REGEXREPLACE(G1461, ""[^0-9a-zA-Z .'Ã]"","""")"),"Angus T. Jones")</f>
        <v>Angus T. Jones</v>
      </c>
      <c r="I1461" s="11" t="s">
        <v>5124</v>
      </c>
      <c r="J1461" s="9">
        <v>30058.0</v>
      </c>
      <c r="K1461" s="9" t="s">
        <v>5125</v>
      </c>
      <c r="L1461" s="9">
        <v>236.0</v>
      </c>
      <c r="M1461" s="9" t="s">
        <v>24</v>
      </c>
      <c r="N1461" s="9" t="s">
        <v>25</v>
      </c>
      <c r="O1461" s="10">
        <v>3.3E7</v>
      </c>
      <c r="P1461" s="10">
        <f t="shared" si="2"/>
        <v>99541238</v>
      </c>
      <c r="Q1461" s="12">
        <f t="shared" si="3"/>
        <v>0</v>
      </c>
      <c r="R1461" s="9">
        <v>2003.0</v>
      </c>
      <c r="S1461" s="9">
        <v>5.5</v>
      </c>
    </row>
    <row r="1462" ht="15.75" customHeight="1">
      <c r="A1462" s="25" t="s">
        <v>5126</v>
      </c>
      <c r="B1462" s="8" t="str">
        <f>IFERROR(__xludf.DUMMYFUNCTION("REGEXREPLACE(A1462, ""[^0-9a-zA-Z .'Ã]"","""")"),"Clark Johnson")</f>
        <v>Clark Johnson</v>
      </c>
      <c r="C1462" s="26">
        <v>161.0</v>
      </c>
      <c r="D1462" s="27">
        <v>3.627923E7</v>
      </c>
      <c r="E1462" s="26" t="s">
        <v>152</v>
      </c>
      <c r="F1462" s="9">
        <f t="shared" si="1"/>
        <v>3</v>
      </c>
      <c r="G1462" s="26" t="s">
        <v>5127</v>
      </c>
      <c r="H1462" s="11" t="str">
        <f>IFERROR(__xludf.DUMMYFUNCTION("REGEXREPLACE(G1462, ""[^0-9a-zA-Z .'Ã]"","""")"),"Blair Brown")</f>
        <v>Blair Brown</v>
      </c>
      <c r="I1462" s="28" t="s">
        <v>5128</v>
      </c>
      <c r="J1462" s="26">
        <v>42144.0</v>
      </c>
      <c r="K1462" s="26" t="s">
        <v>5129</v>
      </c>
      <c r="L1462" s="26">
        <v>213.0</v>
      </c>
      <c r="M1462" s="26" t="s">
        <v>24</v>
      </c>
      <c r="N1462" s="26" t="s">
        <v>25</v>
      </c>
      <c r="O1462" s="27">
        <v>6.0E7</v>
      </c>
      <c r="P1462" s="10">
        <f t="shared" si="2"/>
        <v>0</v>
      </c>
      <c r="Q1462" s="12">
        <f t="shared" si="3"/>
        <v>23720770</v>
      </c>
      <c r="R1462" s="26">
        <v>2006.0</v>
      </c>
      <c r="S1462" s="26">
        <v>6.1</v>
      </c>
    </row>
    <row r="1463" ht="15.75" customHeight="1">
      <c r="A1463" s="21" t="s">
        <v>2490</v>
      </c>
      <c r="B1463" s="8" t="str">
        <f>IFERROR(__xludf.DUMMYFUNCTION("REGEXREPLACE(A1463, ""[^0-9a-zA-Z .'Ã]"","""")"),"David Frankel")</f>
        <v>David Frankel</v>
      </c>
      <c r="C1463" s="22">
        <v>208.0</v>
      </c>
      <c r="D1463" s="23">
        <v>1.24732962E8</v>
      </c>
      <c r="E1463" s="22" t="s">
        <v>159</v>
      </c>
      <c r="F1463" s="9">
        <f t="shared" si="1"/>
        <v>3</v>
      </c>
      <c r="G1463" s="22" t="s">
        <v>1941</v>
      </c>
      <c r="H1463" s="11" t="str">
        <f>IFERROR(__xludf.DUMMYFUNCTION("REGEXREPLACE(G1463, ""[^0-9a-zA-Z .'Ã]"","""")"),"Meryl Streep")</f>
        <v>Meryl Streep</v>
      </c>
      <c r="I1463" s="24" t="s">
        <v>5130</v>
      </c>
      <c r="J1463" s="22">
        <v>286178.0</v>
      </c>
      <c r="K1463" s="22" t="s">
        <v>5131</v>
      </c>
      <c r="L1463" s="22">
        <v>631.0</v>
      </c>
      <c r="M1463" s="22" t="s">
        <v>24</v>
      </c>
      <c r="N1463" s="22" t="s">
        <v>25</v>
      </c>
      <c r="O1463" s="23">
        <v>3.5E7</v>
      </c>
      <c r="P1463" s="10">
        <f t="shared" si="2"/>
        <v>89732962</v>
      </c>
      <c r="Q1463" s="12">
        <f t="shared" si="3"/>
        <v>0</v>
      </c>
      <c r="R1463" s="22">
        <v>2006.0</v>
      </c>
      <c r="S1463" s="22">
        <v>6.8</v>
      </c>
    </row>
    <row r="1464" ht="15.75" customHeight="1">
      <c r="A1464" s="7" t="s">
        <v>5132</v>
      </c>
      <c r="B1464" s="8" t="str">
        <f>IFERROR(__xludf.DUMMYFUNCTION("REGEXREPLACE(A1464, ""[^0-9a-zA-Z -.'Ã]"","""")"),"AndrÃ Ãvredal")</f>
        <v>AndrÃ Ãvredal</v>
      </c>
      <c r="C1464" s="9">
        <v>337.0</v>
      </c>
      <c r="D1464" s="10">
        <v>252652.0</v>
      </c>
      <c r="E1464" s="9" t="s">
        <v>5133</v>
      </c>
      <c r="F1464" s="9">
        <f t="shared" si="1"/>
        <v>4</v>
      </c>
      <c r="G1464" s="9" t="s">
        <v>5134</v>
      </c>
      <c r="H1464" s="11" t="str">
        <f>IFERROR(__xludf.DUMMYFUNCTION("REGEXREPLACE(G1464, ""[^0-9a-zA-Z .'Ã]"","""")"),"Otto Jespersen")</f>
        <v>Otto Jespersen</v>
      </c>
      <c r="I1464" s="11" t="s">
        <v>5135</v>
      </c>
      <c r="J1464" s="9">
        <v>54104.0</v>
      </c>
      <c r="K1464" s="9" t="s">
        <v>5136</v>
      </c>
      <c r="L1464" s="9">
        <v>199.0</v>
      </c>
      <c r="M1464" s="9" t="s">
        <v>5137</v>
      </c>
      <c r="N1464" s="9" t="s">
        <v>5138</v>
      </c>
      <c r="O1464" s="10">
        <v>1.99E7</v>
      </c>
      <c r="P1464" s="10">
        <f t="shared" si="2"/>
        <v>0</v>
      </c>
      <c r="Q1464" s="12">
        <f t="shared" si="3"/>
        <v>19647348</v>
      </c>
      <c r="R1464" s="9">
        <v>2010.0</v>
      </c>
      <c r="S1464" s="9">
        <v>7.0</v>
      </c>
    </row>
    <row r="1465" ht="15.75" customHeight="1">
      <c r="A1465" s="17" t="s">
        <v>2097</v>
      </c>
      <c r="B1465" s="8" t="str">
        <f>IFERROR(__xludf.DUMMYFUNCTION("REGEXREPLACE(A1465, ""[^0-9a-zA-Z .'Ã]"","""")"),"Dennis Dugan")</f>
        <v>Dennis Dugan</v>
      </c>
      <c r="C1465" s="18">
        <v>156.0</v>
      </c>
      <c r="D1465" s="19">
        <v>7.4158157E7</v>
      </c>
      <c r="E1465" s="18" t="s">
        <v>137</v>
      </c>
      <c r="F1465" s="9">
        <f t="shared" si="1"/>
        <v>1</v>
      </c>
      <c r="G1465" s="18" t="s">
        <v>317</v>
      </c>
      <c r="H1465" s="11" t="str">
        <f>IFERROR(__xludf.DUMMYFUNCTION("REGEXREPLACE(G1465, ""[^0-9a-zA-Z .'Ã]"","""")"),"Al Pacino")</f>
        <v>Al Pacino</v>
      </c>
      <c r="I1465" s="20" t="s">
        <v>5139</v>
      </c>
      <c r="J1465" s="18">
        <v>60370.0</v>
      </c>
      <c r="K1465" s="18" t="s">
        <v>5140</v>
      </c>
      <c r="L1465" s="18">
        <v>264.0</v>
      </c>
      <c r="M1465" s="18" t="s">
        <v>24</v>
      </c>
      <c r="N1465" s="18" t="s">
        <v>25</v>
      </c>
      <c r="O1465" s="19">
        <v>7.9E7</v>
      </c>
      <c r="P1465" s="10">
        <f t="shared" si="2"/>
        <v>0</v>
      </c>
      <c r="Q1465" s="12">
        <f t="shared" si="3"/>
        <v>4841843</v>
      </c>
      <c r="R1465" s="18">
        <v>2011.0</v>
      </c>
      <c r="S1465" s="18">
        <v>3.4</v>
      </c>
    </row>
    <row r="1466" ht="15.75" customHeight="1">
      <c r="A1466" s="21" t="s">
        <v>5141</v>
      </c>
      <c r="B1466" s="8" t="str">
        <f>IFERROR(__xludf.DUMMYFUNCTION("REGEXREPLACE(A1466, ""[^0-9a-zA-Z .'Ã]"","""")"),"Cory Edwards")</f>
        <v>Cory Edwards</v>
      </c>
      <c r="C1466" s="22">
        <v>142.0</v>
      </c>
      <c r="D1466" s="23">
        <v>5.1053787E7</v>
      </c>
      <c r="E1466" s="22" t="s">
        <v>5142</v>
      </c>
      <c r="F1466" s="9">
        <f t="shared" si="1"/>
        <v>5</v>
      </c>
      <c r="G1466" s="22" t="s">
        <v>419</v>
      </c>
      <c r="H1466" s="11" t="str">
        <f>IFERROR(__xludf.DUMMYFUNCTION("REGEXREPLACE(G1466, ""[^0-9a-zA-Z .'Ã]"","""")"),"Anne Hathaway")</f>
        <v>Anne Hathaway</v>
      </c>
      <c r="I1466" s="24" t="s">
        <v>5143</v>
      </c>
      <c r="J1466" s="22">
        <v>45900.0</v>
      </c>
      <c r="K1466" s="22" t="s">
        <v>5144</v>
      </c>
      <c r="L1466" s="22">
        <v>247.0</v>
      </c>
      <c r="M1466" s="22" t="s">
        <v>24</v>
      </c>
      <c r="N1466" s="22" t="s">
        <v>25</v>
      </c>
      <c r="O1466" s="23">
        <v>1.75E7</v>
      </c>
      <c r="P1466" s="10">
        <f t="shared" si="2"/>
        <v>33553787</v>
      </c>
      <c r="Q1466" s="12">
        <f t="shared" si="3"/>
        <v>0</v>
      </c>
      <c r="R1466" s="22">
        <v>2005.0</v>
      </c>
      <c r="S1466" s="22">
        <v>6.5</v>
      </c>
    </row>
    <row r="1467" ht="15.75" customHeight="1">
      <c r="A1467" s="17" t="s">
        <v>3467</v>
      </c>
      <c r="B1467" s="8" t="str">
        <f>IFERROR(__xludf.DUMMYFUNCTION("REGEXREPLACE(A1467, ""[^0-9a-zA-Z -.'Ã]"","""")"),"Lasse HallstrÃm")</f>
        <v>Lasse HallstrÃm</v>
      </c>
      <c r="C1467" s="18">
        <v>184.0</v>
      </c>
      <c r="D1467" s="19">
        <v>7.134693E7</v>
      </c>
      <c r="E1467" s="18" t="s">
        <v>1854</v>
      </c>
      <c r="F1467" s="9">
        <f t="shared" si="1"/>
        <v>3</v>
      </c>
      <c r="G1467" s="18" t="s">
        <v>5145</v>
      </c>
      <c r="H1467" s="11" t="str">
        <f>IFERROR(__xludf.DUMMYFUNCTION("REGEXREPLACE(G1467, ""[^0-9a-zA-Z .'Ã]"","""")"),"David Lyons")</f>
        <v>David Lyons</v>
      </c>
      <c r="I1467" s="20" t="s">
        <v>5146</v>
      </c>
      <c r="J1467" s="18">
        <v>78008.0</v>
      </c>
      <c r="K1467" s="18" t="s">
        <v>5147</v>
      </c>
      <c r="L1467" s="18">
        <v>160.0</v>
      </c>
      <c r="M1467" s="18" t="s">
        <v>24</v>
      </c>
      <c r="N1467" s="18" t="s">
        <v>25</v>
      </c>
      <c r="O1467" s="19">
        <v>2.8E7</v>
      </c>
      <c r="P1467" s="10">
        <f t="shared" si="2"/>
        <v>43346930</v>
      </c>
      <c r="Q1467" s="12">
        <f t="shared" si="3"/>
        <v>0</v>
      </c>
      <c r="R1467" s="18">
        <v>2013.0</v>
      </c>
      <c r="S1467" s="18">
        <v>6.7</v>
      </c>
    </row>
    <row r="1468" ht="15.75" customHeight="1">
      <c r="A1468" s="7" t="s">
        <v>5148</v>
      </c>
      <c r="B1468" s="8" t="str">
        <f>IFERROR(__xludf.DUMMYFUNCTION("REGEXREPLACE(A1468, ""[^0-9a-zA-Z .'Ã]"","""")"),"Guillaume Canet")</f>
        <v>Guillaume Canet</v>
      </c>
      <c r="C1468" s="9">
        <v>91.0</v>
      </c>
      <c r="D1468" s="10">
        <v>41229.0</v>
      </c>
      <c r="E1468" s="9" t="s">
        <v>113</v>
      </c>
      <c r="F1468" s="9">
        <f t="shared" si="1"/>
        <v>3</v>
      </c>
      <c r="G1468" s="9" t="s">
        <v>4748</v>
      </c>
      <c r="H1468" s="11" t="str">
        <f>IFERROR(__xludf.DUMMYFUNCTION("REGEXREPLACE(G1468, ""[^0-9a-zA-Z .'Ã]"","""")"),"Mila Kunis")</f>
        <v>Mila Kunis</v>
      </c>
      <c r="I1468" s="11" t="s">
        <v>5149</v>
      </c>
      <c r="J1468" s="9">
        <v>14612.0</v>
      </c>
      <c r="K1468" s="9" t="s">
        <v>5150</v>
      </c>
      <c r="L1468" s="9">
        <v>41.0</v>
      </c>
      <c r="M1468" s="9" t="s">
        <v>24</v>
      </c>
      <c r="N1468" s="9" t="s">
        <v>608</v>
      </c>
      <c r="O1468" s="10">
        <v>2.55E7</v>
      </c>
      <c r="P1468" s="10">
        <f t="shared" si="2"/>
        <v>0</v>
      </c>
      <c r="Q1468" s="12">
        <f t="shared" si="3"/>
        <v>25458771</v>
      </c>
      <c r="R1468" s="9">
        <v>2013.0</v>
      </c>
      <c r="S1468" s="9">
        <v>6.5</v>
      </c>
    </row>
    <row r="1469" ht="15.75" customHeight="1">
      <c r="A1469" s="7" t="s">
        <v>2808</v>
      </c>
      <c r="B1469" s="8" t="str">
        <f>IFERROR(__xludf.DUMMYFUNCTION("REGEXREPLACE(A1469, ""[^0-9a-zA-Z .'Ã]"","""")"),"Paul Verhoeven")</f>
        <v>Paul Verhoeven</v>
      </c>
      <c r="C1469" s="9">
        <v>181.0</v>
      </c>
      <c r="D1469" s="10">
        <v>2.0302961E7</v>
      </c>
      <c r="E1469" s="9" t="s">
        <v>103</v>
      </c>
      <c r="F1469" s="9">
        <f t="shared" si="1"/>
        <v>1</v>
      </c>
      <c r="G1469" s="9" t="s">
        <v>5151</v>
      </c>
      <c r="H1469" s="11" t="str">
        <f>IFERROR(__xludf.DUMMYFUNCTION("REGEXREPLACE(G1469, ""[^0-9a-zA-Z .'Ã]"","""")"),"Bobbie Phillips")</f>
        <v>Bobbie Phillips</v>
      </c>
      <c r="I1469" s="11" t="s">
        <v>5152</v>
      </c>
      <c r="J1469" s="9">
        <v>49874.0</v>
      </c>
      <c r="K1469" s="9" t="s">
        <v>5153</v>
      </c>
      <c r="L1469" s="9">
        <v>450.0</v>
      </c>
      <c r="M1469" s="9" t="s">
        <v>24</v>
      </c>
      <c r="N1469" s="9" t="s">
        <v>608</v>
      </c>
      <c r="O1469" s="10">
        <v>4.5E7</v>
      </c>
      <c r="P1469" s="10">
        <f t="shared" si="2"/>
        <v>0</v>
      </c>
      <c r="Q1469" s="12">
        <f t="shared" si="3"/>
        <v>24697039</v>
      </c>
      <c r="R1469" s="9">
        <v>1995.0</v>
      </c>
      <c r="S1469" s="9">
        <v>4.6</v>
      </c>
    </row>
    <row r="1470" ht="15.75" customHeight="1">
      <c r="A1470" s="7" t="s">
        <v>5154</v>
      </c>
      <c r="B1470" s="8" t="str">
        <f>IFERROR(__xludf.DUMMYFUNCTION("REGEXREPLACE(A1470, ""[^0-9a-zA-Z -.'Ã]"","""")"),"Roland JoffÃ")</f>
        <v>Roland JoffÃ</v>
      </c>
      <c r="C1470" s="9">
        <v>34.0</v>
      </c>
      <c r="D1470" s="10">
        <v>1.04E7</v>
      </c>
      <c r="E1470" s="9" t="s">
        <v>232</v>
      </c>
      <c r="F1470" s="9">
        <f t="shared" si="1"/>
        <v>2</v>
      </c>
      <c r="G1470" s="9" t="s">
        <v>772</v>
      </c>
      <c r="H1470" s="11" t="str">
        <f>IFERROR(__xludf.DUMMYFUNCTION("REGEXREPLACE(G1470, ""[^0-9a-zA-Z .'Ã]"","""")"),"Gary Oldman")</f>
        <v>Gary Oldman</v>
      </c>
      <c r="I1470" s="11" t="s">
        <v>5155</v>
      </c>
      <c r="J1470" s="9">
        <v>12037.0</v>
      </c>
      <c r="K1470" s="9" t="s">
        <v>5156</v>
      </c>
      <c r="L1470" s="9">
        <v>90.0</v>
      </c>
      <c r="M1470" s="9" t="s">
        <v>24</v>
      </c>
      <c r="N1470" s="9" t="s">
        <v>25</v>
      </c>
      <c r="O1470" s="10">
        <v>5.0E7</v>
      </c>
      <c r="P1470" s="10">
        <f t="shared" si="2"/>
        <v>0</v>
      </c>
      <c r="Q1470" s="12">
        <f t="shared" si="3"/>
        <v>39600000</v>
      </c>
      <c r="R1470" s="9">
        <v>1995.0</v>
      </c>
      <c r="S1470" s="9">
        <v>5.1</v>
      </c>
    </row>
    <row r="1471" ht="15.75" customHeight="1">
      <c r="A1471" s="17" t="s">
        <v>3740</v>
      </c>
      <c r="B1471" s="8" t="str">
        <f>IFERROR(__xludf.DUMMYFUNCTION("REGEXREPLACE(A1471, ""[^0-9a-zA-Z .'Ã]"","""")"),"Sam Mendes")</f>
        <v>Sam Mendes</v>
      </c>
      <c r="C1471" s="18">
        <v>217.0</v>
      </c>
      <c r="D1471" s="19">
        <v>9430988.0</v>
      </c>
      <c r="E1471" s="18" t="s">
        <v>159</v>
      </c>
      <c r="F1471" s="9">
        <f t="shared" si="1"/>
        <v>3</v>
      </c>
      <c r="G1471" s="18" t="s">
        <v>5157</v>
      </c>
      <c r="H1471" s="11" t="str">
        <f>IFERROR(__xludf.DUMMYFUNCTION("REGEXREPLACE(G1471, ""[^0-9a-zA-Z .'Ã]"","""")"),"Catherine O'Hara")</f>
        <v>Catherine O'Hara</v>
      </c>
      <c r="I1471" s="20" t="s">
        <v>5158</v>
      </c>
      <c r="J1471" s="18">
        <v>45992.0</v>
      </c>
      <c r="K1471" s="18" t="s">
        <v>5159</v>
      </c>
      <c r="L1471" s="18">
        <v>115.0</v>
      </c>
      <c r="M1471" s="18" t="s">
        <v>24</v>
      </c>
      <c r="N1471" s="18" t="s">
        <v>25</v>
      </c>
      <c r="O1471" s="19">
        <v>1.7E7</v>
      </c>
      <c r="P1471" s="10">
        <f t="shared" si="2"/>
        <v>0</v>
      </c>
      <c r="Q1471" s="12">
        <f t="shared" si="3"/>
        <v>7569012</v>
      </c>
      <c r="R1471" s="18">
        <v>2009.0</v>
      </c>
      <c r="S1471" s="18">
        <v>7.1</v>
      </c>
    </row>
    <row r="1472" ht="15.75" customHeight="1">
      <c r="A1472" s="7" t="s">
        <v>3988</v>
      </c>
      <c r="B1472" s="8" t="str">
        <f>IFERROR(__xludf.DUMMYFUNCTION("REGEXREPLACE(A1472, ""[^0-9a-zA-Z .'Ã]"","""")"),"Rob Reiner")</f>
        <v>Rob Reiner</v>
      </c>
      <c r="C1472" s="9">
        <v>31.0</v>
      </c>
      <c r="D1472" s="10">
        <v>1.3052741E7</v>
      </c>
      <c r="E1472" s="9" t="s">
        <v>213</v>
      </c>
      <c r="F1472" s="9">
        <f t="shared" si="1"/>
        <v>2</v>
      </c>
      <c r="G1472" s="9" t="s">
        <v>2380</v>
      </c>
      <c r="H1472" s="11" t="str">
        <f>IFERROR(__xludf.DUMMYFUNCTION("REGEXREPLACE(G1472, ""[^0-9a-zA-Z .'Ã]"","""")"),"Alexa PenaVega")</f>
        <v>Alexa PenaVega</v>
      </c>
      <c r="I1472" s="11" t="s">
        <v>5160</v>
      </c>
      <c r="J1472" s="9">
        <v>8531.0</v>
      </c>
      <c r="K1472" s="9" t="s">
        <v>5161</v>
      </c>
      <c r="L1472" s="9">
        <v>57.0</v>
      </c>
      <c r="M1472" s="9" t="s">
        <v>24</v>
      </c>
      <c r="N1472" s="9" t="s">
        <v>25</v>
      </c>
      <c r="O1472" s="10">
        <v>3.6E7</v>
      </c>
      <c r="P1472" s="10">
        <f t="shared" si="2"/>
        <v>0</v>
      </c>
      <c r="Q1472" s="12">
        <f t="shared" si="3"/>
        <v>22947259</v>
      </c>
      <c r="R1472" s="9">
        <v>1996.0</v>
      </c>
      <c r="S1472" s="9">
        <v>6.7</v>
      </c>
    </row>
    <row r="1473" ht="15.75" customHeight="1">
      <c r="A1473" s="17" t="s">
        <v>1224</v>
      </c>
      <c r="B1473" s="8" t="str">
        <f>IFERROR(__xludf.DUMMYFUNCTION("REGEXREPLACE(A1473, ""[^0-9a-zA-Z .'Ã]"","""")"),"Norman Jewison")</f>
        <v>Norman Jewison</v>
      </c>
      <c r="C1473" s="18">
        <v>54.0</v>
      </c>
      <c r="D1473" s="19">
        <v>763044.0</v>
      </c>
      <c r="E1473" s="18" t="s">
        <v>369</v>
      </c>
      <c r="F1473" s="9">
        <f t="shared" si="1"/>
        <v>2</v>
      </c>
      <c r="G1473" s="18" t="s">
        <v>5162</v>
      </c>
      <c r="H1473" s="11" t="str">
        <f>IFERROR(__xludf.DUMMYFUNCTION("REGEXREPLACE(G1473, ""[^0-9a-zA-Z .'Ã]"","""")"),"Charlotte Rampling")</f>
        <v>Charlotte Rampling</v>
      </c>
      <c r="I1473" s="20" t="s">
        <v>5163</v>
      </c>
      <c r="J1473" s="18">
        <v>4257.0</v>
      </c>
      <c r="K1473" s="18" t="s">
        <v>5164</v>
      </c>
      <c r="L1473" s="18">
        <v>52.0</v>
      </c>
      <c r="M1473" s="18" t="s">
        <v>24</v>
      </c>
      <c r="N1473" s="18" t="s">
        <v>624</v>
      </c>
      <c r="O1473" s="19">
        <v>2.3E7</v>
      </c>
      <c r="P1473" s="10">
        <f t="shared" si="2"/>
        <v>0</v>
      </c>
      <c r="Q1473" s="12">
        <f t="shared" si="3"/>
        <v>22236956</v>
      </c>
      <c r="R1473" s="18">
        <v>2003.0</v>
      </c>
      <c r="S1473" s="18">
        <v>6.2</v>
      </c>
    </row>
    <row r="1474" ht="15.75" customHeight="1">
      <c r="A1474" s="13" t="s">
        <v>5165</v>
      </c>
      <c r="B1474" s="8" t="str">
        <f>IFERROR(__xludf.DUMMYFUNCTION("REGEXREPLACE(A1474, ""[^0-9a-zA-Z .'Ã]"","""")"),"Christian Alvart")</f>
        <v>Christian Alvart</v>
      </c>
      <c r="C1474" s="14">
        <v>219.0</v>
      </c>
      <c r="D1474" s="15">
        <v>1.0326062E7</v>
      </c>
      <c r="E1474" s="14" t="s">
        <v>5166</v>
      </c>
      <c r="F1474" s="9">
        <f t="shared" si="1"/>
        <v>5</v>
      </c>
      <c r="G1474" s="14" t="s">
        <v>1665</v>
      </c>
      <c r="H1474" s="11" t="str">
        <f>IFERROR(__xludf.DUMMYFUNCTION("REGEXREPLACE(G1474, ""[^0-9a-zA-Z .'Ã]"","""")"),"Norman Reedus")</f>
        <v>Norman Reedus</v>
      </c>
      <c r="I1474" s="16" t="s">
        <v>5167</v>
      </c>
      <c r="J1474" s="14">
        <v>121432.0</v>
      </c>
      <c r="K1474" s="14" t="s">
        <v>5168</v>
      </c>
      <c r="L1474" s="14">
        <v>310.0</v>
      </c>
      <c r="M1474" s="14" t="s">
        <v>24</v>
      </c>
      <c r="N1474" s="14" t="s">
        <v>173</v>
      </c>
      <c r="O1474" s="15">
        <v>3.3E7</v>
      </c>
      <c r="P1474" s="10">
        <f t="shared" si="2"/>
        <v>0</v>
      </c>
      <c r="Q1474" s="12">
        <f t="shared" si="3"/>
        <v>22673938</v>
      </c>
      <c r="R1474" s="14">
        <v>2009.0</v>
      </c>
      <c r="S1474" s="14">
        <v>6.8</v>
      </c>
    </row>
    <row r="1475" ht="15.75" customHeight="1">
      <c r="A1475" s="21" t="s">
        <v>473</v>
      </c>
      <c r="B1475" s="8" t="str">
        <f>IFERROR(__xludf.DUMMYFUNCTION("REGEXREPLACE(A1475, ""[^0-9a-zA-Z .'Ã]"","""")"),"John McTiernan")</f>
        <v>John McTiernan</v>
      </c>
      <c r="C1475" s="22">
        <v>152.0</v>
      </c>
      <c r="D1475" s="23">
        <v>6.9304264E7</v>
      </c>
      <c r="E1475" s="22" t="s">
        <v>5169</v>
      </c>
      <c r="F1475" s="9">
        <f t="shared" si="1"/>
        <v>3</v>
      </c>
      <c r="G1475" s="22" t="s">
        <v>5170</v>
      </c>
      <c r="H1475" s="11" t="str">
        <f>IFERROR(__xludf.DUMMYFUNCTION("REGEXREPLACE(G1475, ""[^0-9a-zA-Z .'Ã]"","""")"),"Mark Margolis")</f>
        <v>Mark Margolis</v>
      </c>
      <c r="I1475" s="24" t="s">
        <v>5171</v>
      </c>
      <c r="J1475" s="22">
        <v>73068.0</v>
      </c>
      <c r="K1475" s="22" t="s">
        <v>5172</v>
      </c>
      <c r="L1475" s="22">
        <v>419.0</v>
      </c>
      <c r="M1475" s="22" t="s">
        <v>24</v>
      </c>
      <c r="N1475" s="22" t="s">
        <v>25</v>
      </c>
      <c r="O1475" s="23">
        <v>4.8E7</v>
      </c>
      <c r="P1475" s="10">
        <f t="shared" si="2"/>
        <v>21304264</v>
      </c>
      <c r="Q1475" s="12">
        <f t="shared" si="3"/>
        <v>0</v>
      </c>
      <c r="R1475" s="22">
        <v>1999.0</v>
      </c>
      <c r="S1475" s="22">
        <v>6.8</v>
      </c>
    </row>
    <row r="1476" ht="15.75" customHeight="1">
      <c r="A1476" s="7" t="s">
        <v>4756</v>
      </c>
      <c r="B1476" s="8" t="str">
        <f>IFERROR(__xludf.DUMMYFUNCTION("REGEXREPLACE(A1476, ""[^0-9a-zA-Z .'Ã]"","""")"),"Christopher Guest")</f>
        <v>Christopher Guest</v>
      </c>
      <c r="C1476" s="9">
        <v>119.0</v>
      </c>
      <c r="D1476" s="10">
        <v>1.8621249E7</v>
      </c>
      <c r="E1476" s="9" t="s">
        <v>137</v>
      </c>
      <c r="F1476" s="9">
        <f t="shared" si="1"/>
        <v>1</v>
      </c>
      <c r="G1476" s="9" t="s">
        <v>2502</v>
      </c>
      <c r="H1476" s="11" t="str">
        <f>IFERROR(__xludf.DUMMYFUNCTION("REGEXREPLACE(G1476, ""[^0-9a-zA-Z .'Ã]"","""")"),"John Michael Higgins")</f>
        <v>John Michael Higgins</v>
      </c>
      <c r="I1476" s="11" t="s">
        <v>5173</v>
      </c>
      <c r="J1476" s="9">
        <v>45859.0</v>
      </c>
      <c r="K1476" s="9" t="s">
        <v>5174</v>
      </c>
      <c r="L1476" s="9">
        <v>340.0</v>
      </c>
      <c r="M1476" s="9" t="s">
        <v>24</v>
      </c>
      <c r="N1476" s="9" t="s">
        <v>25</v>
      </c>
      <c r="O1476" s="10">
        <v>6000000.0</v>
      </c>
      <c r="P1476" s="10">
        <f t="shared" si="2"/>
        <v>12621249</v>
      </c>
      <c r="Q1476" s="12">
        <f t="shared" si="3"/>
        <v>0</v>
      </c>
      <c r="R1476" s="9">
        <v>2000.0</v>
      </c>
      <c r="S1476" s="9">
        <v>7.5</v>
      </c>
    </row>
    <row r="1477" ht="15.75" customHeight="1">
      <c r="A1477" s="29" t="s">
        <v>1248</v>
      </c>
      <c r="B1477" s="8" t="str">
        <f>IFERROR(__xludf.DUMMYFUNCTION("REGEXREPLACE(A1477, ""[^0-9a-zA-Z .'Ã]"","""")"),"Paul Weitz")</f>
        <v>Paul Weitz</v>
      </c>
      <c r="C1477" s="30">
        <v>150.0</v>
      </c>
      <c r="D1477" s="31">
        <v>1.8004225E7</v>
      </c>
      <c r="E1477" s="30" t="s">
        <v>159</v>
      </c>
      <c r="F1477" s="9">
        <f t="shared" si="1"/>
        <v>3</v>
      </c>
      <c r="G1477" s="30" t="s">
        <v>3367</v>
      </c>
      <c r="H1477" s="11" t="str">
        <f>IFERROR(__xludf.DUMMYFUNCTION("REGEXREPLACE(G1477, ""[^0-9a-zA-Z .'Ã]"","""")"),"Tina Fey")</f>
        <v>Tina Fey</v>
      </c>
      <c r="I1477" s="32" t="s">
        <v>5175</v>
      </c>
      <c r="J1477" s="30">
        <v>28573.0</v>
      </c>
      <c r="K1477" s="30" t="s">
        <v>5176</v>
      </c>
      <c r="L1477" s="30">
        <v>87.0</v>
      </c>
      <c r="M1477" s="30" t="s">
        <v>24</v>
      </c>
      <c r="N1477" s="30" t="s">
        <v>25</v>
      </c>
      <c r="O1477" s="31">
        <v>1.3E7</v>
      </c>
      <c r="P1477" s="10">
        <f t="shared" si="2"/>
        <v>5004225</v>
      </c>
      <c r="Q1477" s="12">
        <f t="shared" si="3"/>
        <v>0</v>
      </c>
      <c r="R1477" s="30">
        <v>2013.0</v>
      </c>
      <c r="S1477" s="30">
        <v>5.7</v>
      </c>
    </row>
    <row r="1478" ht="15.75" customHeight="1">
      <c r="A1478" s="21" t="s">
        <v>513</v>
      </c>
      <c r="B1478" s="8" t="str">
        <f>IFERROR(__xludf.DUMMYFUNCTION("REGEXREPLACE(A1478, ""[^0-9a-zA-Z .'Ã]"","""")"),"Mark Waters")</f>
        <v>Mark Waters</v>
      </c>
      <c r="C1478" s="22">
        <v>129.0</v>
      </c>
      <c r="D1478" s="23">
        <v>1.10222438E8</v>
      </c>
      <c r="E1478" s="22" t="s">
        <v>5177</v>
      </c>
      <c r="F1478" s="9">
        <f t="shared" si="1"/>
        <v>5</v>
      </c>
      <c r="G1478" s="22" t="s">
        <v>390</v>
      </c>
      <c r="H1478" s="11" t="str">
        <f>IFERROR(__xludf.DUMMYFUNCTION("REGEXREPLACE(G1478, ""[^0-9a-zA-Z .'Ã]"","""")"),"Jamie Lee Curtis")</f>
        <v>Jamie Lee Curtis</v>
      </c>
      <c r="I1478" s="24" t="s">
        <v>5178</v>
      </c>
      <c r="J1478" s="22">
        <v>96693.0</v>
      </c>
      <c r="K1478" s="22" t="s">
        <v>5179</v>
      </c>
      <c r="L1478" s="22">
        <v>271.0</v>
      </c>
      <c r="M1478" s="22" t="s">
        <v>24</v>
      </c>
      <c r="N1478" s="22" t="s">
        <v>25</v>
      </c>
      <c r="O1478" s="23">
        <v>2.6E7</v>
      </c>
      <c r="P1478" s="10">
        <f t="shared" si="2"/>
        <v>84222438</v>
      </c>
      <c r="Q1478" s="12">
        <f t="shared" si="3"/>
        <v>0</v>
      </c>
      <c r="R1478" s="22">
        <v>2003.0</v>
      </c>
      <c r="S1478" s="22">
        <v>6.1</v>
      </c>
    </row>
    <row r="1479" ht="15.75" customHeight="1">
      <c r="A1479" s="7" t="s">
        <v>3807</v>
      </c>
      <c r="B1479" s="8" t="str">
        <f>IFERROR(__xludf.DUMMYFUNCTION("REGEXREPLACE(A1479, ""[^0-9a-zA-Z .'Ã]"","""")"),"Ronny Yu")</f>
        <v>Ronny Yu</v>
      </c>
      <c r="C1479" s="9">
        <v>114.0</v>
      </c>
      <c r="D1479" s="10">
        <v>3.236896E7</v>
      </c>
      <c r="E1479" s="9" t="s">
        <v>5180</v>
      </c>
      <c r="F1479" s="9">
        <f t="shared" si="1"/>
        <v>4</v>
      </c>
      <c r="G1479" s="9" t="s">
        <v>5181</v>
      </c>
      <c r="H1479" s="11" t="str">
        <f>IFERROR(__xludf.DUMMYFUNCTION("REGEXREPLACE(G1479, ""[^0-9a-zA-Z .'Ã]"","""")"),"Alexis Arquette")</f>
        <v>Alexis Arquette</v>
      </c>
      <c r="I1479" s="11" t="s">
        <v>5182</v>
      </c>
      <c r="J1479" s="9">
        <v>39768.0</v>
      </c>
      <c r="K1479" s="9" t="s">
        <v>5183</v>
      </c>
      <c r="L1479" s="9">
        <v>292.0</v>
      </c>
      <c r="M1479" s="9" t="s">
        <v>24</v>
      </c>
      <c r="N1479" s="9" t="s">
        <v>624</v>
      </c>
      <c r="O1479" s="10">
        <v>2.5E7</v>
      </c>
      <c r="P1479" s="10">
        <f t="shared" si="2"/>
        <v>7368960</v>
      </c>
      <c r="Q1479" s="12">
        <f t="shared" si="3"/>
        <v>0</v>
      </c>
      <c r="R1479" s="9">
        <v>1998.0</v>
      </c>
      <c r="S1479" s="9">
        <v>5.3</v>
      </c>
    </row>
    <row r="1480" ht="15.75" customHeight="1">
      <c r="A1480" s="17" t="s">
        <v>881</v>
      </c>
      <c r="B1480" s="8" t="str">
        <f>IFERROR(__xludf.DUMMYFUNCTION("REGEXREPLACE(A1480, ""[^0-9a-zA-Z .'Ã]"","""")"),"Terry Gilliam")</f>
        <v>Terry Gilliam</v>
      </c>
      <c r="C1480" s="18">
        <v>156.0</v>
      </c>
      <c r="D1480" s="19">
        <v>1.0562387E7</v>
      </c>
      <c r="E1480" s="18" t="s">
        <v>5184</v>
      </c>
      <c r="F1480" s="9">
        <f t="shared" si="1"/>
        <v>3</v>
      </c>
      <c r="G1480" s="18" t="s">
        <v>85</v>
      </c>
      <c r="H1480" s="11" t="str">
        <f>IFERROR(__xludf.DUMMYFUNCTION("REGEXREPLACE(G1480, ""[^0-9a-zA-Z .'Ã]"","""")"),"Johnny Depp")</f>
        <v>Johnny Depp</v>
      </c>
      <c r="I1480" s="20" t="s">
        <v>5185</v>
      </c>
      <c r="J1480" s="18">
        <v>213226.0</v>
      </c>
      <c r="K1480" s="18" t="s">
        <v>5186</v>
      </c>
      <c r="L1480" s="18">
        <v>648.0</v>
      </c>
      <c r="M1480" s="18" t="s">
        <v>24</v>
      </c>
      <c r="N1480" s="18" t="s">
        <v>25</v>
      </c>
      <c r="O1480" s="19">
        <v>1.85E7</v>
      </c>
      <c r="P1480" s="10">
        <f t="shared" si="2"/>
        <v>0</v>
      </c>
      <c r="Q1480" s="12">
        <f t="shared" si="3"/>
        <v>7937613</v>
      </c>
      <c r="R1480" s="18">
        <v>1998.0</v>
      </c>
      <c r="S1480" s="18">
        <v>7.7</v>
      </c>
    </row>
    <row r="1481" ht="15.75" customHeight="1">
      <c r="A1481" s="17" t="s">
        <v>3119</v>
      </c>
      <c r="B1481" s="8" t="str">
        <f>IFERROR(__xludf.DUMMYFUNCTION("REGEXREPLACE(A1481, ""[^0-9a-zA-Z -.'Ã]"","""")"),"Jean-Marie PoirÃ")</f>
        <v>Jean-Marie PoirÃ</v>
      </c>
      <c r="C1481" s="18">
        <v>8.0</v>
      </c>
      <c r="D1481" s="19">
        <v>146072.0</v>
      </c>
      <c r="E1481" s="18" t="s">
        <v>5187</v>
      </c>
      <c r="F1481" s="9">
        <f t="shared" si="1"/>
        <v>4</v>
      </c>
      <c r="G1481" s="18" t="s">
        <v>3121</v>
      </c>
      <c r="H1481" s="11" t="str">
        <f>IFERROR(__xludf.DUMMYFUNCTION("REGEXREPLACE(G1481, ""[^0-9a-zA-Z .'Ã]"","""")"),"Christian Clavier")</f>
        <v>Christian Clavier</v>
      </c>
      <c r="I1481" s="20" t="s">
        <v>5188</v>
      </c>
      <c r="J1481" s="18">
        <v>7147.0</v>
      </c>
      <c r="K1481" s="18" t="s">
        <v>5189</v>
      </c>
      <c r="L1481" s="18">
        <v>16.0</v>
      </c>
      <c r="M1481" s="18" t="s">
        <v>658</v>
      </c>
      <c r="N1481" s="18" t="s">
        <v>608</v>
      </c>
      <c r="O1481" s="19">
        <v>1.4E8</v>
      </c>
      <c r="P1481" s="10">
        <f t="shared" si="2"/>
        <v>0</v>
      </c>
      <c r="Q1481" s="12">
        <f t="shared" si="3"/>
        <v>139853928</v>
      </c>
      <c r="R1481" s="18">
        <v>1998.0</v>
      </c>
      <c r="S1481" s="18">
        <v>6.0</v>
      </c>
    </row>
    <row r="1482" ht="15.75" customHeight="1">
      <c r="A1482" s="7" t="s">
        <v>5190</v>
      </c>
      <c r="B1482" s="8" t="str">
        <f>IFERROR(__xludf.DUMMYFUNCTION("REGEXREPLACE(A1482, ""[^0-9a-zA-Z .'Ã]"","""")"),"James Watkins")</f>
        <v>James Watkins</v>
      </c>
      <c r="C1482" s="9">
        <v>462.0</v>
      </c>
      <c r="D1482" s="10">
        <v>5.4322273E7</v>
      </c>
      <c r="E1482" s="9" t="s">
        <v>2391</v>
      </c>
      <c r="F1482" s="9">
        <f t="shared" si="1"/>
        <v>4</v>
      </c>
      <c r="G1482" s="9" t="s">
        <v>2094</v>
      </c>
      <c r="H1482" s="11" t="str">
        <f>IFERROR(__xludf.DUMMYFUNCTION("REGEXREPLACE(G1482, ""[^0-9a-zA-Z .'Ã]"","""")"),"Daniel Radcliffe")</f>
        <v>Daniel Radcliffe</v>
      </c>
      <c r="I1482" s="11" t="s">
        <v>5191</v>
      </c>
      <c r="J1482" s="9">
        <v>139749.0</v>
      </c>
      <c r="K1482" s="9" t="s">
        <v>5192</v>
      </c>
      <c r="L1482" s="9">
        <v>509.0</v>
      </c>
      <c r="M1482" s="9" t="s">
        <v>24</v>
      </c>
      <c r="N1482" s="9" t="s">
        <v>130</v>
      </c>
      <c r="O1482" s="10">
        <v>1.7E7</v>
      </c>
      <c r="P1482" s="10">
        <f t="shared" si="2"/>
        <v>37322273</v>
      </c>
      <c r="Q1482" s="12">
        <f t="shared" si="3"/>
        <v>0</v>
      </c>
      <c r="R1482" s="9">
        <v>2012.0</v>
      </c>
      <c r="S1482" s="9">
        <v>6.4</v>
      </c>
    </row>
    <row r="1483" ht="15.75" customHeight="1">
      <c r="A1483" s="7" t="s">
        <v>847</v>
      </c>
      <c r="B1483" s="8" t="str">
        <f>IFERROR(__xludf.DUMMYFUNCTION("REGEXREPLACE(A1483, ""[^0-9a-zA-Z .'Ã]"","""")"),"Lana Wachowski")</f>
        <v>Lana Wachowski</v>
      </c>
      <c r="C1483" s="9">
        <v>284.0</v>
      </c>
      <c r="D1483" s="10">
        <v>4.3929341E7</v>
      </c>
      <c r="E1483" s="9" t="s">
        <v>5193</v>
      </c>
      <c r="F1483" s="9">
        <f t="shared" si="1"/>
        <v>3</v>
      </c>
      <c r="G1483" s="9" t="s">
        <v>5194</v>
      </c>
      <c r="H1483" s="11" t="str">
        <f>IFERROR(__xludf.DUMMYFUNCTION("REGEXREPLACE(G1483, ""[^0-9a-zA-Z .'Ã]"","""")"),"Scott Porter")</f>
        <v>Scott Porter</v>
      </c>
      <c r="I1483" s="11" t="s">
        <v>5195</v>
      </c>
      <c r="J1483" s="9">
        <v>57873.0</v>
      </c>
      <c r="K1483" s="9" t="s">
        <v>5196</v>
      </c>
      <c r="L1483" s="9">
        <v>414.0</v>
      </c>
      <c r="M1483" s="9" t="s">
        <v>24</v>
      </c>
      <c r="N1483" s="9" t="s">
        <v>25</v>
      </c>
      <c r="O1483" s="10">
        <v>1.2E8</v>
      </c>
      <c r="P1483" s="10">
        <f t="shared" si="2"/>
        <v>0</v>
      </c>
      <c r="Q1483" s="12">
        <f t="shared" si="3"/>
        <v>76070659</v>
      </c>
      <c r="R1483" s="9">
        <v>2008.0</v>
      </c>
      <c r="S1483" s="9">
        <v>6.1</v>
      </c>
    </row>
    <row r="1484" ht="15.75" customHeight="1">
      <c r="A1484" s="17" t="s">
        <v>5197</v>
      </c>
      <c r="B1484" s="8" t="str">
        <f>IFERROR(__xludf.DUMMYFUNCTION("REGEXREPLACE(A1484, ""[^0-9a-zA-Z .'Ã]"","""")"),"Carol Reed")</f>
        <v>Carol Reed</v>
      </c>
      <c r="C1484" s="18">
        <v>56.0</v>
      </c>
      <c r="D1484" s="19">
        <v>1.68E7</v>
      </c>
      <c r="E1484" s="18" t="s">
        <v>5198</v>
      </c>
      <c r="F1484" s="9">
        <f t="shared" si="1"/>
        <v>3</v>
      </c>
      <c r="G1484" s="18" t="s">
        <v>5199</v>
      </c>
      <c r="H1484" s="11" t="str">
        <f>IFERROR(__xludf.DUMMYFUNCTION("REGEXREPLACE(G1484, ""[^0-9a-zA-Z .'Ã]"","""")"),"Oliver Reed")</f>
        <v>Oliver Reed</v>
      </c>
      <c r="I1484" s="20" t="s">
        <v>5200</v>
      </c>
      <c r="J1484" s="18">
        <v>25303.0</v>
      </c>
      <c r="K1484" s="18" t="s">
        <v>5201</v>
      </c>
      <c r="L1484" s="18">
        <v>138.0</v>
      </c>
      <c r="M1484" s="18" t="s">
        <v>24</v>
      </c>
      <c r="N1484" s="18" t="s">
        <v>130</v>
      </c>
      <c r="O1484" s="19">
        <v>1.0E7</v>
      </c>
      <c r="P1484" s="10">
        <f t="shared" si="2"/>
        <v>6800000</v>
      </c>
      <c r="Q1484" s="12">
        <f t="shared" si="3"/>
        <v>0</v>
      </c>
      <c r="R1484" s="18">
        <v>1968.0</v>
      </c>
      <c r="S1484" s="18">
        <v>7.5</v>
      </c>
    </row>
    <row r="1485" ht="15.75" customHeight="1">
      <c r="A1485" s="25" t="s">
        <v>2674</v>
      </c>
      <c r="B1485" s="8" t="str">
        <f>IFERROR(__xludf.DUMMYFUNCTION("REGEXREPLACE(A1485, ""[^0-9a-zA-Z .'Ã]"","""")"),"Michael Mann")</f>
        <v>Michael Mann</v>
      </c>
      <c r="C1485" s="26">
        <v>209.0</v>
      </c>
      <c r="D1485" s="27">
        <v>2.8965197E7</v>
      </c>
      <c r="E1485" s="26" t="s">
        <v>431</v>
      </c>
      <c r="F1485" s="9">
        <f t="shared" si="1"/>
        <v>3</v>
      </c>
      <c r="G1485" s="26" t="s">
        <v>317</v>
      </c>
      <c r="H1485" s="11" t="str">
        <f>IFERROR(__xludf.DUMMYFUNCTION("REGEXREPLACE(G1485, ""[^0-9a-zA-Z .'Ã]"","""")"),"Al Pacino")</f>
        <v>Al Pacino</v>
      </c>
      <c r="I1485" s="28" t="s">
        <v>5202</v>
      </c>
      <c r="J1485" s="26">
        <v>133526.0</v>
      </c>
      <c r="K1485" s="26" t="s">
        <v>5203</v>
      </c>
      <c r="L1485" s="26">
        <v>521.0</v>
      </c>
      <c r="M1485" s="26" t="s">
        <v>24</v>
      </c>
      <c r="N1485" s="26" t="s">
        <v>25</v>
      </c>
      <c r="O1485" s="27">
        <v>6.8E7</v>
      </c>
      <c r="P1485" s="10">
        <f t="shared" si="2"/>
        <v>0</v>
      </c>
      <c r="Q1485" s="12">
        <f t="shared" si="3"/>
        <v>39034803</v>
      </c>
      <c r="R1485" s="26">
        <v>1999.0</v>
      </c>
      <c r="S1485" s="26">
        <v>7.9</v>
      </c>
    </row>
    <row r="1486" ht="15.75" customHeight="1">
      <c r="A1486" s="13" t="s">
        <v>5204</v>
      </c>
      <c r="B1486" s="8" t="str">
        <f>IFERROR(__xludf.DUMMYFUNCTION("REGEXREPLACE(A1486, ""[^0-9a-zA-Z .'Ã]"","""")"),"Leslye Headland")</f>
        <v>Leslye Headland</v>
      </c>
      <c r="C1486" s="14">
        <v>156.0</v>
      </c>
      <c r="D1486" s="15">
        <v>418268.0</v>
      </c>
      <c r="E1486" s="14" t="s">
        <v>89</v>
      </c>
      <c r="F1486" s="9">
        <f t="shared" si="1"/>
        <v>2</v>
      </c>
      <c r="G1486" s="14" t="s">
        <v>951</v>
      </c>
      <c r="H1486" s="11" t="str">
        <f>IFERROR(__xludf.DUMMYFUNCTION("REGEXREPLACE(G1486, ""[^0-9a-zA-Z .'Ã]"","""")"),"Kirsten Dunst")</f>
        <v>Kirsten Dunst</v>
      </c>
      <c r="I1486" s="16" t="s">
        <v>5205</v>
      </c>
      <c r="J1486" s="14">
        <v>37156.0</v>
      </c>
      <c r="K1486" s="14" t="s">
        <v>5206</v>
      </c>
      <c r="L1486" s="14">
        <v>129.0</v>
      </c>
      <c r="M1486" s="14" t="s">
        <v>24</v>
      </c>
      <c r="N1486" s="14" t="s">
        <v>25</v>
      </c>
      <c r="O1486" s="15">
        <v>3000000.0</v>
      </c>
      <c r="P1486" s="10">
        <f t="shared" si="2"/>
        <v>0</v>
      </c>
      <c r="Q1486" s="12">
        <f t="shared" si="3"/>
        <v>2581732</v>
      </c>
      <c r="R1486" s="14">
        <v>2012.0</v>
      </c>
      <c r="S1486" s="14">
        <v>5.3</v>
      </c>
    </row>
    <row r="1487" ht="15.75" customHeight="1">
      <c r="A1487" s="7" t="s">
        <v>536</v>
      </c>
      <c r="B1487" s="8" t="str">
        <f>IFERROR(__xludf.DUMMYFUNCTION("REGEXREPLACE(A1487, ""[^0-9a-zA-Z .'Ã]"","""")"),"Robert Zemeckis")</f>
        <v>Robert Zemeckis</v>
      </c>
      <c r="C1487" s="9">
        <v>449.0</v>
      </c>
      <c r="D1487" s="10">
        <v>9.3749203E7</v>
      </c>
      <c r="E1487" s="9" t="s">
        <v>369</v>
      </c>
      <c r="F1487" s="9">
        <f t="shared" si="1"/>
        <v>2</v>
      </c>
      <c r="G1487" s="9" t="s">
        <v>70</v>
      </c>
      <c r="H1487" s="11" t="str">
        <f>IFERROR(__xludf.DUMMYFUNCTION("REGEXREPLACE(G1487, ""[^0-9a-zA-Z .'Ã]"","""")"),"Denzel Washington")</f>
        <v>Denzel Washington</v>
      </c>
      <c r="I1487" s="11" t="s">
        <v>5207</v>
      </c>
      <c r="J1487" s="9">
        <v>264047.0</v>
      </c>
      <c r="K1487" s="9" t="s">
        <v>5208</v>
      </c>
      <c r="L1487" s="9">
        <v>491.0</v>
      </c>
      <c r="M1487" s="9" t="s">
        <v>24</v>
      </c>
      <c r="N1487" s="9" t="s">
        <v>25</v>
      </c>
      <c r="O1487" s="10">
        <v>3.1E7</v>
      </c>
      <c r="P1487" s="10">
        <f t="shared" si="2"/>
        <v>62749203</v>
      </c>
      <c r="Q1487" s="12">
        <f t="shared" si="3"/>
        <v>0</v>
      </c>
      <c r="R1487" s="9">
        <v>2012.0</v>
      </c>
      <c r="S1487" s="9">
        <v>7.3</v>
      </c>
    </row>
    <row r="1488" ht="15.75" customHeight="1">
      <c r="A1488" s="21" t="s">
        <v>505</v>
      </c>
      <c r="B1488" s="8" t="str">
        <f>IFERROR(__xludf.DUMMYFUNCTION("REGEXREPLACE(A1488, ""[^0-9a-zA-Z .'Ã]"","""")"),"Jon Favreau")</f>
        <v>Jon Favreau</v>
      </c>
      <c r="C1488" s="22">
        <v>136.0</v>
      </c>
      <c r="D1488" s="23">
        <v>2.804554E7</v>
      </c>
      <c r="E1488" s="22" t="s">
        <v>2716</v>
      </c>
      <c r="F1488" s="9">
        <f t="shared" si="1"/>
        <v>6</v>
      </c>
      <c r="G1488" s="22" t="s">
        <v>1969</v>
      </c>
      <c r="H1488" s="11" t="str">
        <f>IFERROR(__xludf.DUMMYFUNCTION("REGEXREPLACE(G1488, ""[^0-9a-zA-Z .'Ã]"","""")"),"Kristen Stewart")</f>
        <v>Kristen Stewart</v>
      </c>
      <c r="I1488" s="24" t="s">
        <v>5209</v>
      </c>
      <c r="J1488" s="22">
        <v>67707.0</v>
      </c>
      <c r="K1488" s="22" t="s">
        <v>5210</v>
      </c>
      <c r="L1488" s="22">
        <v>202.0</v>
      </c>
      <c r="M1488" s="22" t="s">
        <v>24</v>
      </c>
      <c r="N1488" s="22" t="s">
        <v>25</v>
      </c>
      <c r="O1488" s="23">
        <v>6.5E7</v>
      </c>
      <c r="P1488" s="10">
        <f t="shared" si="2"/>
        <v>0</v>
      </c>
      <c r="Q1488" s="12">
        <f t="shared" si="3"/>
        <v>36954460</v>
      </c>
      <c r="R1488" s="22">
        <v>2005.0</v>
      </c>
      <c r="S1488" s="22">
        <v>6.1</v>
      </c>
    </row>
    <row r="1489" ht="15.75" customHeight="1">
      <c r="A1489" s="25" t="s">
        <v>5211</v>
      </c>
      <c r="B1489" s="8" t="str">
        <f>IFERROR(__xludf.DUMMYFUNCTION("REGEXREPLACE(A1489, ""[^0-9a-zA-Z .'Ã]"","""")"),"John Hillcoat")</f>
        <v>John Hillcoat</v>
      </c>
      <c r="C1489" s="26">
        <v>168.0</v>
      </c>
      <c r="D1489" s="27">
        <v>1900725.0</v>
      </c>
      <c r="E1489" s="26" t="s">
        <v>5212</v>
      </c>
      <c r="F1489" s="9">
        <f t="shared" si="1"/>
        <v>3</v>
      </c>
      <c r="G1489" s="26" t="s">
        <v>28</v>
      </c>
      <c r="H1489" s="11" t="str">
        <f>IFERROR(__xludf.DUMMYFUNCTION("REGEXREPLACE(G1489, ""[^0-9a-zA-Z .'Ã]"","""")"),"Ray Winstone")</f>
        <v>Ray Winstone</v>
      </c>
      <c r="I1489" s="28" t="s">
        <v>5213</v>
      </c>
      <c r="J1489" s="26">
        <v>43205.0</v>
      </c>
      <c r="K1489" s="26" t="s">
        <v>5214</v>
      </c>
      <c r="L1489" s="26">
        <v>232.0</v>
      </c>
      <c r="M1489" s="26" t="s">
        <v>24</v>
      </c>
      <c r="N1489" s="26" t="s">
        <v>146</v>
      </c>
      <c r="O1489" s="27">
        <v>2000000.0</v>
      </c>
      <c r="P1489" s="10">
        <f t="shared" si="2"/>
        <v>0</v>
      </c>
      <c r="Q1489" s="12">
        <f t="shared" si="3"/>
        <v>99275</v>
      </c>
      <c r="R1489" s="26">
        <v>2005.0</v>
      </c>
      <c r="S1489" s="26">
        <v>7.4</v>
      </c>
    </row>
    <row r="1490" ht="15.75" customHeight="1">
      <c r="A1490" s="17" t="s">
        <v>5215</v>
      </c>
      <c r="B1490" s="8" t="str">
        <f>IFERROR(__xludf.DUMMYFUNCTION("REGEXREPLACE(A1490, ""[^0-9a-zA-Z .'Ã]"","""")"),"Elaine May")</f>
        <v>Elaine May</v>
      </c>
      <c r="C1490" s="18">
        <v>49.0</v>
      </c>
      <c r="D1490" s="19">
        <v>1.4375181E7</v>
      </c>
      <c r="E1490" s="18" t="s">
        <v>5216</v>
      </c>
      <c r="F1490" s="9">
        <f t="shared" si="1"/>
        <v>5</v>
      </c>
      <c r="G1490" s="18" t="s">
        <v>5217</v>
      </c>
      <c r="H1490" s="11" t="str">
        <f>IFERROR(__xludf.DUMMYFUNCTION("REGEXREPLACE(G1490, ""[^0-9a-zA-Z .'Ã]"","""")"),"Carol Kane")</f>
        <v>Carol Kane</v>
      </c>
      <c r="I1490" s="20" t="s">
        <v>5218</v>
      </c>
      <c r="J1490" s="18">
        <v>8692.0</v>
      </c>
      <c r="K1490" s="18" t="s">
        <v>5219</v>
      </c>
      <c r="L1490" s="18">
        <v>126.0</v>
      </c>
      <c r="M1490" s="18" t="s">
        <v>24</v>
      </c>
      <c r="N1490" s="18" t="s">
        <v>25</v>
      </c>
      <c r="O1490" s="19">
        <v>5.1E7</v>
      </c>
      <c r="P1490" s="10">
        <f t="shared" si="2"/>
        <v>0</v>
      </c>
      <c r="Q1490" s="12">
        <f t="shared" si="3"/>
        <v>36624819</v>
      </c>
      <c r="R1490" s="18">
        <v>1987.0</v>
      </c>
      <c r="S1490" s="18">
        <v>4.2</v>
      </c>
    </row>
    <row r="1491" ht="15.75" customHeight="1">
      <c r="A1491" s="7" t="s">
        <v>5220</v>
      </c>
      <c r="B1491" s="8" t="str">
        <f>IFERROR(__xludf.DUMMYFUNCTION("REGEXREPLACE(A1491, ""[^0-9a-zA-Z .'Ã]"","""")"),"Tony Richardson")</f>
        <v>Tony Richardson</v>
      </c>
      <c r="C1491" s="9">
        <v>9.0</v>
      </c>
      <c r="D1491" s="10">
        <v>5100000.0</v>
      </c>
      <c r="E1491" s="9" t="s">
        <v>159</v>
      </c>
      <c r="F1491" s="9">
        <f t="shared" si="1"/>
        <v>3</v>
      </c>
      <c r="G1491" s="9" t="s">
        <v>5221</v>
      </c>
      <c r="H1491" s="11" t="str">
        <f>IFERROR(__xludf.DUMMYFUNCTION("REGEXREPLACE(G1491, ""[^0-9a-zA-Z .'Ã]"","""")"),"Joely Richardson")</f>
        <v>Joely Richardson</v>
      </c>
      <c r="I1491" s="11" t="s">
        <v>5222</v>
      </c>
      <c r="J1491" s="9">
        <v>6595.0</v>
      </c>
      <c r="K1491" s="9" t="s">
        <v>5223</v>
      </c>
      <c r="L1491" s="9">
        <v>61.0</v>
      </c>
      <c r="M1491" s="9" t="s">
        <v>24</v>
      </c>
      <c r="N1491" s="9" t="s">
        <v>130</v>
      </c>
      <c r="O1491" s="10">
        <v>7500000.0</v>
      </c>
      <c r="P1491" s="10">
        <f t="shared" si="2"/>
        <v>0</v>
      </c>
      <c r="Q1491" s="12">
        <f t="shared" si="3"/>
        <v>2400000</v>
      </c>
      <c r="R1491" s="9">
        <v>1984.0</v>
      </c>
      <c r="S1491" s="9">
        <v>6.0</v>
      </c>
    </row>
    <row r="1492" ht="15.75" customHeight="1">
      <c r="A1492" s="21" t="s">
        <v>3522</v>
      </c>
      <c r="B1492" s="8" t="str">
        <f>IFERROR(__xludf.DUMMYFUNCTION("REGEXREPLACE(A1492, ""[^0-9a-zA-Z .'Ã]"","""")"),"Peter Hyams")</f>
        <v>Peter Hyams</v>
      </c>
      <c r="C1492" s="22">
        <v>107.0</v>
      </c>
      <c r="D1492" s="23">
        <v>2.7053815E7</v>
      </c>
      <c r="E1492" s="22" t="s">
        <v>1347</v>
      </c>
      <c r="F1492" s="9">
        <f t="shared" si="1"/>
        <v>3</v>
      </c>
      <c r="G1492" s="22" t="s">
        <v>571</v>
      </c>
      <c r="H1492" s="11" t="str">
        <f>IFERROR(__xludf.DUMMYFUNCTION("REGEXREPLACE(G1492, ""[^0-9a-zA-Z .'Ã]"","""")"),"Catherine Deneuve")</f>
        <v>Catherine Deneuve</v>
      </c>
      <c r="I1492" s="24" t="s">
        <v>5224</v>
      </c>
      <c r="J1492" s="22">
        <v>12856.0</v>
      </c>
      <c r="K1492" s="22" t="s">
        <v>5225</v>
      </c>
      <c r="L1492" s="22">
        <v>291.0</v>
      </c>
      <c r="M1492" s="22" t="s">
        <v>24</v>
      </c>
      <c r="N1492" s="22" t="s">
        <v>173</v>
      </c>
      <c r="O1492" s="23">
        <v>4.0E7</v>
      </c>
      <c r="P1492" s="10">
        <f t="shared" si="2"/>
        <v>0</v>
      </c>
      <c r="Q1492" s="12">
        <f t="shared" si="3"/>
        <v>12946185</v>
      </c>
      <c r="R1492" s="22">
        <v>2001.0</v>
      </c>
      <c r="S1492" s="22">
        <v>4.7</v>
      </c>
    </row>
    <row r="1493" ht="15.75" customHeight="1">
      <c r="A1493" s="25" t="s">
        <v>1740</v>
      </c>
      <c r="B1493" s="8" t="str">
        <f>IFERROR(__xludf.DUMMYFUNCTION("REGEXREPLACE(A1493, ""[^0-9a-zA-Z .'Ã]"","""")"),"Woody Allen")</f>
        <v>Woody Allen</v>
      </c>
      <c r="C1493" s="26">
        <v>223.0</v>
      </c>
      <c r="D1493" s="27">
        <v>3247816.0</v>
      </c>
      <c r="E1493" s="26" t="s">
        <v>159</v>
      </c>
      <c r="F1493" s="9">
        <f t="shared" si="1"/>
        <v>3</v>
      </c>
      <c r="G1493" s="26" t="s">
        <v>237</v>
      </c>
      <c r="H1493" s="11" t="str">
        <f>IFERROR(__xludf.DUMMYFUNCTION("REGEXREPLACE(G1493, ""[^0-9a-zA-Z .'Ã]"","""")"),"Anthony Hopkins")</f>
        <v>Anthony Hopkins</v>
      </c>
      <c r="I1493" s="28" t="s">
        <v>5226</v>
      </c>
      <c r="J1493" s="26">
        <v>36145.0</v>
      </c>
      <c r="K1493" s="26" t="s">
        <v>5227</v>
      </c>
      <c r="L1493" s="26">
        <v>108.0</v>
      </c>
      <c r="M1493" s="26" t="s">
        <v>24</v>
      </c>
      <c r="N1493" s="26" t="s">
        <v>25</v>
      </c>
      <c r="O1493" s="27">
        <v>2.2E7</v>
      </c>
      <c r="P1493" s="10">
        <f t="shared" si="2"/>
        <v>0</v>
      </c>
      <c r="Q1493" s="12">
        <f t="shared" si="3"/>
        <v>18752184</v>
      </c>
      <c r="R1493" s="26">
        <v>2010.0</v>
      </c>
      <c r="S1493" s="26">
        <v>6.3</v>
      </c>
    </row>
    <row r="1494" ht="15.75" customHeight="1">
      <c r="A1494" s="7" t="s">
        <v>4330</v>
      </c>
      <c r="B1494" s="8" t="str">
        <f>IFERROR(__xludf.DUMMYFUNCTION("REGEXREPLACE(A1494, ""[^0-9a-zA-Z .'Ã]"","""")"),"Jason Friedberg")</f>
        <v>Jason Friedberg</v>
      </c>
      <c r="C1494" s="9">
        <v>111.0</v>
      </c>
      <c r="D1494" s="10">
        <v>3.8232624E7</v>
      </c>
      <c r="E1494" s="9" t="s">
        <v>137</v>
      </c>
      <c r="F1494" s="9">
        <f t="shared" si="1"/>
        <v>1</v>
      </c>
      <c r="G1494" s="9" t="s">
        <v>1996</v>
      </c>
      <c r="H1494" s="11" t="str">
        <f>IFERROR(__xludf.DUMMYFUNCTION("REGEXREPLACE(G1494, ""[^0-9a-zA-Z .'Ã]"","""")"),"Carmen Electra")</f>
        <v>Carmen Electra</v>
      </c>
      <c r="I1494" s="11" t="s">
        <v>5228</v>
      </c>
      <c r="J1494" s="9">
        <v>88518.0</v>
      </c>
      <c r="K1494" s="9" t="s">
        <v>5229</v>
      </c>
      <c r="L1494" s="9">
        <v>409.0</v>
      </c>
      <c r="M1494" s="9" t="s">
        <v>24</v>
      </c>
      <c r="N1494" s="9" t="s">
        <v>25</v>
      </c>
      <c r="O1494" s="10">
        <v>3.0E7</v>
      </c>
      <c r="P1494" s="10">
        <f t="shared" si="2"/>
        <v>8232624</v>
      </c>
      <c r="Q1494" s="12">
        <f t="shared" si="3"/>
        <v>0</v>
      </c>
      <c r="R1494" s="9">
        <v>2008.0</v>
      </c>
      <c r="S1494" s="9">
        <v>2.7</v>
      </c>
    </row>
    <row r="1495" ht="15.75" customHeight="1">
      <c r="A1495" s="7" t="s">
        <v>3181</v>
      </c>
      <c r="B1495" s="8" t="str">
        <f>IFERROR(__xludf.DUMMYFUNCTION("REGEXREPLACE(A1495, ""[^0-9a-zA-Z .'Ã]"","""")"),"Guy Ritchie")</f>
        <v>Guy Ritchie</v>
      </c>
      <c r="C1495" s="9">
        <v>116.0</v>
      </c>
      <c r="D1495" s="10">
        <v>3650677.0</v>
      </c>
      <c r="E1495" s="9" t="s">
        <v>440</v>
      </c>
      <c r="F1495" s="9">
        <f t="shared" si="1"/>
        <v>2</v>
      </c>
      <c r="G1495" s="9" t="s">
        <v>815</v>
      </c>
      <c r="H1495" s="11" t="str">
        <f>IFERROR(__xludf.DUMMYFUNCTION("REGEXREPLACE(G1495, ""[^0-9a-zA-Z .'Ã]"","""")"),"Jason Statham")</f>
        <v>Jason Statham</v>
      </c>
      <c r="I1495" s="11" t="s">
        <v>5230</v>
      </c>
      <c r="J1495" s="9">
        <v>414976.0</v>
      </c>
      <c r="K1495" s="9" t="s">
        <v>5231</v>
      </c>
      <c r="L1495" s="9">
        <v>523.0</v>
      </c>
      <c r="M1495" s="9" t="s">
        <v>24</v>
      </c>
      <c r="N1495" s="9" t="s">
        <v>130</v>
      </c>
      <c r="O1495" s="10">
        <v>960000.0</v>
      </c>
      <c r="P1495" s="10">
        <f t="shared" si="2"/>
        <v>2690677</v>
      </c>
      <c r="Q1495" s="12">
        <f t="shared" si="3"/>
        <v>0</v>
      </c>
      <c r="R1495" s="9">
        <v>1998.0</v>
      </c>
      <c r="S1495" s="9">
        <v>8.2</v>
      </c>
    </row>
    <row r="1496" ht="15.75" customHeight="1">
      <c r="A1496" s="7" t="s">
        <v>5232</v>
      </c>
      <c r="B1496" s="8" t="str">
        <f>IFERROR(__xludf.DUMMYFUNCTION("REGEXREPLACE(A1496, ""[^0-9a-zA-Z .'Ã]"","""")"),"Chatrichalerm Yukol")</f>
        <v>Chatrichalerm Yukol</v>
      </c>
      <c r="C1496" s="9">
        <v>31.0</v>
      </c>
      <c r="D1496" s="10">
        <v>454255.0</v>
      </c>
      <c r="E1496" s="9" t="s">
        <v>1479</v>
      </c>
      <c r="F1496" s="9">
        <f t="shared" si="1"/>
        <v>5</v>
      </c>
      <c r="G1496" s="9" t="s">
        <v>5233</v>
      </c>
      <c r="H1496" s="11" t="str">
        <f>IFERROR(__xludf.DUMMYFUNCTION("REGEXREPLACE(G1496, ""[^0-9a-zA-Z .'Ã]"","""")"),"Sarunyu Wongkrachang")</f>
        <v>Sarunyu Wongkrachang</v>
      </c>
      <c r="I1496" s="11" t="s">
        <v>5234</v>
      </c>
      <c r="J1496" s="9">
        <v>1666.0</v>
      </c>
      <c r="K1496" s="9" t="s">
        <v>5235</v>
      </c>
      <c r="L1496" s="9">
        <v>47.0</v>
      </c>
      <c r="M1496" s="9" t="s">
        <v>5236</v>
      </c>
      <c r="N1496" s="9" t="s">
        <v>5237</v>
      </c>
      <c r="O1496" s="10">
        <v>4.0E8</v>
      </c>
      <c r="P1496" s="10">
        <f t="shared" si="2"/>
        <v>0</v>
      </c>
      <c r="Q1496" s="12">
        <f t="shared" si="3"/>
        <v>399545745</v>
      </c>
      <c r="R1496" s="9">
        <v>2001.0</v>
      </c>
      <c r="S1496" s="9">
        <v>6.6</v>
      </c>
    </row>
    <row r="1497" ht="15.75" customHeight="1">
      <c r="A1497" s="7" t="s">
        <v>3185</v>
      </c>
      <c r="B1497" s="8" t="str">
        <f>IFERROR(__xludf.DUMMYFUNCTION("REGEXREPLACE(A1497, ""[^0-9a-zA-Z .'Ã]"","""")"),"Jason Reitman")</f>
        <v>Jason Reitman</v>
      </c>
      <c r="C1497" s="9">
        <v>387.0</v>
      </c>
      <c r="D1497" s="10">
        <v>1.4349284E8</v>
      </c>
      <c r="E1497" s="9" t="s">
        <v>159</v>
      </c>
      <c r="F1497" s="9">
        <f t="shared" si="1"/>
        <v>3</v>
      </c>
      <c r="G1497" s="9" t="s">
        <v>878</v>
      </c>
      <c r="H1497" s="11" t="str">
        <f>IFERROR(__xludf.DUMMYFUNCTION("REGEXREPLACE(G1497, ""[^0-9a-zA-Z .'Ã]"","""")"),"J.K. Simmons")</f>
        <v>J.K. Simmons</v>
      </c>
      <c r="I1497" s="11" t="s">
        <v>5238</v>
      </c>
      <c r="J1497" s="9">
        <v>414345.0</v>
      </c>
      <c r="K1497" s="9" t="s">
        <v>5239</v>
      </c>
      <c r="L1497" s="9">
        <v>881.0</v>
      </c>
      <c r="M1497" s="9" t="s">
        <v>24</v>
      </c>
      <c r="N1497" s="9" t="s">
        <v>25</v>
      </c>
      <c r="O1497" s="10">
        <v>7500000.0</v>
      </c>
      <c r="P1497" s="10">
        <f t="shared" si="2"/>
        <v>135992840</v>
      </c>
      <c r="Q1497" s="12">
        <f t="shared" si="3"/>
        <v>0</v>
      </c>
      <c r="R1497" s="9">
        <v>2007.0</v>
      </c>
      <c r="S1497" s="9">
        <v>7.5</v>
      </c>
    </row>
    <row r="1498" ht="15.75" customHeight="1">
      <c r="A1498" s="25" t="s">
        <v>2275</v>
      </c>
      <c r="B1498" s="8" t="str">
        <f>IFERROR(__xludf.DUMMYFUNCTION("REGEXREPLACE(A1498, ""[^0-9a-zA-Z .'Ã]"","""")"),"John Lasseter")</f>
        <v>John Lasseter</v>
      </c>
      <c r="C1498" s="26">
        <v>191.0</v>
      </c>
      <c r="D1498" s="27">
        <v>2.45823397E8</v>
      </c>
      <c r="E1498" s="26" t="s">
        <v>301</v>
      </c>
      <c r="F1498" s="9">
        <f t="shared" si="1"/>
        <v>5</v>
      </c>
      <c r="G1498" s="26" t="s">
        <v>461</v>
      </c>
      <c r="H1498" s="11" t="str">
        <f>IFERROR(__xludf.DUMMYFUNCTION("REGEXREPLACE(G1498, ""[^0-9a-zA-Z .'Ã]"","""")"),"Tom Hanks")</f>
        <v>Tom Hanks</v>
      </c>
      <c r="I1498" s="28" t="s">
        <v>5240</v>
      </c>
      <c r="J1498" s="26">
        <v>385871.0</v>
      </c>
      <c r="K1498" s="26" t="s">
        <v>5241</v>
      </c>
      <c r="L1498" s="26">
        <v>515.0</v>
      </c>
      <c r="M1498" s="26" t="s">
        <v>24</v>
      </c>
      <c r="N1498" s="26" t="s">
        <v>25</v>
      </c>
      <c r="O1498" s="27">
        <v>9.0E7</v>
      </c>
      <c r="P1498" s="10">
        <f t="shared" si="2"/>
        <v>155823397</v>
      </c>
      <c r="Q1498" s="12">
        <f t="shared" si="3"/>
        <v>0</v>
      </c>
      <c r="R1498" s="26">
        <v>1999.0</v>
      </c>
      <c r="S1498" s="26">
        <v>7.9</v>
      </c>
    </row>
    <row r="1499" ht="15.75" customHeight="1">
      <c r="A1499" s="21" t="s">
        <v>2499</v>
      </c>
      <c r="B1499" s="8" t="str">
        <f>IFERROR(__xludf.DUMMYFUNCTION("REGEXREPLACE(A1499, ""[^0-9a-zA-Z .'Ã]"","""")"),"Joe Wright")</f>
        <v>Joe Wright</v>
      </c>
      <c r="C1499" s="22">
        <v>210.0</v>
      </c>
      <c r="D1499" s="23">
        <v>3.1670931E7</v>
      </c>
      <c r="E1499" s="22" t="s">
        <v>2225</v>
      </c>
      <c r="F1499" s="9">
        <f t="shared" si="1"/>
        <v>3</v>
      </c>
      <c r="G1499" s="22" t="s">
        <v>327</v>
      </c>
      <c r="H1499" s="11" t="str">
        <f>IFERROR(__xludf.DUMMYFUNCTION("REGEXREPLACE(G1499, ""[^0-9a-zA-Z .'Ã]"","""")"),"Robert Downey Jr.")</f>
        <v>Robert Downey Jr.</v>
      </c>
      <c r="I1499" s="24" t="s">
        <v>5242</v>
      </c>
      <c r="J1499" s="22">
        <v>44099.0</v>
      </c>
      <c r="K1499" s="22" t="s">
        <v>5243</v>
      </c>
      <c r="L1499" s="22">
        <v>143.0</v>
      </c>
      <c r="M1499" s="22" t="s">
        <v>24</v>
      </c>
      <c r="N1499" s="22" t="s">
        <v>130</v>
      </c>
      <c r="O1499" s="23">
        <v>6.0E7</v>
      </c>
      <c r="P1499" s="10">
        <f t="shared" si="2"/>
        <v>0</v>
      </c>
      <c r="Q1499" s="12">
        <f t="shared" si="3"/>
        <v>28329069</v>
      </c>
      <c r="R1499" s="22">
        <v>2009.0</v>
      </c>
      <c r="S1499" s="22">
        <v>6.7</v>
      </c>
    </row>
    <row r="1500" ht="15.75" customHeight="1">
      <c r="A1500" s="25" t="s">
        <v>5244</v>
      </c>
      <c r="B1500" s="8" t="str">
        <f>IFERROR(__xludf.DUMMYFUNCTION("REGEXREPLACE(A1500, ""[^0-9a-zA-Z .'Ã]"","""")"),"Charles Stone III")</f>
        <v>Charles Stone III</v>
      </c>
      <c r="C1500" s="26">
        <v>63.0</v>
      </c>
      <c r="D1500" s="27">
        <v>2.1800302E7</v>
      </c>
      <c r="E1500" s="26" t="s">
        <v>1038</v>
      </c>
      <c r="F1500" s="9">
        <f t="shared" si="1"/>
        <v>4</v>
      </c>
      <c r="G1500" s="26" t="s">
        <v>195</v>
      </c>
      <c r="H1500" s="11" t="str">
        <f>IFERROR(__xludf.DUMMYFUNCTION("REGEXREPLACE(G1500, ""[^0-9a-zA-Z .'Ã]"","""")"),"Bernie Mac")</f>
        <v>Bernie Mac</v>
      </c>
      <c r="I1500" s="28" t="s">
        <v>5245</v>
      </c>
      <c r="J1500" s="26">
        <v>12164.0</v>
      </c>
      <c r="K1500" s="26" t="s">
        <v>5246</v>
      </c>
      <c r="L1500" s="26">
        <v>63.0</v>
      </c>
      <c r="M1500" s="26" t="s">
        <v>24</v>
      </c>
      <c r="N1500" s="26" t="s">
        <v>25</v>
      </c>
      <c r="O1500" s="27">
        <v>3.0E7</v>
      </c>
      <c r="P1500" s="10">
        <f t="shared" si="2"/>
        <v>0</v>
      </c>
      <c r="Q1500" s="12">
        <f t="shared" si="3"/>
        <v>8199698</v>
      </c>
      <c r="R1500" s="26">
        <v>2004.0</v>
      </c>
      <c r="S1500" s="26">
        <v>5.5</v>
      </c>
    </row>
    <row r="1501" ht="15.75" customHeight="1">
      <c r="A1501" s="7" t="s">
        <v>805</v>
      </c>
      <c r="B1501" s="8" t="str">
        <f>IFERROR(__xludf.DUMMYFUNCTION("REGEXREPLACE(A1501, ""[^0-9a-zA-Z .'Ã]"","""")"),"Rod Lurie")</f>
        <v>Rod Lurie</v>
      </c>
      <c r="C1501" s="9">
        <v>136.0</v>
      </c>
      <c r="D1501" s="10">
        <v>1.7804273E7</v>
      </c>
      <c r="E1501" s="9" t="s">
        <v>369</v>
      </c>
      <c r="F1501" s="9">
        <f t="shared" si="1"/>
        <v>2</v>
      </c>
      <c r="G1501" s="9" t="s">
        <v>1400</v>
      </c>
      <c r="H1501" s="11" t="str">
        <f>IFERROR(__xludf.DUMMYFUNCTION("REGEXREPLACE(G1501, ""[^0-9a-zA-Z .'Ã]"","""")"),"Jeff Bridges")</f>
        <v>Jeff Bridges</v>
      </c>
      <c r="I1501" s="11" t="s">
        <v>5247</v>
      </c>
      <c r="J1501" s="9">
        <v>20449.0</v>
      </c>
      <c r="K1501" s="9" t="s">
        <v>5248</v>
      </c>
      <c r="L1501" s="9">
        <v>370.0</v>
      </c>
      <c r="M1501" s="9" t="s">
        <v>24</v>
      </c>
      <c r="N1501" s="9" t="s">
        <v>25</v>
      </c>
      <c r="O1501" s="10">
        <v>2.0E7</v>
      </c>
      <c r="P1501" s="10">
        <f t="shared" si="2"/>
        <v>0</v>
      </c>
      <c r="Q1501" s="12">
        <f t="shared" si="3"/>
        <v>2195727</v>
      </c>
      <c r="R1501" s="9">
        <v>2000.0</v>
      </c>
      <c r="S1501" s="9">
        <v>7.0</v>
      </c>
    </row>
    <row r="1502" ht="15.75" customHeight="1">
      <c r="A1502" s="7" t="s">
        <v>5249</v>
      </c>
      <c r="B1502" s="8" t="str">
        <f>IFERROR(__xludf.DUMMYFUNCTION("REGEXREPLACE(A1502, ""[^0-9a-zA-Z .'Ã]"","""")"),"Neill Blomkamp")</f>
        <v>Neill Blomkamp</v>
      </c>
      <c r="C1502" s="9">
        <v>371.0</v>
      </c>
      <c r="D1502" s="10">
        <v>3.1569268E7</v>
      </c>
      <c r="E1502" s="9" t="s">
        <v>5059</v>
      </c>
      <c r="F1502" s="9">
        <f t="shared" si="1"/>
        <v>5</v>
      </c>
      <c r="G1502" s="9" t="s">
        <v>974</v>
      </c>
      <c r="H1502" s="11" t="str">
        <f>IFERROR(__xludf.DUMMYFUNCTION("REGEXREPLACE(G1502, ""[^0-9a-zA-Z .'Ã]"","""")"),"Hugh Jackman")</f>
        <v>Hugh Jackman</v>
      </c>
      <c r="I1502" s="11" t="s">
        <v>5250</v>
      </c>
      <c r="J1502" s="9">
        <v>172965.0</v>
      </c>
      <c r="K1502" s="9" t="s">
        <v>5251</v>
      </c>
      <c r="L1502" s="9">
        <v>627.0</v>
      </c>
      <c r="M1502" s="9" t="s">
        <v>24</v>
      </c>
      <c r="N1502" s="9" t="s">
        <v>25</v>
      </c>
      <c r="O1502" s="10">
        <v>4.9E7</v>
      </c>
      <c r="P1502" s="10">
        <f t="shared" si="2"/>
        <v>0</v>
      </c>
      <c r="Q1502" s="12">
        <f t="shared" si="3"/>
        <v>17430732</v>
      </c>
      <c r="R1502" s="9">
        <v>2015.0</v>
      </c>
      <c r="S1502" s="9">
        <v>6.9</v>
      </c>
    </row>
    <row r="1503" ht="15.75" customHeight="1">
      <c r="A1503" s="17" t="s">
        <v>881</v>
      </c>
      <c r="B1503" s="8" t="str">
        <f>IFERROR(__xludf.DUMMYFUNCTION("REGEXREPLACE(A1503, ""[^0-9a-zA-Z .'Ã]"","""")"),"Terry Gilliam")</f>
        <v>Terry Gilliam</v>
      </c>
      <c r="C1503" s="18">
        <v>139.0</v>
      </c>
      <c r="D1503" s="19">
        <v>4.23656E7</v>
      </c>
      <c r="E1503" s="18" t="s">
        <v>5252</v>
      </c>
      <c r="F1503" s="9">
        <f t="shared" si="1"/>
        <v>4</v>
      </c>
      <c r="G1503" s="18" t="s">
        <v>5253</v>
      </c>
      <c r="H1503" s="11" t="str">
        <f>IFERROR(__xludf.DUMMYFUNCTION("REGEXREPLACE(G1503, ""[^0-9a-zA-Z .'Ã]"","""")"),"Shelley Duvall")</f>
        <v>Shelley Duvall</v>
      </c>
      <c r="I1503" s="20" t="s">
        <v>5254</v>
      </c>
      <c r="J1503" s="18">
        <v>45890.0</v>
      </c>
      <c r="K1503" s="18" t="s">
        <v>5255</v>
      </c>
      <c r="L1503" s="18">
        <v>177.0</v>
      </c>
      <c r="M1503" s="18" t="s">
        <v>24</v>
      </c>
      <c r="N1503" s="18" t="s">
        <v>130</v>
      </c>
      <c r="O1503" s="19">
        <v>5000000.0</v>
      </c>
      <c r="P1503" s="10">
        <f t="shared" si="2"/>
        <v>37365600</v>
      </c>
      <c r="Q1503" s="12">
        <f t="shared" si="3"/>
        <v>0</v>
      </c>
      <c r="R1503" s="18">
        <v>1981.0</v>
      </c>
      <c r="S1503" s="18">
        <v>7.0</v>
      </c>
    </row>
    <row r="1504" ht="15.75" customHeight="1">
      <c r="A1504" s="29" t="s">
        <v>5077</v>
      </c>
      <c r="B1504" s="8" t="str">
        <f>IFERROR(__xludf.DUMMYFUNCTION("REGEXREPLACE(A1504, ""[^0-9a-zA-Z .'Ã]"","""")"),"James Wan")</f>
        <v>James Wan</v>
      </c>
      <c r="C1504" s="30">
        <v>300.0</v>
      </c>
      <c r="D1504" s="31">
        <v>1.02310175E8</v>
      </c>
      <c r="E1504" s="30" t="s">
        <v>94</v>
      </c>
      <c r="F1504" s="9">
        <f t="shared" si="1"/>
        <v>3</v>
      </c>
      <c r="G1504" s="30" t="s">
        <v>5256</v>
      </c>
      <c r="H1504" s="11" t="str">
        <f>IFERROR(__xludf.DUMMYFUNCTION("REGEXREPLACE(G1504, ""[^0-9a-zA-Z .'Ã]"","""")"),"Javier Botet")</f>
        <v>Javier Botet</v>
      </c>
      <c r="I1504" s="32" t="s">
        <v>5257</v>
      </c>
      <c r="J1504" s="30">
        <v>64989.0</v>
      </c>
      <c r="K1504" s="30" t="s">
        <v>5258</v>
      </c>
      <c r="L1504" s="30">
        <v>279.0</v>
      </c>
      <c r="M1504" s="30" t="s">
        <v>24</v>
      </c>
      <c r="N1504" s="30" t="s">
        <v>25</v>
      </c>
      <c r="O1504" s="31">
        <v>4.0E7</v>
      </c>
      <c r="P1504" s="10">
        <f t="shared" si="2"/>
        <v>62310175</v>
      </c>
      <c r="Q1504" s="12">
        <f t="shared" si="3"/>
        <v>0</v>
      </c>
      <c r="R1504" s="30">
        <v>2016.0</v>
      </c>
      <c r="S1504" s="30">
        <v>7.8</v>
      </c>
    </row>
    <row r="1505" ht="15.75" customHeight="1">
      <c r="A1505" s="7" t="s">
        <v>631</v>
      </c>
      <c r="B1505" s="8" t="str">
        <f>IFERROR(__xludf.DUMMYFUNCTION("REGEXREPLACE(A1505, ""[^0-9a-zA-Z .'Ã]"","""")"),"Richard Donner")</f>
        <v>Richard Donner</v>
      </c>
      <c r="C1505" s="9">
        <v>80.0</v>
      </c>
      <c r="D1505" s="10">
        <v>7.6081498E7</v>
      </c>
      <c r="E1505" s="9" t="s">
        <v>5259</v>
      </c>
      <c r="F1505" s="9">
        <f t="shared" si="1"/>
        <v>5</v>
      </c>
      <c r="G1505" s="9" t="s">
        <v>533</v>
      </c>
      <c r="H1505" s="11" t="str">
        <f>IFERROR(__xludf.DUMMYFUNCTION("REGEXREPLACE(G1505, ""[^0-9a-zA-Z .'Ã]"","""")"),"Julia Roberts")</f>
        <v>Julia Roberts</v>
      </c>
      <c r="I1505" s="11" t="s">
        <v>5260</v>
      </c>
      <c r="J1505" s="9">
        <v>76099.0</v>
      </c>
      <c r="K1505" s="9" t="s">
        <v>5261</v>
      </c>
      <c r="L1505" s="9">
        <v>162.0</v>
      </c>
      <c r="M1505" s="9" t="s">
        <v>24</v>
      </c>
      <c r="N1505" s="9" t="s">
        <v>25</v>
      </c>
      <c r="O1505" s="10">
        <v>7.5E7</v>
      </c>
      <c r="P1505" s="10">
        <f t="shared" si="2"/>
        <v>1081498</v>
      </c>
      <c r="Q1505" s="12">
        <f t="shared" si="3"/>
        <v>0</v>
      </c>
      <c r="R1505" s="9">
        <v>1997.0</v>
      </c>
      <c r="S1505" s="9">
        <v>6.7</v>
      </c>
    </row>
    <row r="1506" ht="15.75" customHeight="1">
      <c r="A1506" s="21" t="s">
        <v>5262</v>
      </c>
      <c r="B1506" s="8" t="str">
        <f>IFERROR(__xludf.DUMMYFUNCTION("REGEXREPLACE(A1506, ""[^0-9a-zA-Z .'Ã]"","""")"),"Jake Kasdan")</f>
        <v>Jake Kasdan</v>
      </c>
      <c r="C1506" s="22">
        <v>286.0</v>
      </c>
      <c r="D1506" s="23">
        <v>1.00292856E8</v>
      </c>
      <c r="E1506" s="22" t="s">
        <v>137</v>
      </c>
      <c r="F1506" s="9">
        <f t="shared" si="1"/>
        <v>1</v>
      </c>
      <c r="G1506" s="22" t="s">
        <v>302</v>
      </c>
      <c r="H1506" s="11" t="str">
        <f>IFERROR(__xludf.DUMMYFUNCTION("REGEXREPLACE(G1506, ""[^0-9a-zA-Z .'Ã]"","""")"),"Justin Timberlake")</f>
        <v>Justin Timberlake</v>
      </c>
      <c r="I1506" s="24" t="s">
        <v>5263</v>
      </c>
      <c r="J1506" s="22">
        <v>160418.0</v>
      </c>
      <c r="K1506" s="22" t="s">
        <v>5264</v>
      </c>
      <c r="L1506" s="22">
        <v>296.0</v>
      </c>
      <c r="M1506" s="22" t="s">
        <v>24</v>
      </c>
      <c r="N1506" s="22" t="s">
        <v>25</v>
      </c>
      <c r="O1506" s="23">
        <v>2.0E7</v>
      </c>
      <c r="P1506" s="10">
        <f t="shared" si="2"/>
        <v>80292856</v>
      </c>
      <c r="Q1506" s="12">
        <f t="shared" si="3"/>
        <v>0</v>
      </c>
      <c r="R1506" s="22">
        <v>2011.0</v>
      </c>
      <c r="S1506" s="22">
        <v>5.7</v>
      </c>
    </row>
    <row r="1507" ht="15.75" customHeight="1">
      <c r="A1507" s="7" t="s">
        <v>5126</v>
      </c>
      <c r="B1507" s="8" t="str">
        <f>IFERROR(__xludf.DUMMYFUNCTION("REGEXREPLACE(A1507, ""[^0-9a-zA-Z .'Ã]"","""")"),"Clark Johnson")</f>
        <v>Clark Johnson</v>
      </c>
      <c r="C1507" s="9">
        <v>144.0</v>
      </c>
      <c r="D1507" s="10">
        <v>1.16643346E8</v>
      </c>
      <c r="E1507" s="9" t="s">
        <v>711</v>
      </c>
      <c r="F1507" s="9">
        <f t="shared" si="1"/>
        <v>4</v>
      </c>
      <c r="G1507" s="9" t="s">
        <v>480</v>
      </c>
      <c r="H1507" s="11" t="str">
        <f>IFERROR(__xludf.DUMMYFUNCTION("REGEXREPLACE(G1507, ""[^0-9a-zA-Z .'Ã]"","""")"),"Jeremy Renner")</f>
        <v>Jeremy Renner</v>
      </c>
      <c r="I1507" s="11" t="s">
        <v>5265</v>
      </c>
      <c r="J1507" s="9">
        <v>119807.0</v>
      </c>
      <c r="K1507" s="9" t="s">
        <v>5266</v>
      </c>
      <c r="L1507" s="9">
        <v>340.0</v>
      </c>
      <c r="M1507" s="9" t="s">
        <v>24</v>
      </c>
      <c r="N1507" s="9" t="s">
        <v>25</v>
      </c>
      <c r="O1507" s="10">
        <v>8.0E7</v>
      </c>
      <c r="P1507" s="10">
        <f t="shared" si="2"/>
        <v>36643346</v>
      </c>
      <c r="Q1507" s="12">
        <f t="shared" si="3"/>
        <v>0</v>
      </c>
      <c r="R1507" s="9">
        <v>2003.0</v>
      </c>
      <c r="S1507" s="9">
        <v>6.0</v>
      </c>
    </row>
    <row r="1508" ht="15.75" customHeight="1">
      <c r="A1508" s="17" t="s">
        <v>4151</v>
      </c>
      <c r="B1508" s="8" t="str">
        <f>IFERROR(__xludf.DUMMYFUNCTION("REGEXREPLACE(A1508, ""[^0-9a-zA-Z .'Ã]"","""")"),"Frank Coraci")</f>
        <v>Frank Coraci</v>
      </c>
      <c r="C1508" s="18">
        <v>154.0</v>
      </c>
      <c r="D1508" s="19">
        <v>4.5290318E7</v>
      </c>
      <c r="E1508" s="18" t="s">
        <v>5267</v>
      </c>
      <c r="F1508" s="9">
        <f t="shared" si="1"/>
        <v>3</v>
      </c>
      <c r="G1508" s="18" t="s">
        <v>4843</v>
      </c>
      <c r="H1508" s="11" t="str">
        <f>IFERROR(__xludf.DUMMYFUNCTION("REGEXREPLACE(G1508, ""[^0-9a-zA-Z .'Ã]"","""")"),"Salma Hayek")</f>
        <v>Salma Hayek</v>
      </c>
      <c r="I1508" s="20" t="s">
        <v>5268</v>
      </c>
      <c r="J1508" s="18">
        <v>74169.0</v>
      </c>
      <c r="K1508" s="18" t="s">
        <v>5269</v>
      </c>
      <c r="L1508" s="18">
        <v>112.0</v>
      </c>
      <c r="M1508" s="18" t="s">
        <v>24</v>
      </c>
      <c r="N1508" s="18" t="s">
        <v>25</v>
      </c>
      <c r="O1508" s="19">
        <v>4.2E7</v>
      </c>
      <c r="P1508" s="10">
        <f t="shared" si="2"/>
        <v>3290318</v>
      </c>
      <c r="Q1508" s="12">
        <f t="shared" si="3"/>
        <v>0</v>
      </c>
      <c r="R1508" s="18">
        <v>2012.0</v>
      </c>
      <c r="S1508" s="18">
        <v>6.5</v>
      </c>
    </row>
    <row r="1509" ht="15.75" customHeight="1">
      <c r="A1509" s="17" t="s">
        <v>1515</v>
      </c>
      <c r="B1509" s="8" t="str">
        <f>IFERROR(__xludf.DUMMYFUNCTION("REGEXREPLACE(A1509, ""[^0-9a-zA-Z .'Ã]"","""")"),"Marc Forster")</f>
        <v>Marc Forster</v>
      </c>
      <c r="C1509" s="18">
        <v>253.0</v>
      </c>
      <c r="D1509" s="19">
        <v>4.0137776E7</v>
      </c>
      <c r="E1509" s="18" t="s">
        <v>59</v>
      </c>
      <c r="F1509" s="9">
        <f t="shared" si="1"/>
        <v>4</v>
      </c>
      <c r="G1509" s="18" t="s">
        <v>441</v>
      </c>
      <c r="H1509" s="11" t="str">
        <f>IFERROR(__xludf.DUMMYFUNCTION("REGEXREPLACE(G1509, ""[^0-9a-zA-Z .'Ã]"","""")"),"Will Ferrell")</f>
        <v>Will Ferrell</v>
      </c>
      <c r="I1509" s="20" t="s">
        <v>5270</v>
      </c>
      <c r="J1509" s="18">
        <v>186977.0</v>
      </c>
      <c r="K1509" s="18" t="s">
        <v>5271</v>
      </c>
      <c r="L1509" s="18">
        <v>529.0</v>
      </c>
      <c r="M1509" s="18" t="s">
        <v>24</v>
      </c>
      <c r="N1509" s="18" t="s">
        <v>25</v>
      </c>
      <c r="O1509" s="19">
        <v>3.8E7</v>
      </c>
      <c r="P1509" s="10">
        <f t="shared" si="2"/>
        <v>2137776</v>
      </c>
      <c r="Q1509" s="12">
        <f t="shared" si="3"/>
        <v>0</v>
      </c>
      <c r="R1509" s="18">
        <v>2006.0</v>
      </c>
      <c r="S1509" s="18">
        <v>7.6</v>
      </c>
    </row>
    <row r="1510" ht="15.75" customHeight="1">
      <c r="A1510" s="7" t="s">
        <v>2505</v>
      </c>
      <c r="B1510" s="8" t="str">
        <f>IFERROR(__xludf.DUMMYFUNCTION("REGEXREPLACE(A1510, ""[^0-9a-zA-Z .'Ã]"","""")"),"Tony Scott")</f>
        <v>Tony Scott</v>
      </c>
      <c r="C1510" s="9">
        <v>267.0</v>
      </c>
      <c r="D1510" s="10">
        <v>6.5452312E7</v>
      </c>
      <c r="E1510" s="9" t="s">
        <v>152</v>
      </c>
      <c r="F1510" s="9">
        <f t="shared" si="1"/>
        <v>3</v>
      </c>
      <c r="G1510" s="9" t="s">
        <v>70</v>
      </c>
      <c r="H1510" s="11" t="str">
        <f>IFERROR(__xludf.DUMMYFUNCTION("REGEXREPLACE(G1510, ""[^0-9a-zA-Z .'Ã]"","""")"),"Denzel Washington")</f>
        <v>Denzel Washington</v>
      </c>
      <c r="I1510" s="11" t="s">
        <v>5272</v>
      </c>
      <c r="J1510" s="9">
        <v>149998.0</v>
      </c>
      <c r="K1510" s="9" t="s">
        <v>5273</v>
      </c>
      <c r="L1510" s="9">
        <v>285.0</v>
      </c>
      <c r="M1510" s="9" t="s">
        <v>24</v>
      </c>
      <c r="N1510" s="9" t="s">
        <v>25</v>
      </c>
      <c r="O1510" s="10">
        <v>1.0E8</v>
      </c>
      <c r="P1510" s="10">
        <f t="shared" si="2"/>
        <v>0</v>
      </c>
      <c r="Q1510" s="12">
        <f t="shared" si="3"/>
        <v>34547688</v>
      </c>
      <c r="R1510" s="9">
        <v>2009.0</v>
      </c>
      <c r="S1510" s="9">
        <v>6.4</v>
      </c>
    </row>
    <row r="1511" ht="15.75" customHeight="1">
      <c r="A1511" s="13" t="s">
        <v>4968</v>
      </c>
      <c r="B1511" s="8" t="str">
        <f>IFERROR(__xludf.DUMMYFUNCTION("REGEXREPLACE(A1511, ""[^0-9a-zA-Z .'Ã]"","""")"),"Justin Lin")</f>
        <v>Justin Lin</v>
      </c>
      <c r="C1511" s="14">
        <v>51.0</v>
      </c>
      <c r="D1511" s="15">
        <v>3799339.0</v>
      </c>
      <c r="E1511" s="14" t="s">
        <v>4961</v>
      </c>
      <c r="F1511" s="9">
        <f t="shared" si="1"/>
        <v>3</v>
      </c>
      <c r="G1511" s="14" t="s">
        <v>5274</v>
      </c>
      <c r="H1511" s="11" t="str">
        <f>IFERROR(__xludf.DUMMYFUNCTION("REGEXREPLACE(G1511, ""[^0-9a-zA-Z .'Ã]"","""")"),"Parry Shen")</f>
        <v>Parry Shen</v>
      </c>
      <c r="I1511" s="16" t="s">
        <v>5275</v>
      </c>
      <c r="J1511" s="14">
        <v>8000.0</v>
      </c>
      <c r="K1511" s="14" t="s">
        <v>5276</v>
      </c>
      <c r="L1511" s="14">
        <v>138.0</v>
      </c>
      <c r="M1511" s="14" t="s">
        <v>24</v>
      </c>
      <c r="N1511" s="14" t="s">
        <v>25</v>
      </c>
      <c r="O1511" s="15">
        <v>250000.0</v>
      </c>
      <c r="P1511" s="10">
        <f t="shared" si="2"/>
        <v>3549339</v>
      </c>
      <c r="Q1511" s="12">
        <f t="shared" si="3"/>
        <v>0</v>
      </c>
      <c r="R1511" s="14">
        <v>2002.0</v>
      </c>
      <c r="S1511" s="14">
        <v>7.2</v>
      </c>
    </row>
    <row r="1512" ht="15.75" customHeight="1">
      <c r="A1512" s="7" t="s">
        <v>5277</v>
      </c>
      <c r="B1512" s="8" t="str">
        <f>IFERROR(__xludf.DUMMYFUNCTION("REGEXREPLACE(A1512, ""[^0-9a-zA-Z .'Ã]"","""")"),"Bronwen Hughes")</f>
        <v>Bronwen Hughes</v>
      </c>
      <c r="C1512" s="9">
        <v>25.0</v>
      </c>
      <c r="D1512" s="10">
        <v>2.6539321E7</v>
      </c>
      <c r="E1512" s="9" t="s">
        <v>1486</v>
      </c>
      <c r="F1512" s="9">
        <f t="shared" si="1"/>
        <v>3</v>
      </c>
      <c r="G1512" s="9" t="s">
        <v>3864</v>
      </c>
      <c r="H1512" s="11" t="str">
        <f>IFERROR(__xludf.DUMMYFUNCTION("REGEXREPLACE(G1512, ""[^0-9a-zA-Z .'Ã]"","""")"),"Gregory Smith")</f>
        <v>Gregory Smith</v>
      </c>
      <c r="I1512" s="11" t="s">
        <v>5278</v>
      </c>
      <c r="J1512" s="9">
        <v>7984.0</v>
      </c>
      <c r="K1512" s="9" t="s">
        <v>5279</v>
      </c>
      <c r="L1512" s="9">
        <v>42.0</v>
      </c>
      <c r="M1512" s="9" t="s">
        <v>24</v>
      </c>
      <c r="N1512" s="9" t="s">
        <v>25</v>
      </c>
      <c r="O1512" s="10">
        <v>1.3E7</v>
      </c>
      <c r="P1512" s="10">
        <f t="shared" si="2"/>
        <v>13539321</v>
      </c>
      <c r="Q1512" s="12">
        <f t="shared" si="3"/>
        <v>0</v>
      </c>
      <c r="R1512" s="9">
        <v>1996.0</v>
      </c>
      <c r="S1512" s="9">
        <v>5.9</v>
      </c>
    </row>
    <row r="1513" ht="15.75" customHeight="1">
      <c r="A1513" s="13" t="s">
        <v>5280</v>
      </c>
      <c r="B1513" s="8" t="str">
        <f>IFERROR(__xludf.DUMMYFUNCTION("REGEXREPLACE(A1513, ""[^0-9a-zA-Z .'Ã]"","""")"),"Brandon Trost")</f>
        <v>Brandon Trost</v>
      </c>
      <c r="C1513" s="14">
        <v>66.0</v>
      </c>
      <c r="D1513" s="15">
        <v>40557.0</v>
      </c>
      <c r="E1513" s="14" t="s">
        <v>137</v>
      </c>
      <c r="F1513" s="9">
        <f t="shared" si="1"/>
        <v>1</v>
      </c>
      <c r="G1513" s="14" t="s">
        <v>806</v>
      </c>
      <c r="H1513" s="11" t="str">
        <f>IFERROR(__xludf.DUMMYFUNCTION("REGEXREPLACE(G1513, ""[^0-9a-zA-Z .'Ã]"","""")"),"Clifton Collins Jr.")</f>
        <v>Clifton Collins Jr.</v>
      </c>
      <c r="I1513" s="16" t="s">
        <v>5281</v>
      </c>
      <c r="J1513" s="14">
        <v>1389.0</v>
      </c>
      <c r="K1513" s="14" t="s">
        <v>5282</v>
      </c>
      <c r="L1513" s="14">
        <v>22.0</v>
      </c>
      <c r="M1513" s="14" t="s">
        <v>24</v>
      </c>
      <c r="N1513" s="14" t="s">
        <v>25</v>
      </c>
      <c r="O1513" s="15">
        <v>60000.0</v>
      </c>
      <c r="P1513" s="10">
        <f t="shared" si="2"/>
        <v>0</v>
      </c>
      <c r="Q1513" s="12">
        <f t="shared" si="3"/>
        <v>19443</v>
      </c>
      <c r="R1513" s="14">
        <v>2011.0</v>
      </c>
      <c r="S1513" s="14">
        <v>5.6</v>
      </c>
    </row>
    <row r="1514" ht="15.75" customHeight="1">
      <c r="A1514" s="7" t="s">
        <v>5283</v>
      </c>
      <c r="B1514" s="8" t="str">
        <f>IFERROR(__xludf.DUMMYFUNCTION("REGEXREPLACE(A1514, ""[^0-9a-zA-Z .'Ã]"","""")"),"Bob Clark")</f>
        <v>Bob Clark</v>
      </c>
      <c r="C1514" s="9">
        <v>32.0</v>
      </c>
      <c r="D1514" s="10">
        <v>9109322.0</v>
      </c>
      <c r="E1514" s="9" t="s">
        <v>5284</v>
      </c>
      <c r="F1514" s="9">
        <f t="shared" si="1"/>
        <v>3</v>
      </c>
      <c r="G1514" s="9" t="s">
        <v>5285</v>
      </c>
      <c r="H1514" s="11" t="str">
        <f>IFERROR(__xludf.DUMMYFUNCTION("REGEXREPLACE(G1514, ""[^0-9a-zA-Z .'Ã]"","""")"),"Scott Baio")</f>
        <v>Scott Baio</v>
      </c>
      <c r="I1514" s="11" t="s">
        <v>5286</v>
      </c>
      <c r="J1514" s="9">
        <v>25371.0</v>
      </c>
      <c r="K1514" s="9" t="s">
        <v>5287</v>
      </c>
      <c r="L1514" s="9">
        <v>129.0</v>
      </c>
      <c r="M1514" s="9" t="s">
        <v>24</v>
      </c>
      <c r="N1514" s="9" t="s">
        <v>173</v>
      </c>
      <c r="O1514" s="10">
        <v>2.0E7</v>
      </c>
      <c r="P1514" s="10">
        <f t="shared" si="2"/>
        <v>0</v>
      </c>
      <c r="Q1514" s="12">
        <f t="shared" si="3"/>
        <v>10890678</v>
      </c>
      <c r="R1514" s="9">
        <v>2004.0</v>
      </c>
      <c r="S1514" s="9">
        <v>1.9</v>
      </c>
    </row>
    <row r="1515" ht="15.75" customHeight="1">
      <c r="A1515" s="21" t="s">
        <v>2692</v>
      </c>
      <c r="B1515" s="8" t="str">
        <f>IFERROR(__xludf.DUMMYFUNCTION("REGEXREPLACE(A1515, ""[^0-9a-zA-Z .'Ã]"","""")"),"Taylor Hackford")</f>
        <v>Taylor Hackford</v>
      </c>
      <c r="C1515" s="22">
        <v>117.0</v>
      </c>
      <c r="D1515" s="23">
        <v>6.0984028E7</v>
      </c>
      <c r="E1515" s="22" t="s">
        <v>311</v>
      </c>
      <c r="F1515" s="9">
        <f t="shared" si="1"/>
        <v>3</v>
      </c>
      <c r="G1515" s="22" t="s">
        <v>1170</v>
      </c>
      <c r="H1515" s="11" t="str">
        <f>IFERROR(__xludf.DUMMYFUNCTION("REGEXREPLACE(G1515, ""[^0-9a-zA-Z .'Ã]"","""")"),"Keanu Reeves")</f>
        <v>Keanu Reeves</v>
      </c>
      <c r="I1515" s="24" t="s">
        <v>5288</v>
      </c>
      <c r="J1515" s="22">
        <v>259519.0</v>
      </c>
      <c r="K1515" s="22" t="s">
        <v>5289</v>
      </c>
      <c r="L1515" s="22">
        <v>431.0</v>
      </c>
      <c r="M1515" s="22" t="s">
        <v>24</v>
      </c>
      <c r="N1515" s="22" t="s">
        <v>25</v>
      </c>
      <c r="O1515" s="23">
        <v>5.7E7</v>
      </c>
      <c r="P1515" s="10">
        <f t="shared" si="2"/>
        <v>3984028</v>
      </c>
      <c r="Q1515" s="12">
        <f t="shared" si="3"/>
        <v>0</v>
      </c>
      <c r="R1515" s="22">
        <v>1997.0</v>
      </c>
      <c r="S1515" s="22">
        <v>7.5</v>
      </c>
    </row>
    <row r="1516" ht="15.75" customHeight="1">
      <c r="A1516" s="7" t="s">
        <v>5290</v>
      </c>
      <c r="B1516" s="8" t="str">
        <f>IFERROR(__xludf.DUMMYFUNCTION("REGEXREPLACE(A1516, ""[^0-9a-zA-Z .'Ã]"","""")"),"Kevin Macdonald")</f>
        <v>Kevin Macdonald</v>
      </c>
      <c r="C1516" s="9">
        <v>252.0</v>
      </c>
      <c r="D1516" s="10">
        <v>1.7605861E7</v>
      </c>
      <c r="E1516" s="9" t="s">
        <v>5291</v>
      </c>
      <c r="F1516" s="9">
        <f t="shared" si="1"/>
        <v>4</v>
      </c>
      <c r="G1516" s="9" t="s">
        <v>3250</v>
      </c>
      <c r="H1516" s="11" t="str">
        <f>IFERROR(__xludf.DUMMYFUNCTION("REGEXREPLACE(G1516, ""[^0-9a-zA-Z .'Ã]"","""")"),"David Oyelowo")</f>
        <v>David Oyelowo</v>
      </c>
      <c r="I1516" s="11" t="s">
        <v>5292</v>
      </c>
      <c r="J1516" s="9">
        <v>145580.0</v>
      </c>
      <c r="K1516" s="9" t="s">
        <v>5293</v>
      </c>
      <c r="L1516" s="9">
        <v>351.0</v>
      </c>
      <c r="M1516" s="9" t="s">
        <v>24</v>
      </c>
      <c r="N1516" s="9" t="s">
        <v>130</v>
      </c>
      <c r="O1516" s="10">
        <v>6000000.0</v>
      </c>
      <c r="P1516" s="10">
        <f t="shared" si="2"/>
        <v>11605861</v>
      </c>
      <c r="Q1516" s="12">
        <f t="shared" si="3"/>
        <v>0</v>
      </c>
      <c r="R1516" s="9">
        <v>2006.0</v>
      </c>
      <c r="S1516" s="9">
        <v>7.7</v>
      </c>
    </row>
    <row r="1517" ht="15.75" customHeight="1">
      <c r="A1517" s="17" t="s">
        <v>3171</v>
      </c>
      <c r="B1517" s="8" t="str">
        <f>IFERROR(__xludf.DUMMYFUNCTION("REGEXREPLACE(A1517, ""[^0-9a-zA-Z .'Ã]"","""")"),"Steven Quale")</f>
        <v>Steven Quale</v>
      </c>
      <c r="C1517" s="18">
        <v>277.0</v>
      </c>
      <c r="D1517" s="19">
        <v>4.2575718E7</v>
      </c>
      <c r="E1517" s="18" t="s">
        <v>148</v>
      </c>
      <c r="F1517" s="9">
        <f t="shared" si="1"/>
        <v>1</v>
      </c>
      <c r="G1517" s="18" t="s">
        <v>5294</v>
      </c>
      <c r="H1517" s="11" t="str">
        <f>IFERROR(__xludf.DUMMYFUNCTION("REGEXREPLACE(G1517, ""[^0-9a-zA-Z .'Ã]"","""")"),"Emma Bell")</f>
        <v>Emma Bell</v>
      </c>
      <c r="I1517" s="20" t="s">
        <v>5295</v>
      </c>
      <c r="J1517" s="18">
        <v>83788.0</v>
      </c>
      <c r="K1517" s="18" t="s">
        <v>5296</v>
      </c>
      <c r="L1517" s="18">
        <v>227.0</v>
      </c>
      <c r="M1517" s="18" t="s">
        <v>24</v>
      </c>
      <c r="N1517" s="18" t="s">
        <v>25</v>
      </c>
      <c r="O1517" s="19">
        <v>4.0E7</v>
      </c>
      <c r="P1517" s="10">
        <f t="shared" si="2"/>
        <v>2575718</v>
      </c>
      <c r="Q1517" s="12">
        <f t="shared" si="3"/>
        <v>0</v>
      </c>
      <c r="R1517" s="18">
        <v>2011.0</v>
      </c>
      <c r="S1517" s="18">
        <v>5.9</v>
      </c>
    </row>
    <row r="1518" ht="15.75" customHeight="1">
      <c r="A1518" s="7" t="s">
        <v>5297</v>
      </c>
      <c r="B1518" s="8" t="str">
        <f>IFERROR(__xludf.DUMMYFUNCTION("REGEXREPLACE(A1518, ""[^0-9a-zA-Z .'Ã]"","""")"),"John Maybury")</f>
        <v>John Maybury</v>
      </c>
      <c r="C1518" s="9">
        <v>161.0</v>
      </c>
      <c r="D1518" s="10">
        <v>6301131.0</v>
      </c>
      <c r="E1518" s="9" t="s">
        <v>1592</v>
      </c>
      <c r="F1518" s="9">
        <f t="shared" si="1"/>
        <v>4</v>
      </c>
      <c r="G1518" s="9" t="s">
        <v>4998</v>
      </c>
      <c r="H1518" s="11" t="str">
        <f>IFERROR(__xludf.DUMMYFUNCTION("REGEXREPLACE(G1518, ""[^0-9a-zA-Z .'Ã]"","""")"),"Jennifer Jason Leigh")</f>
        <v>Jennifer Jason Leigh</v>
      </c>
      <c r="I1518" s="11" t="s">
        <v>5298</v>
      </c>
      <c r="J1518" s="9">
        <v>92850.0</v>
      </c>
      <c r="K1518" s="9" t="s">
        <v>5299</v>
      </c>
      <c r="L1518" s="9">
        <v>263.0</v>
      </c>
      <c r="M1518" s="9" t="s">
        <v>24</v>
      </c>
      <c r="N1518" s="9" t="s">
        <v>25</v>
      </c>
      <c r="O1518" s="10">
        <v>2.9E7</v>
      </c>
      <c r="P1518" s="10">
        <f t="shared" si="2"/>
        <v>0</v>
      </c>
      <c r="Q1518" s="12">
        <f t="shared" si="3"/>
        <v>22698869</v>
      </c>
      <c r="R1518" s="9">
        <v>2005.0</v>
      </c>
      <c r="S1518" s="9">
        <v>7.1</v>
      </c>
    </row>
    <row r="1519" ht="15.75" customHeight="1">
      <c r="A1519" s="25" t="s">
        <v>4307</v>
      </c>
      <c r="B1519" s="8" t="str">
        <f>IFERROR(__xludf.DUMMYFUNCTION("REGEXREPLACE(A1519, ""[^0-9a-zA-Z .'Ã]"","""")"),"Scott Cooper")</f>
        <v>Scott Cooper</v>
      </c>
      <c r="C1519" s="26">
        <v>391.0</v>
      </c>
      <c r="D1519" s="27">
        <v>6.2563543E7</v>
      </c>
      <c r="E1519" s="26" t="s">
        <v>1774</v>
      </c>
      <c r="F1519" s="9">
        <f t="shared" si="1"/>
        <v>3</v>
      </c>
      <c r="G1519" s="26" t="s">
        <v>85</v>
      </c>
      <c r="H1519" s="11" t="str">
        <f>IFERROR(__xludf.DUMMYFUNCTION("REGEXREPLACE(G1519, ""[^0-9a-zA-Z .'Ã]"","""")"),"Johnny Depp")</f>
        <v>Johnny Depp</v>
      </c>
      <c r="I1519" s="28" t="s">
        <v>5300</v>
      </c>
      <c r="J1519" s="26">
        <v>115216.0</v>
      </c>
      <c r="K1519" s="26" t="s">
        <v>5301</v>
      </c>
      <c r="L1519" s="26">
        <v>289.0</v>
      </c>
      <c r="M1519" s="26" t="s">
        <v>24</v>
      </c>
      <c r="N1519" s="26" t="s">
        <v>25</v>
      </c>
      <c r="O1519" s="27">
        <v>5.3E7</v>
      </c>
      <c r="P1519" s="10">
        <f t="shared" si="2"/>
        <v>9563543</v>
      </c>
      <c r="Q1519" s="12">
        <f t="shared" si="3"/>
        <v>0</v>
      </c>
      <c r="R1519" s="26">
        <v>2015.0</v>
      </c>
      <c r="S1519" s="26">
        <v>7.0</v>
      </c>
    </row>
    <row r="1520" ht="15.75" customHeight="1">
      <c r="A1520" s="7" t="s">
        <v>5302</v>
      </c>
      <c r="B1520" s="8" t="str">
        <f>IFERROR(__xludf.DUMMYFUNCTION("REGEXREPLACE(A1520, ""[^0-9a-zA-Z .'Ã]"","""")"),"Marcus Dunstan")</f>
        <v>Marcus Dunstan</v>
      </c>
      <c r="C1520" s="9">
        <v>147.0</v>
      </c>
      <c r="D1520" s="10">
        <v>6842058.0</v>
      </c>
      <c r="E1520" s="9" t="s">
        <v>2745</v>
      </c>
      <c r="F1520" s="9">
        <f t="shared" si="1"/>
        <v>3</v>
      </c>
      <c r="G1520" s="9" t="s">
        <v>5303</v>
      </c>
      <c r="H1520" s="11" t="str">
        <f>IFERROR(__xludf.DUMMYFUNCTION("REGEXREPLACE(G1520, ""[^0-9a-zA-Z .'Ã]"","""")"),"Daniel Sharman")</f>
        <v>Daniel Sharman</v>
      </c>
      <c r="I1520" s="11" t="s">
        <v>5304</v>
      </c>
      <c r="J1520" s="9">
        <v>36029.0</v>
      </c>
      <c r="K1520" s="9" t="s">
        <v>5305</v>
      </c>
      <c r="L1520" s="9">
        <v>99.0</v>
      </c>
      <c r="M1520" s="9" t="s">
        <v>24</v>
      </c>
      <c r="N1520" s="9" t="s">
        <v>25</v>
      </c>
      <c r="O1520" s="10">
        <v>1.0E7</v>
      </c>
      <c r="P1520" s="10">
        <f t="shared" si="2"/>
        <v>0</v>
      </c>
      <c r="Q1520" s="12">
        <f t="shared" si="3"/>
        <v>3157942</v>
      </c>
      <c r="R1520" s="9">
        <v>2012.0</v>
      </c>
      <c r="S1520" s="9">
        <v>6.1</v>
      </c>
    </row>
    <row r="1521" ht="15.75" customHeight="1">
      <c r="A1521" s="7" t="s">
        <v>4877</v>
      </c>
      <c r="B1521" s="8" t="str">
        <f>IFERROR(__xludf.DUMMYFUNCTION("REGEXREPLACE(A1521, ""[^0-9a-zA-Z .'Ã]"","""")"),"Hayao Miyazaki")</f>
        <v>Hayao Miyazaki</v>
      </c>
      <c r="C1521" s="9">
        <v>256.0</v>
      </c>
      <c r="D1521" s="10">
        <v>1.5081783E7</v>
      </c>
      <c r="E1521" s="9" t="s">
        <v>865</v>
      </c>
      <c r="F1521" s="9">
        <f t="shared" si="1"/>
        <v>4</v>
      </c>
      <c r="G1521" s="9" t="s">
        <v>5306</v>
      </c>
      <c r="H1521" s="11" t="str">
        <f>IFERROR(__xludf.DUMMYFUNCTION("REGEXREPLACE(G1521, ""[^0-9a-zA-Z .'Ã]"","""")"),"Rumi Hiiragi")</f>
        <v>Rumi Hiiragi</v>
      </c>
      <c r="I1521" s="11" t="s">
        <v>5307</v>
      </c>
      <c r="J1521" s="9">
        <v>85589.0</v>
      </c>
      <c r="K1521" s="9" t="s">
        <v>5308</v>
      </c>
      <c r="L1521" s="9">
        <v>144.0</v>
      </c>
      <c r="M1521" s="9" t="s">
        <v>1534</v>
      </c>
      <c r="N1521" s="9" t="s">
        <v>1535</v>
      </c>
      <c r="O1521" s="10">
        <v>3.4E7</v>
      </c>
      <c r="P1521" s="10">
        <f t="shared" si="2"/>
        <v>0</v>
      </c>
      <c r="Q1521" s="12">
        <f t="shared" si="3"/>
        <v>18918217</v>
      </c>
      <c r="R1521" s="9">
        <v>2008.0</v>
      </c>
      <c r="S1521" s="9">
        <v>7.7</v>
      </c>
    </row>
    <row r="1522" ht="15.75" customHeight="1">
      <c r="A1522" s="7" t="s">
        <v>2984</v>
      </c>
      <c r="B1522" s="8" t="str">
        <f>IFERROR(__xludf.DUMMYFUNCTION("REGEXREPLACE(A1522, ""[^0-9a-zA-Z .'Ã]"","""")"),"David Mamet")</f>
        <v>David Mamet</v>
      </c>
      <c r="C1522" s="9">
        <v>97.0</v>
      </c>
      <c r="D1522" s="10">
        <v>1.02E7</v>
      </c>
      <c r="E1522" s="9" t="s">
        <v>311</v>
      </c>
      <c r="F1522" s="9">
        <f t="shared" si="1"/>
        <v>3</v>
      </c>
      <c r="G1522" s="9" t="s">
        <v>5309</v>
      </c>
      <c r="H1522" s="11" t="str">
        <f>IFERROR(__xludf.DUMMYFUNCTION("REGEXREPLACE(G1522, ""[^0-9a-zA-Z .'Ã]"","""")"),"Ben Gazzara")</f>
        <v>Ben Gazzara</v>
      </c>
      <c r="I1522" s="11" t="s">
        <v>5310</v>
      </c>
      <c r="J1522" s="9">
        <v>18697.0</v>
      </c>
      <c r="K1522" s="9" t="s">
        <v>5311</v>
      </c>
      <c r="L1522" s="9">
        <v>263.0</v>
      </c>
      <c r="M1522" s="9" t="s">
        <v>24</v>
      </c>
      <c r="N1522" s="9" t="s">
        <v>25</v>
      </c>
      <c r="O1522" s="10">
        <v>1.0E7</v>
      </c>
      <c r="P1522" s="10">
        <f t="shared" si="2"/>
        <v>200000</v>
      </c>
      <c r="Q1522" s="12">
        <f t="shared" si="3"/>
        <v>0</v>
      </c>
      <c r="R1522" s="9">
        <v>1997.0</v>
      </c>
      <c r="S1522" s="9">
        <v>7.3</v>
      </c>
    </row>
    <row r="1523" ht="15.75" customHeight="1">
      <c r="A1523" s="7" t="s">
        <v>5312</v>
      </c>
      <c r="B1523" s="8" t="str">
        <f>IFERROR(__xludf.DUMMYFUNCTION("REGEXREPLACE(A1523, ""[^0-9a-zA-Z .'Ã]"","""")"),"Nicolas Winding Refn")</f>
        <v>Nicolas Winding Refn</v>
      </c>
      <c r="C1523" s="9">
        <v>440.0</v>
      </c>
      <c r="D1523" s="10">
        <v>778565.0</v>
      </c>
      <c r="E1523" s="9" t="s">
        <v>54</v>
      </c>
      <c r="F1523" s="9">
        <f t="shared" si="1"/>
        <v>2</v>
      </c>
      <c r="G1523" s="9" t="s">
        <v>224</v>
      </c>
      <c r="H1523" s="11" t="str">
        <f>IFERROR(__xludf.DUMMYFUNCTION("REGEXREPLACE(G1523, ""[^0-9a-zA-Z .'Ã]"","""")"),"Ryan Gosling")</f>
        <v>Ryan Gosling</v>
      </c>
      <c r="I1523" s="11" t="s">
        <v>5313</v>
      </c>
      <c r="J1523" s="9">
        <v>83234.0</v>
      </c>
      <c r="K1523" s="9" t="s">
        <v>5314</v>
      </c>
      <c r="L1523" s="9">
        <v>475.0</v>
      </c>
      <c r="M1523" s="9" t="s">
        <v>24</v>
      </c>
      <c r="N1523" s="9" t="s">
        <v>4016</v>
      </c>
      <c r="O1523" s="10">
        <v>4800000.0</v>
      </c>
      <c r="P1523" s="10">
        <f t="shared" si="2"/>
        <v>0</v>
      </c>
      <c r="Q1523" s="12">
        <f t="shared" si="3"/>
        <v>4021435</v>
      </c>
      <c r="R1523" s="9">
        <v>2013.0</v>
      </c>
      <c r="S1523" s="9">
        <v>5.7</v>
      </c>
    </row>
    <row r="1524" ht="15.75" customHeight="1">
      <c r="A1524" s="25" t="s">
        <v>1251</v>
      </c>
      <c r="B1524" s="8" t="str">
        <f>IFERROR(__xludf.DUMMYFUNCTION("REGEXREPLACE(A1524, ""[^0-9a-zA-Z .'Ã]"","""")"),"Chris Weitz")</f>
        <v>Chris Weitz</v>
      </c>
      <c r="C1524" s="26">
        <v>61.0</v>
      </c>
      <c r="D1524" s="27">
        <v>6.4172251E7</v>
      </c>
      <c r="E1524" s="26" t="s">
        <v>615</v>
      </c>
      <c r="F1524" s="9">
        <f t="shared" si="1"/>
        <v>2</v>
      </c>
      <c r="G1524" s="26" t="s">
        <v>1875</v>
      </c>
      <c r="H1524" s="11" t="str">
        <f>IFERROR(__xludf.DUMMYFUNCTION("REGEXREPLACE(G1524, ""[^0-9a-zA-Z .'Ã]"","""")"),"Chazz Palminteri")</f>
        <v>Chazz Palminteri</v>
      </c>
      <c r="I1524" s="28" t="s">
        <v>5315</v>
      </c>
      <c r="J1524" s="26">
        <v>19079.0</v>
      </c>
      <c r="K1524" s="26" t="s">
        <v>5316</v>
      </c>
      <c r="L1524" s="26">
        <v>122.0</v>
      </c>
      <c r="M1524" s="26" t="s">
        <v>24</v>
      </c>
      <c r="N1524" s="26" t="s">
        <v>25</v>
      </c>
      <c r="O1524" s="27">
        <v>3.0E7</v>
      </c>
      <c r="P1524" s="10">
        <f t="shared" si="2"/>
        <v>34172251</v>
      </c>
      <c r="Q1524" s="12">
        <f t="shared" si="3"/>
        <v>0</v>
      </c>
      <c r="R1524" s="26">
        <v>2001.0</v>
      </c>
      <c r="S1524" s="26">
        <v>5.4</v>
      </c>
    </row>
    <row r="1525" ht="15.75" customHeight="1">
      <c r="A1525" s="7" t="s">
        <v>31</v>
      </c>
      <c r="B1525" s="8" t="str">
        <f>IFERROR(__xludf.DUMMYFUNCTION("REGEXREPLACE(A1525, ""[^0-9a-zA-Z .'Ã]"","""")"),"Gavin O'Connor")</f>
        <v>Gavin O'Connor</v>
      </c>
      <c r="C1525" s="9">
        <v>317.0</v>
      </c>
      <c r="D1525" s="10">
        <v>1.3651662E7</v>
      </c>
      <c r="E1525" s="9" t="s">
        <v>132</v>
      </c>
      <c r="F1525" s="9">
        <f t="shared" si="1"/>
        <v>2</v>
      </c>
      <c r="G1525" s="9" t="s">
        <v>1634</v>
      </c>
      <c r="H1525" s="11" t="str">
        <f>IFERROR(__xludf.DUMMYFUNCTION("REGEXREPLACE(G1525, ""[^0-9a-zA-Z .'Ã]"","""")"),"Tom Hardy")</f>
        <v>Tom Hardy</v>
      </c>
      <c r="I1525" s="11" t="s">
        <v>5317</v>
      </c>
      <c r="J1525" s="9">
        <v>332276.0</v>
      </c>
      <c r="K1525" s="9" t="s">
        <v>5318</v>
      </c>
      <c r="L1525" s="9">
        <v>514.0</v>
      </c>
      <c r="M1525" s="9" t="s">
        <v>24</v>
      </c>
      <c r="N1525" s="9" t="s">
        <v>25</v>
      </c>
      <c r="O1525" s="10">
        <v>2.5E7</v>
      </c>
      <c r="P1525" s="10">
        <f t="shared" si="2"/>
        <v>0</v>
      </c>
      <c r="Q1525" s="12">
        <f t="shared" si="3"/>
        <v>11348338</v>
      </c>
      <c r="R1525" s="9">
        <v>2011.0</v>
      </c>
      <c r="S1525" s="9">
        <v>8.2</v>
      </c>
    </row>
    <row r="1526" ht="15.75" customHeight="1">
      <c r="A1526" s="25" t="s">
        <v>3013</v>
      </c>
      <c r="B1526" s="8" t="str">
        <f>IFERROR(__xludf.DUMMYFUNCTION("REGEXREPLACE(A1526, ""[^0-9a-zA-Z -.'Ã]"","""")"),"Jean-Marc VallÃe")</f>
        <v>Jean-Marc VallÃe</v>
      </c>
      <c r="C1526" s="26">
        <v>349.0</v>
      </c>
      <c r="D1526" s="27">
        <v>3.7877959E7</v>
      </c>
      <c r="E1526" s="26" t="s">
        <v>4932</v>
      </c>
      <c r="F1526" s="9">
        <f t="shared" si="1"/>
        <v>3</v>
      </c>
      <c r="G1526" s="26" t="s">
        <v>5319</v>
      </c>
      <c r="H1526" s="11" t="str">
        <f>IFERROR(__xludf.DUMMYFUNCTION("REGEXREPLACE(G1526, ""[^0-9a-zA-Z .'Ã]"","""")"),"Michiel Huisman")</f>
        <v>Michiel Huisman</v>
      </c>
      <c r="I1526" s="28" t="s">
        <v>5320</v>
      </c>
      <c r="J1526" s="26">
        <v>86664.0</v>
      </c>
      <c r="K1526" s="26" t="s">
        <v>5321</v>
      </c>
      <c r="L1526" s="26">
        <v>252.0</v>
      </c>
      <c r="M1526" s="26" t="s">
        <v>24</v>
      </c>
      <c r="N1526" s="26" t="s">
        <v>25</v>
      </c>
      <c r="O1526" s="27">
        <v>1.5E7</v>
      </c>
      <c r="P1526" s="10">
        <f t="shared" si="2"/>
        <v>22877959</v>
      </c>
      <c r="Q1526" s="12">
        <f t="shared" si="3"/>
        <v>0</v>
      </c>
      <c r="R1526" s="26">
        <v>2014.0</v>
      </c>
      <c r="S1526" s="26">
        <v>7.1</v>
      </c>
    </row>
    <row r="1527" ht="15.75" customHeight="1">
      <c r="A1527" s="21" t="s">
        <v>1816</v>
      </c>
      <c r="B1527" s="8" t="str">
        <f>IFERROR(__xludf.DUMMYFUNCTION("REGEXREPLACE(A1527, ""[^0-9a-zA-Z .'Ã]"","""")"),"Robert Redford")</f>
        <v>Robert Redford</v>
      </c>
      <c r="C1527" s="22">
        <v>62.0</v>
      </c>
      <c r="D1527" s="23">
        <v>5.48E7</v>
      </c>
      <c r="E1527" s="22" t="s">
        <v>103</v>
      </c>
      <c r="F1527" s="9">
        <f t="shared" si="1"/>
        <v>1</v>
      </c>
      <c r="G1527" s="22" t="s">
        <v>5322</v>
      </c>
      <c r="H1527" s="11" t="str">
        <f>IFERROR(__xludf.DUMMYFUNCTION("REGEXREPLACE(G1527, ""[^0-9a-zA-Z .'Ã]"","""")"),"Adam Baldwin")</f>
        <v>Adam Baldwin</v>
      </c>
      <c r="I1527" s="24" t="s">
        <v>5323</v>
      </c>
      <c r="J1527" s="22">
        <v>35130.0</v>
      </c>
      <c r="K1527" s="22" t="s">
        <v>5324</v>
      </c>
      <c r="L1527" s="22">
        <v>283.0</v>
      </c>
      <c r="M1527" s="22" t="s">
        <v>24</v>
      </c>
      <c r="N1527" s="22" t="s">
        <v>25</v>
      </c>
      <c r="O1527" s="23">
        <v>6000000.0</v>
      </c>
      <c r="P1527" s="10">
        <f t="shared" si="2"/>
        <v>48800000</v>
      </c>
      <c r="Q1527" s="12">
        <f t="shared" si="3"/>
        <v>0</v>
      </c>
      <c r="R1527" s="22">
        <v>1980.0</v>
      </c>
      <c r="S1527" s="22">
        <v>7.8</v>
      </c>
    </row>
    <row r="1528" ht="15.75" customHeight="1">
      <c r="A1528" s="13" t="s">
        <v>5325</v>
      </c>
      <c r="B1528" s="8" t="str">
        <f>IFERROR(__xludf.DUMMYFUNCTION("REGEXREPLACE(A1528, ""[^0-9a-zA-Z .'Ã]"","""")"),"Jonathan Hensleigh")</f>
        <v>Jonathan Hensleigh</v>
      </c>
      <c r="C1528" s="14">
        <v>192.0</v>
      </c>
      <c r="D1528" s="15">
        <v>3.3682273E7</v>
      </c>
      <c r="E1528" s="14" t="s">
        <v>501</v>
      </c>
      <c r="F1528" s="9">
        <f t="shared" si="1"/>
        <v>4</v>
      </c>
      <c r="G1528" s="14" t="s">
        <v>5326</v>
      </c>
      <c r="H1528" s="11" t="str">
        <f>IFERROR(__xludf.DUMMYFUNCTION("REGEXREPLACE(G1528, ""[^0-9a-zA-Z .'Ã]"","""")"),"Laura Harring")</f>
        <v>Laura Harring</v>
      </c>
      <c r="I1528" s="16" t="s">
        <v>5327</v>
      </c>
      <c r="J1528" s="14">
        <v>124242.0</v>
      </c>
      <c r="K1528" s="14" t="s">
        <v>5328</v>
      </c>
      <c r="L1528" s="14">
        <v>622.0</v>
      </c>
      <c r="M1528" s="14" t="s">
        <v>24</v>
      </c>
      <c r="N1528" s="14" t="s">
        <v>25</v>
      </c>
      <c r="O1528" s="15">
        <v>3.3E7</v>
      </c>
      <c r="P1528" s="10">
        <f t="shared" si="2"/>
        <v>682273</v>
      </c>
      <c r="Q1528" s="12">
        <f t="shared" si="3"/>
        <v>0</v>
      </c>
      <c r="R1528" s="14">
        <v>2004.0</v>
      </c>
      <c r="S1528" s="14">
        <v>6.5</v>
      </c>
    </row>
    <row r="1529" ht="15.75" customHeight="1">
      <c r="A1529" s="7" t="s">
        <v>5329</v>
      </c>
      <c r="B1529" s="8" t="str">
        <f>IFERROR(__xludf.DUMMYFUNCTION("REGEXREPLACE(A1529, ""[^0-9a-zA-Z .'Ã]"","""")"),"George Armitage")</f>
        <v>George Armitage</v>
      </c>
      <c r="C1529" s="9">
        <v>111.0</v>
      </c>
      <c r="D1529" s="10">
        <v>2.8014536E7</v>
      </c>
      <c r="E1529" s="9" t="s">
        <v>1302</v>
      </c>
      <c r="F1529" s="9">
        <f t="shared" si="1"/>
        <v>5</v>
      </c>
      <c r="G1529" s="9" t="s">
        <v>1397</v>
      </c>
      <c r="H1529" s="11" t="str">
        <f>IFERROR(__xludf.DUMMYFUNCTION("REGEXREPLACE(G1529, ""[^0-9a-zA-Z .'Ã]"","""")"),"Minnie Driver")</f>
        <v>Minnie Driver</v>
      </c>
      <c r="I1529" s="11" t="s">
        <v>5330</v>
      </c>
      <c r="J1529" s="9">
        <v>73347.0</v>
      </c>
      <c r="K1529" s="9" t="s">
        <v>5331</v>
      </c>
      <c r="L1529" s="9">
        <v>296.0</v>
      </c>
      <c r="M1529" s="9" t="s">
        <v>24</v>
      </c>
      <c r="N1529" s="9" t="s">
        <v>25</v>
      </c>
      <c r="O1529" s="10">
        <v>1.5E7</v>
      </c>
      <c r="P1529" s="10">
        <f t="shared" si="2"/>
        <v>13014536</v>
      </c>
      <c r="Q1529" s="12">
        <f t="shared" si="3"/>
        <v>0</v>
      </c>
      <c r="R1529" s="9">
        <v>1997.0</v>
      </c>
      <c r="S1529" s="9">
        <v>7.4</v>
      </c>
    </row>
    <row r="1530" ht="15.75" customHeight="1">
      <c r="A1530" s="17" t="s">
        <v>4789</v>
      </c>
      <c r="B1530" s="8" t="str">
        <f>IFERROR(__xludf.DUMMYFUNCTION("REGEXREPLACE(A1530, ""[^0-9a-zA-Z .'Ã]"","""")"),"Albert Hughes")</f>
        <v>Albert Hughes</v>
      </c>
      <c r="C1530" s="18">
        <v>28.0</v>
      </c>
      <c r="D1530" s="19">
        <v>2.79E7</v>
      </c>
      <c r="E1530" s="18" t="s">
        <v>113</v>
      </c>
      <c r="F1530" s="9">
        <f t="shared" si="1"/>
        <v>3</v>
      </c>
      <c r="G1530" s="18" t="s">
        <v>266</v>
      </c>
      <c r="H1530" s="11" t="str">
        <f>IFERROR(__xludf.DUMMYFUNCTION("REGEXREPLACE(G1530, ""[^0-9a-zA-Z .'Ã]"","""")"),"Jada Pinkett Smith")</f>
        <v>Jada Pinkett Smith</v>
      </c>
      <c r="I1530" s="20" t="s">
        <v>5332</v>
      </c>
      <c r="J1530" s="18">
        <v>39508.0</v>
      </c>
      <c r="K1530" s="18" t="s">
        <v>5333</v>
      </c>
      <c r="L1530" s="18">
        <v>96.0</v>
      </c>
      <c r="M1530" s="18" t="s">
        <v>24</v>
      </c>
      <c r="N1530" s="18" t="s">
        <v>25</v>
      </c>
      <c r="O1530" s="19">
        <v>3500000.0</v>
      </c>
      <c r="P1530" s="10">
        <f t="shared" si="2"/>
        <v>24400000</v>
      </c>
      <c r="Q1530" s="12">
        <f t="shared" si="3"/>
        <v>0</v>
      </c>
      <c r="R1530" s="18">
        <v>1993.0</v>
      </c>
      <c r="S1530" s="18">
        <v>7.5</v>
      </c>
    </row>
    <row r="1531" ht="15.75" customHeight="1">
      <c r="A1531" s="17" t="s">
        <v>5334</v>
      </c>
      <c r="B1531" s="8" t="str">
        <f>IFERROR(__xludf.DUMMYFUNCTION("REGEXREPLACE(A1531, ""[^0-9a-zA-Z .'Ã]"","""")"),"Danny Pang")</f>
        <v>Danny Pang</v>
      </c>
      <c r="C1531" s="18">
        <v>125.0</v>
      </c>
      <c r="D1531" s="19">
        <v>1.527968E7</v>
      </c>
      <c r="E1531" s="18" t="s">
        <v>152</v>
      </c>
      <c r="F1531" s="9">
        <f t="shared" si="1"/>
        <v>3</v>
      </c>
      <c r="G1531" s="18" t="s">
        <v>458</v>
      </c>
      <c r="H1531" s="11" t="str">
        <f>IFERROR(__xludf.DUMMYFUNCTION("REGEXREPLACE(G1531, ""[^0-9a-zA-Z .'Ã]"","""")"),"Nicolas Cage")</f>
        <v>Nicolas Cage</v>
      </c>
      <c r="I1531" s="20" t="s">
        <v>5335</v>
      </c>
      <c r="J1531" s="18">
        <v>48245.0</v>
      </c>
      <c r="K1531" s="18" t="s">
        <v>5336</v>
      </c>
      <c r="L1531" s="18">
        <v>154.0</v>
      </c>
      <c r="M1531" s="18" t="s">
        <v>24</v>
      </c>
      <c r="N1531" s="18" t="s">
        <v>25</v>
      </c>
      <c r="O1531" s="19">
        <v>4.0E7</v>
      </c>
      <c r="P1531" s="10">
        <f t="shared" si="2"/>
        <v>0</v>
      </c>
      <c r="Q1531" s="12">
        <f t="shared" si="3"/>
        <v>24720320</v>
      </c>
      <c r="R1531" s="18">
        <v>2008.0</v>
      </c>
      <c r="S1531" s="18">
        <v>5.4</v>
      </c>
    </row>
    <row r="1532" ht="15.75" customHeight="1">
      <c r="A1532" s="7" t="s">
        <v>5337</v>
      </c>
      <c r="B1532" s="8" t="str">
        <f>IFERROR(__xludf.DUMMYFUNCTION("REGEXREPLACE(A1532, ""[^0-9a-zA-Z -.'Ã]"","""")"),"FabiÃn Bielinsky")</f>
        <v>FabiÃn Bielinsky</v>
      </c>
      <c r="C1532" s="9">
        <v>94.0</v>
      </c>
      <c r="D1532" s="10">
        <v>1221261.0</v>
      </c>
      <c r="E1532" s="9" t="s">
        <v>113</v>
      </c>
      <c r="F1532" s="9">
        <f t="shared" si="1"/>
        <v>3</v>
      </c>
      <c r="G1532" s="9" t="s">
        <v>2220</v>
      </c>
      <c r="H1532" s="11" t="str">
        <f>IFERROR(__xludf.DUMMYFUNCTION("REGEXREPLACE(G1532, ""[^0-9a-zA-Z .'Ã]"","""")"),"Ricardo DarÃn")</f>
        <v>Ricardo DarÃn</v>
      </c>
      <c r="I1532" s="11" t="s">
        <v>5338</v>
      </c>
      <c r="J1532" s="9">
        <v>38215.0</v>
      </c>
      <c r="K1532" s="9" t="s">
        <v>5339</v>
      </c>
      <c r="L1532" s="9">
        <v>125.0</v>
      </c>
      <c r="M1532" s="9" t="s">
        <v>1553</v>
      </c>
      <c r="N1532" s="9" t="s">
        <v>2223</v>
      </c>
      <c r="O1532" s="10">
        <v>1500000.0</v>
      </c>
      <c r="P1532" s="10">
        <f t="shared" si="2"/>
        <v>0</v>
      </c>
      <c r="Q1532" s="12">
        <f t="shared" si="3"/>
        <v>278739</v>
      </c>
      <c r="R1532" s="9">
        <v>2000.0</v>
      </c>
      <c r="S1532" s="9">
        <v>7.9</v>
      </c>
    </row>
    <row r="1533" ht="15.75" customHeight="1">
      <c r="A1533" s="21" t="s">
        <v>121</v>
      </c>
      <c r="B1533" s="8" t="str">
        <f>IFERROR(__xludf.DUMMYFUNCTION("REGEXREPLACE(A1533, ""[^0-9a-zA-Z .'Ã]"","""")"),"J.B. Rogers")</f>
        <v>J.B. Rogers</v>
      </c>
      <c r="C1533" s="22">
        <v>142.0</v>
      </c>
      <c r="D1533" s="23">
        <v>1.4509682E8</v>
      </c>
      <c r="E1533" s="22" t="s">
        <v>137</v>
      </c>
      <c r="F1533" s="9">
        <f t="shared" si="1"/>
        <v>1</v>
      </c>
      <c r="G1533" s="22" t="s">
        <v>3870</v>
      </c>
      <c r="H1533" s="11" t="str">
        <f>IFERROR(__xludf.DUMMYFUNCTION("REGEXREPLACE(G1533, ""[^0-9a-zA-Z .'Ã]"","""")"),"Alyson Hannigan")</f>
        <v>Alyson Hannigan</v>
      </c>
      <c r="I1533" s="24" t="s">
        <v>5340</v>
      </c>
      <c r="J1533" s="22">
        <v>200260.0</v>
      </c>
      <c r="K1533" s="22" t="s">
        <v>5341</v>
      </c>
      <c r="L1533" s="22">
        <v>431.0</v>
      </c>
      <c r="M1533" s="22" t="s">
        <v>24</v>
      </c>
      <c r="N1533" s="22" t="s">
        <v>25</v>
      </c>
      <c r="O1533" s="23">
        <v>3.0E7</v>
      </c>
      <c r="P1533" s="10">
        <f t="shared" si="2"/>
        <v>115096820</v>
      </c>
      <c r="Q1533" s="12">
        <f t="shared" si="3"/>
        <v>0</v>
      </c>
      <c r="R1533" s="22">
        <v>2001.0</v>
      </c>
      <c r="S1533" s="22">
        <v>6.4</v>
      </c>
    </row>
    <row r="1534" ht="15.75" customHeight="1">
      <c r="A1534" s="21" t="s">
        <v>5342</v>
      </c>
      <c r="B1534" s="8" t="str">
        <f>IFERROR(__xludf.DUMMYFUNCTION("REGEXREPLACE(A1534, ""[^0-9a-zA-Z -.'Ã]"","""")"),"Alejandro AmenÃbar")</f>
        <v>Alejandro AmenÃbar</v>
      </c>
      <c r="C1534" s="22">
        <v>180.0</v>
      </c>
      <c r="D1534" s="23">
        <v>617840.0</v>
      </c>
      <c r="E1534" s="22" t="s">
        <v>5343</v>
      </c>
      <c r="F1534" s="9">
        <f t="shared" si="1"/>
        <v>4</v>
      </c>
      <c r="G1534" s="22" t="s">
        <v>5344</v>
      </c>
      <c r="H1534" s="11" t="str">
        <f>IFERROR(__xludf.DUMMYFUNCTION("REGEXREPLACE(G1534, ""[^0-9a-zA-Z .'Ã]"","""")"),"Max Minghella")</f>
        <v>Max Minghella</v>
      </c>
      <c r="I1534" s="24" t="s">
        <v>5345</v>
      </c>
      <c r="J1534" s="22">
        <v>52496.0</v>
      </c>
      <c r="K1534" s="22" t="s">
        <v>5346</v>
      </c>
      <c r="L1534" s="22">
        <v>172.0</v>
      </c>
      <c r="M1534" s="22" t="s">
        <v>24</v>
      </c>
      <c r="N1534" s="22" t="s">
        <v>1108</v>
      </c>
      <c r="O1534" s="23">
        <v>7.0E7</v>
      </c>
      <c r="P1534" s="10">
        <f t="shared" si="2"/>
        <v>0</v>
      </c>
      <c r="Q1534" s="12">
        <f t="shared" si="3"/>
        <v>69382160</v>
      </c>
      <c r="R1534" s="22">
        <v>2009.0</v>
      </c>
      <c r="S1534" s="22">
        <v>7.2</v>
      </c>
    </row>
    <row r="1535" ht="15.75" customHeight="1">
      <c r="A1535" s="7" t="s">
        <v>1995</v>
      </c>
      <c r="B1535" s="8" t="str">
        <f>IFERROR(__xludf.DUMMYFUNCTION("REGEXREPLACE(A1535, ""[^0-9a-zA-Z .'Ã]"","""")"),"David Zucker")</f>
        <v>David Zucker</v>
      </c>
      <c r="C1535" s="9">
        <v>45.0</v>
      </c>
      <c r="D1535" s="10">
        <v>7001720.0</v>
      </c>
      <c r="E1535" s="9" t="s">
        <v>615</v>
      </c>
      <c r="F1535" s="9">
        <f t="shared" si="1"/>
        <v>2</v>
      </c>
      <c r="G1535" s="9" t="s">
        <v>5347</v>
      </c>
      <c r="H1535" s="11" t="str">
        <f>IFERROR(__xludf.DUMMYFUNCTION("REGEXREPLACE(G1535, ""[^0-9a-zA-Z .'Ã]"","""")"),"Chriss Anglin")</f>
        <v>Chriss Anglin</v>
      </c>
      <c r="I1535" s="11" t="s">
        <v>5348</v>
      </c>
      <c r="J1535" s="9">
        <v>8560.0</v>
      </c>
      <c r="K1535" s="9" t="s">
        <v>5349</v>
      </c>
      <c r="L1535" s="9">
        <v>205.0</v>
      </c>
      <c r="M1535" s="9" t="s">
        <v>24</v>
      </c>
      <c r="N1535" s="9" t="s">
        <v>25</v>
      </c>
      <c r="O1535" s="10">
        <v>1.2E7</v>
      </c>
      <c r="P1535" s="10">
        <f t="shared" si="2"/>
        <v>0</v>
      </c>
      <c r="Q1535" s="12">
        <f t="shared" si="3"/>
        <v>4998280</v>
      </c>
      <c r="R1535" s="9">
        <v>2008.0</v>
      </c>
      <c r="S1535" s="9">
        <v>4.3</v>
      </c>
    </row>
    <row r="1536" ht="15.75" customHeight="1">
      <c r="A1536" s="7" t="s">
        <v>5350</v>
      </c>
      <c r="B1536" s="8" t="str">
        <f>IFERROR(__xludf.DUMMYFUNCTION("REGEXREPLACE(A1536, ""[^0-9a-zA-Z .'Ã]"","""")"),"Jack Sholder")</f>
        <v>Jack Sholder</v>
      </c>
      <c r="C1536" s="9">
        <v>138.0</v>
      </c>
      <c r="D1536" s="10">
        <v>3.0E7</v>
      </c>
      <c r="E1536" s="9" t="s">
        <v>1235</v>
      </c>
      <c r="F1536" s="9">
        <f t="shared" si="1"/>
        <v>2</v>
      </c>
      <c r="G1536" s="9" t="s">
        <v>5351</v>
      </c>
      <c r="H1536" s="11" t="str">
        <f>IFERROR(__xludf.DUMMYFUNCTION("REGEXREPLACE(G1536, ""[^0-9a-zA-Z .'Ã]"","""")"),"Clu Gulager")</f>
        <v>Clu Gulager</v>
      </c>
      <c r="I1536" s="11" t="s">
        <v>5352</v>
      </c>
      <c r="J1536" s="9">
        <v>43485.0</v>
      </c>
      <c r="K1536" s="9" t="s">
        <v>5353</v>
      </c>
      <c r="L1536" s="9">
        <v>327.0</v>
      </c>
      <c r="M1536" s="9" t="s">
        <v>24</v>
      </c>
      <c r="N1536" s="9" t="s">
        <v>25</v>
      </c>
      <c r="O1536" s="10">
        <v>2200000.0</v>
      </c>
      <c r="P1536" s="10">
        <f t="shared" si="2"/>
        <v>27800000</v>
      </c>
      <c r="Q1536" s="12">
        <f t="shared" si="3"/>
        <v>0</v>
      </c>
      <c r="R1536" s="9">
        <v>1985.0</v>
      </c>
      <c r="S1536" s="9">
        <v>5.4</v>
      </c>
    </row>
    <row r="1537" ht="15.75" customHeight="1">
      <c r="A1537" s="7" t="s">
        <v>5354</v>
      </c>
      <c r="B1537" s="8" t="str">
        <f>IFERROR(__xludf.DUMMYFUNCTION("REGEXREPLACE(A1537, ""[^0-9a-zA-Z .'Ã]"","""")"),"Spike Jonze")</f>
        <v>Spike Jonze</v>
      </c>
      <c r="C1537" s="9">
        <v>242.0</v>
      </c>
      <c r="D1537" s="10">
        <v>2.2858926E7</v>
      </c>
      <c r="E1537" s="9" t="s">
        <v>2440</v>
      </c>
      <c r="F1537" s="9">
        <f t="shared" si="1"/>
        <v>3</v>
      </c>
      <c r="G1537" s="9" t="s">
        <v>5355</v>
      </c>
      <c r="H1537" s="11" t="str">
        <f>IFERROR(__xludf.DUMMYFUNCTION("REGEXREPLACE(G1537, ""[^0-9a-zA-Z .'Ã]"","""")"),"Willie Garson")</f>
        <v>Willie Garson</v>
      </c>
      <c r="I1537" s="11" t="s">
        <v>5356</v>
      </c>
      <c r="J1537" s="9">
        <v>254404.0</v>
      </c>
      <c r="K1537" s="9" t="s">
        <v>5357</v>
      </c>
      <c r="L1537" s="9">
        <v>840.0</v>
      </c>
      <c r="M1537" s="9" t="s">
        <v>24</v>
      </c>
      <c r="N1537" s="9" t="s">
        <v>25</v>
      </c>
      <c r="O1537" s="10">
        <v>1.3E7</v>
      </c>
      <c r="P1537" s="10">
        <f t="shared" si="2"/>
        <v>9858926</v>
      </c>
      <c r="Q1537" s="12">
        <f t="shared" si="3"/>
        <v>0</v>
      </c>
      <c r="R1537" s="9">
        <v>1999.0</v>
      </c>
      <c r="S1537" s="9">
        <v>7.8</v>
      </c>
    </row>
    <row r="1538" ht="15.75" customHeight="1">
      <c r="A1538" s="21" t="s">
        <v>5358</v>
      </c>
      <c r="B1538" s="8" t="str">
        <f>IFERROR(__xludf.DUMMYFUNCTION("REGEXREPLACE(A1538, ""[^0-9a-zA-Z .'Ã]"","""")"),"Steve James")</f>
        <v>Steve James</v>
      </c>
      <c r="C1538" s="22">
        <v>23.0</v>
      </c>
      <c r="D1538" s="23">
        <v>532190.0</v>
      </c>
      <c r="E1538" s="22" t="s">
        <v>5359</v>
      </c>
      <c r="F1538" s="9">
        <f t="shared" si="1"/>
        <v>4</v>
      </c>
      <c r="G1538" s="22" t="s">
        <v>5360</v>
      </c>
      <c r="H1538" s="11" t="str">
        <f>IFERROR(__xludf.DUMMYFUNCTION("REGEXREPLACE(G1538, ""[^0-9a-zA-Z .'Ã]"","""")"),"Kurtwood Smith")</f>
        <v>Kurtwood Smith</v>
      </c>
      <c r="I1538" s="24" t="s">
        <v>5361</v>
      </c>
      <c r="J1538" s="22">
        <v>5673.0</v>
      </c>
      <c r="K1538" s="22" t="s">
        <v>5362</v>
      </c>
      <c r="L1538" s="22">
        <v>37.0</v>
      </c>
      <c r="M1538" s="22" t="s">
        <v>24</v>
      </c>
      <c r="N1538" s="22" t="s">
        <v>25</v>
      </c>
      <c r="O1538" s="23">
        <v>8000000.0</v>
      </c>
      <c r="P1538" s="10">
        <f t="shared" si="2"/>
        <v>0</v>
      </c>
      <c r="Q1538" s="12">
        <f t="shared" si="3"/>
        <v>7467810</v>
      </c>
      <c r="R1538" s="22">
        <v>1997.0</v>
      </c>
      <c r="S1538" s="22">
        <v>6.8</v>
      </c>
    </row>
    <row r="1539" ht="15.75" customHeight="1">
      <c r="A1539" s="7" t="s">
        <v>972</v>
      </c>
      <c r="B1539" s="8" t="str">
        <f>IFERROR(__xludf.DUMMYFUNCTION("REGEXREPLACE(A1539, ""[^0-9a-zA-Z .'Ã]"","""")"),"Shawn Levy")</f>
        <v>Shawn Levy</v>
      </c>
      <c r="C1539" s="9">
        <v>246.0</v>
      </c>
      <c r="D1539" s="10">
        <v>4.4665963E7</v>
      </c>
      <c r="E1539" s="9" t="s">
        <v>137</v>
      </c>
      <c r="F1539" s="9">
        <f t="shared" si="1"/>
        <v>1</v>
      </c>
      <c r="G1539" s="9" t="s">
        <v>3941</v>
      </c>
      <c r="H1539" s="11" t="str">
        <f>IFERROR(__xludf.DUMMYFUNCTION("REGEXREPLACE(G1539, ""[^0-9a-zA-Z .'Ã]"","""")"),"Josh Gad")</f>
        <v>Josh Gad</v>
      </c>
      <c r="I1539" s="11" t="s">
        <v>5363</v>
      </c>
      <c r="J1539" s="9">
        <v>159931.0</v>
      </c>
      <c r="K1539" s="9" t="s">
        <v>5364</v>
      </c>
      <c r="L1539" s="9">
        <v>281.0</v>
      </c>
      <c r="M1539" s="9" t="s">
        <v>24</v>
      </c>
      <c r="N1539" s="9" t="s">
        <v>25</v>
      </c>
      <c r="O1539" s="10">
        <v>5.8E7</v>
      </c>
      <c r="P1539" s="10">
        <f t="shared" si="2"/>
        <v>0</v>
      </c>
      <c r="Q1539" s="12">
        <f t="shared" si="3"/>
        <v>13334037</v>
      </c>
      <c r="R1539" s="9">
        <v>2013.0</v>
      </c>
      <c r="S1539" s="9">
        <v>6.3</v>
      </c>
    </row>
    <row r="1540" ht="15.75" customHeight="1">
      <c r="A1540" s="29" t="s">
        <v>368</v>
      </c>
      <c r="B1540" s="8" t="str">
        <f>IFERROR(__xludf.DUMMYFUNCTION("REGEXREPLACE(A1540, ""[^0-9a-zA-Z .'Ã]"","""")"),"Jon Turteltaub")</f>
        <v>Jon Turteltaub</v>
      </c>
      <c r="C1540" s="30">
        <v>193.0</v>
      </c>
      <c r="D1540" s="31">
        <v>1.73005002E8</v>
      </c>
      <c r="E1540" s="30" t="s">
        <v>5365</v>
      </c>
      <c r="F1540" s="9">
        <f t="shared" si="1"/>
        <v>5</v>
      </c>
      <c r="G1540" s="30" t="s">
        <v>458</v>
      </c>
      <c r="H1540" s="11" t="str">
        <f>IFERROR(__xludf.DUMMYFUNCTION("REGEXREPLACE(G1540, ""[^0-9a-zA-Z .'Ã]"","""")"),"Nicolas Cage")</f>
        <v>Nicolas Cage</v>
      </c>
      <c r="I1540" s="32" t="s">
        <v>5366</v>
      </c>
      <c r="J1540" s="30">
        <v>255447.0</v>
      </c>
      <c r="K1540" s="30" t="s">
        <v>5367</v>
      </c>
      <c r="L1540" s="30">
        <v>692.0</v>
      </c>
      <c r="M1540" s="30" t="s">
        <v>24</v>
      </c>
      <c r="N1540" s="30" t="s">
        <v>25</v>
      </c>
      <c r="O1540" s="31">
        <v>1.0E8</v>
      </c>
      <c r="P1540" s="10">
        <f t="shared" si="2"/>
        <v>73005002</v>
      </c>
      <c r="Q1540" s="12">
        <f t="shared" si="3"/>
        <v>0</v>
      </c>
      <c r="R1540" s="30">
        <v>2004.0</v>
      </c>
      <c r="S1540" s="30">
        <v>6.9</v>
      </c>
    </row>
    <row r="1541" ht="15.75" customHeight="1">
      <c r="A1541" s="29" t="s">
        <v>5368</v>
      </c>
      <c r="B1541" s="8" t="str">
        <f>IFERROR(__xludf.DUMMYFUNCTION("REGEXREPLACE(A1541, ""[^0-9a-zA-Z .'Ã]"","""")"),"Eric Blakeney")</f>
        <v>Eric Blakeney</v>
      </c>
      <c r="C1541" s="30">
        <v>49.0</v>
      </c>
      <c r="D1541" s="31">
        <v>1631839.0</v>
      </c>
      <c r="E1541" s="30" t="s">
        <v>241</v>
      </c>
      <c r="F1541" s="9">
        <f t="shared" si="1"/>
        <v>3</v>
      </c>
      <c r="G1541" s="30" t="s">
        <v>605</v>
      </c>
      <c r="H1541" s="11" t="str">
        <f>IFERROR(__xludf.DUMMYFUNCTION("REGEXREPLACE(G1541, ""[^0-9a-zA-Z .'Ã]"","""")"),"Liam Neeson")</f>
        <v>Liam Neeson</v>
      </c>
      <c r="I1541" s="32" t="s">
        <v>5369</v>
      </c>
      <c r="J1541" s="30">
        <v>5936.0</v>
      </c>
      <c r="K1541" s="30" t="s">
        <v>5370</v>
      </c>
      <c r="L1541" s="30">
        <v>91.0</v>
      </c>
      <c r="M1541" s="30" t="s">
        <v>24</v>
      </c>
      <c r="N1541" s="30" t="s">
        <v>25</v>
      </c>
      <c r="O1541" s="31">
        <v>1.0E7</v>
      </c>
      <c r="P1541" s="10">
        <f t="shared" si="2"/>
        <v>0</v>
      </c>
      <c r="Q1541" s="12">
        <f t="shared" si="3"/>
        <v>8368161</v>
      </c>
      <c r="R1541" s="30">
        <v>2000.0</v>
      </c>
      <c r="S1541" s="30">
        <v>5.7</v>
      </c>
    </row>
    <row r="1542" ht="15.75" customHeight="1">
      <c r="A1542" s="17" t="s">
        <v>5371</v>
      </c>
      <c r="B1542" s="8" t="str">
        <f>IFERROR(__xludf.DUMMYFUNCTION("REGEXREPLACE(A1542, ""[^0-9a-zA-Z .'Ã]"","""")"),"Harley Cokeliss")</f>
        <v>Harley Cokeliss</v>
      </c>
      <c r="C1542" s="18">
        <v>27.0</v>
      </c>
      <c r="D1542" s="19">
        <v>3060858.0</v>
      </c>
      <c r="E1542" s="18" t="s">
        <v>175</v>
      </c>
      <c r="F1542" s="9">
        <f t="shared" si="1"/>
        <v>3</v>
      </c>
      <c r="G1542" s="18" t="s">
        <v>5372</v>
      </c>
      <c r="H1542" s="11" t="str">
        <f>IFERROR(__xludf.DUMMYFUNCTION("REGEXREPLACE(G1542, ""[^0-9a-zA-Z .'Ã]"","""")"),"Cliff Robertson")</f>
        <v>Cliff Robertson</v>
      </c>
      <c r="I1542" s="20" t="s">
        <v>5373</v>
      </c>
      <c r="J1542" s="18">
        <v>1768.0</v>
      </c>
      <c r="K1542" s="18" t="s">
        <v>5374</v>
      </c>
      <c r="L1542" s="18">
        <v>37.0</v>
      </c>
      <c r="M1542" s="18" t="s">
        <v>24</v>
      </c>
      <c r="N1542" s="18" t="s">
        <v>25</v>
      </c>
      <c r="O1542" s="19">
        <v>1.0E7</v>
      </c>
      <c r="P1542" s="10">
        <f t="shared" si="2"/>
        <v>0</v>
      </c>
      <c r="Q1542" s="12">
        <f t="shared" si="3"/>
        <v>6939142</v>
      </c>
      <c r="R1542" s="18">
        <v>1987.0</v>
      </c>
      <c r="S1542" s="18">
        <v>5.6</v>
      </c>
    </row>
    <row r="1543" ht="15.75" customHeight="1">
      <c r="A1543" s="7" t="s">
        <v>5375</v>
      </c>
      <c r="B1543" s="8" t="str">
        <f>IFERROR(__xludf.DUMMYFUNCTION("REGEXREPLACE(A1543, ""[^0-9a-zA-Z .'Ã]"","""")"),"Gregory Nava")</f>
        <v>Gregory Nava</v>
      </c>
      <c r="C1543" s="9">
        <v>37.0</v>
      </c>
      <c r="D1543" s="10">
        <v>3.5422828E7</v>
      </c>
      <c r="E1543" s="9" t="s">
        <v>2225</v>
      </c>
      <c r="F1543" s="9">
        <f t="shared" si="1"/>
        <v>3</v>
      </c>
      <c r="G1543" s="9" t="s">
        <v>5376</v>
      </c>
      <c r="H1543" s="11" t="str">
        <f>IFERROR(__xludf.DUMMYFUNCTION("REGEXREPLACE(G1543, ""[^0-9a-zA-Z .'Ã]"","""")"),"Jon Seda")</f>
        <v>Jon Seda</v>
      </c>
      <c r="I1543" s="11" t="s">
        <v>5377</v>
      </c>
      <c r="J1543" s="9">
        <v>19126.0</v>
      </c>
      <c r="K1543" s="9" t="s">
        <v>5378</v>
      </c>
      <c r="L1543" s="9">
        <v>155.0</v>
      </c>
      <c r="M1543" s="9" t="s">
        <v>24</v>
      </c>
      <c r="N1543" s="9" t="s">
        <v>25</v>
      </c>
      <c r="O1543" s="10">
        <v>2.0E7</v>
      </c>
      <c r="P1543" s="10">
        <f t="shared" si="2"/>
        <v>15422828</v>
      </c>
      <c r="Q1543" s="12">
        <f t="shared" si="3"/>
        <v>0</v>
      </c>
      <c r="R1543" s="9">
        <v>1997.0</v>
      </c>
      <c r="S1543" s="9">
        <v>6.7</v>
      </c>
    </row>
    <row r="1544" ht="15.75" customHeight="1">
      <c r="A1544" s="17" t="s">
        <v>3560</v>
      </c>
      <c r="B1544" s="8" t="str">
        <f>IFERROR(__xludf.DUMMYFUNCTION("REGEXREPLACE(A1544, ""[^0-9a-zA-Z .'Ã]"","""")"),"Sam Weisman")</f>
        <v>Sam Weisman</v>
      </c>
      <c r="C1544" s="18">
        <v>62.0</v>
      </c>
      <c r="D1544" s="19">
        <v>2.8535768E7</v>
      </c>
      <c r="E1544" s="18" t="s">
        <v>137</v>
      </c>
      <c r="F1544" s="9">
        <f t="shared" si="1"/>
        <v>1</v>
      </c>
      <c r="G1544" s="18" t="s">
        <v>5379</v>
      </c>
      <c r="H1544" s="11" t="str">
        <f>IFERROR(__xludf.DUMMYFUNCTION("REGEXREPLACE(G1544, ""[^0-9a-zA-Z .'Ã]"","""")"),"Oliver Hudson")</f>
        <v>Oliver Hudson</v>
      </c>
      <c r="I1544" s="20" t="s">
        <v>5380</v>
      </c>
      <c r="J1544" s="18">
        <v>10446.0</v>
      </c>
      <c r="K1544" s="18" t="s">
        <v>5381</v>
      </c>
      <c r="L1544" s="18">
        <v>105.0</v>
      </c>
      <c r="M1544" s="18" t="s">
        <v>24</v>
      </c>
      <c r="N1544" s="18" t="s">
        <v>25</v>
      </c>
      <c r="O1544" s="19">
        <v>4.0E7</v>
      </c>
      <c r="P1544" s="10">
        <f t="shared" si="2"/>
        <v>0</v>
      </c>
      <c r="Q1544" s="12">
        <f t="shared" si="3"/>
        <v>11464232</v>
      </c>
      <c r="R1544" s="18">
        <v>1999.0</v>
      </c>
      <c r="S1544" s="18">
        <v>5.3</v>
      </c>
    </row>
    <row r="1545" ht="15.75" customHeight="1">
      <c r="A1545" s="21" t="s">
        <v>5382</v>
      </c>
      <c r="B1545" s="8" t="str">
        <f>IFERROR(__xludf.DUMMYFUNCTION("REGEXREPLACE(A1545, ""[^0-9a-zA-Z .'Ã]"","""")"),"Ben Affleck")</f>
        <v>Ben Affleck</v>
      </c>
      <c r="C1545" s="22">
        <v>656.0</v>
      </c>
      <c r="D1545" s="23">
        <v>1.36019448E8</v>
      </c>
      <c r="E1545" s="22" t="s">
        <v>5291</v>
      </c>
      <c r="F1545" s="9">
        <f t="shared" si="1"/>
        <v>4</v>
      </c>
      <c r="G1545" s="22" t="s">
        <v>5383</v>
      </c>
      <c r="H1545" s="11" t="str">
        <f>IFERROR(__xludf.DUMMYFUNCTION("REGEXREPLACE(G1545, ""[^0-9a-zA-Z .'Ã]"","""")"),"Clea DuVall")</f>
        <v>Clea DuVall</v>
      </c>
      <c r="I1545" s="24" t="s">
        <v>5384</v>
      </c>
      <c r="J1545" s="22">
        <v>452465.0</v>
      </c>
      <c r="K1545" s="22" t="s">
        <v>5385</v>
      </c>
      <c r="L1545" s="22">
        <v>695.0</v>
      </c>
      <c r="M1545" s="22" t="s">
        <v>24</v>
      </c>
      <c r="N1545" s="22" t="s">
        <v>25</v>
      </c>
      <c r="O1545" s="23">
        <v>4.45E7</v>
      </c>
      <c r="P1545" s="10">
        <f t="shared" si="2"/>
        <v>91519448</v>
      </c>
      <c r="Q1545" s="12">
        <f t="shared" si="3"/>
        <v>0</v>
      </c>
      <c r="R1545" s="22">
        <v>2012.0</v>
      </c>
      <c r="S1545" s="22">
        <v>7.7</v>
      </c>
    </row>
    <row r="1546" ht="15.75" customHeight="1">
      <c r="A1546" s="29" t="s">
        <v>5386</v>
      </c>
      <c r="B1546" s="8" t="str">
        <f>IFERROR(__xludf.DUMMYFUNCTION("REGEXREPLACE(A1546, ""[^0-9a-zA-Z .'Ã]"","""")"),"Richard Dutcher")</f>
        <v>Richard Dutcher</v>
      </c>
      <c r="C1546" s="30">
        <v>12.0</v>
      </c>
      <c r="D1546" s="31">
        <v>798341.0</v>
      </c>
      <c r="E1546" s="30" t="s">
        <v>1270</v>
      </c>
      <c r="F1546" s="9">
        <f t="shared" si="1"/>
        <v>3</v>
      </c>
      <c r="G1546" s="30" t="s">
        <v>694</v>
      </c>
      <c r="H1546" s="11" t="str">
        <f>IFERROR(__xludf.DUMMYFUNCTION("REGEXREPLACE(G1546, ""[^0-9a-zA-Z .'Ã]"","""")"),"Wilford Brimley")</f>
        <v>Wilford Brimley</v>
      </c>
      <c r="I1546" s="32" t="s">
        <v>5387</v>
      </c>
      <c r="J1546" s="30">
        <v>983.0</v>
      </c>
      <c r="K1546" s="30" t="s">
        <v>5388</v>
      </c>
      <c r="L1546" s="30">
        <v>63.0</v>
      </c>
      <c r="M1546" s="30" t="s">
        <v>24</v>
      </c>
      <c r="N1546" s="30" t="s">
        <v>25</v>
      </c>
      <c r="O1546" s="31">
        <v>1000000.0</v>
      </c>
      <c r="P1546" s="10">
        <f t="shared" si="2"/>
        <v>0</v>
      </c>
      <c r="Q1546" s="12">
        <f t="shared" si="3"/>
        <v>201659</v>
      </c>
      <c r="R1546" s="30">
        <v>2001.0</v>
      </c>
      <c r="S1546" s="30">
        <v>7.2</v>
      </c>
    </row>
    <row r="1547" ht="15.75" customHeight="1">
      <c r="A1547" s="25" t="s">
        <v>453</v>
      </c>
      <c r="B1547" s="8" t="str">
        <f>IFERROR(__xludf.DUMMYFUNCTION("REGEXREPLACE(A1547, ""[^0-9a-zA-Z .'Ã]"","""")"),"Steve Buscemi")</f>
        <v>Steve Buscemi</v>
      </c>
      <c r="C1547" s="26">
        <v>81.0</v>
      </c>
      <c r="D1547" s="27">
        <v>154077.0</v>
      </c>
      <c r="E1547" s="26" t="s">
        <v>454</v>
      </c>
      <c r="F1547" s="9">
        <f t="shared" si="1"/>
        <v>2</v>
      </c>
      <c r="G1547" s="26" t="s">
        <v>5389</v>
      </c>
      <c r="H1547" s="11" t="str">
        <f>IFERROR(__xludf.DUMMYFUNCTION("REGEXREPLACE(G1547, ""[^0-9a-zA-Z .'Ã]"","""")"),"Kevin Corrigan")</f>
        <v>Kevin Corrigan</v>
      </c>
      <c r="I1547" s="28" t="s">
        <v>5390</v>
      </c>
      <c r="J1547" s="26">
        <v>6884.0</v>
      </c>
      <c r="K1547" s="26" t="s">
        <v>5391</v>
      </c>
      <c r="L1547" s="26">
        <v>53.0</v>
      </c>
      <c r="M1547" s="26" t="s">
        <v>24</v>
      </c>
      <c r="N1547" s="26" t="s">
        <v>25</v>
      </c>
      <c r="O1547" s="27">
        <v>500000.0</v>
      </c>
      <c r="P1547" s="10">
        <f t="shared" si="2"/>
        <v>0</v>
      </c>
      <c r="Q1547" s="12">
        <f t="shared" si="3"/>
        <v>345923</v>
      </c>
      <c r="R1547" s="26">
        <v>2005.0</v>
      </c>
      <c r="S1547" s="26">
        <v>6.6</v>
      </c>
    </row>
    <row r="1548" ht="15.75" customHeight="1">
      <c r="A1548" s="7" t="s">
        <v>355</v>
      </c>
      <c r="B1548" s="8" t="str">
        <f>IFERROR(__xludf.DUMMYFUNCTION("REGEXREPLACE(A1548, ""[^0-9a-zA-Z .'Ã]"","""")"),"Antoine Fuqua")</f>
        <v>Antoine Fuqua</v>
      </c>
      <c r="C1548" s="9">
        <v>358.0</v>
      </c>
      <c r="D1548" s="10">
        <v>9.8895417E7</v>
      </c>
      <c r="E1548" s="9" t="s">
        <v>1096</v>
      </c>
      <c r="F1548" s="9">
        <f t="shared" si="1"/>
        <v>2</v>
      </c>
      <c r="G1548" s="9" t="s">
        <v>830</v>
      </c>
      <c r="H1548" s="11" t="str">
        <f>IFERROR(__xludf.DUMMYFUNCTION("REGEXREPLACE(G1548, ""[^0-9a-zA-Z .'Ã]"","""")"),"Gerard Butler")</f>
        <v>Gerard Butler</v>
      </c>
      <c r="I1548" s="11" t="s">
        <v>5392</v>
      </c>
      <c r="J1548" s="9">
        <v>203154.0</v>
      </c>
      <c r="K1548" s="9" t="s">
        <v>5393</v>
      </c>
      <c r="L1548" s="9">
        <v>698.0</v>
      </c>
      <c r="M1548" s="9" t="s">
        <v>24</v>
      </c>
      <c r="N1548" s="9" t="s">
        <v>25</v>
      </c>
      <c r="O1548" s="10">
        <v>7.0E7</v>
      </c>
      <c r="P1548" s="10">
        <f t="shared" si="2"/>
        <v>28895417</v>
      </c>
      <c r="Q1548" s="12">
        <f t="shared" si="3"/>
        <v>0</v>
      </c>
      <c r="R1548" s="9">
        <v>2013.0</v>
      </c>
      <c r="S1548" s="9">
        <v>6.5</v>
      </c>
    </row>
    <row r="1549" ht="15.75" customHeight="1">
      <c r="A1549" s="7" t="s">
        <v>5394</v>
      </c>
      <c r="B1549" s="8" t="str">
        <f>IFERROR(__xludf.DUMMYFUNCTION("REGEXREPLACE(A1549, ""[^0-9a-zA-Z .'Ã]"","""")"),"Ron Maxwell")</f>
        <v>Ron Maxwell</v>
      </c>
      <c r="C1549" s="9">
        <v>84.0</v>
      </c>
      <c r="D1549" s="10">
        <v>1.2870569E7</v>
      </c>
      <c r="E1549" s="9" t="s">
        <v>74</v>
      </c>
      <c r="F1549" s="9">
        <f t="shared" si="1"/>
        <v>3</v>
      </c>
      <c r="G1549" s="9" t="s">
        <v>5395</v>
      </c>
      <c r="H1549" s="11" t="str">
        <f>IFERROR(__xludf.DUMMYFUNCTION("REGEXREPLACE(G1549, ""[^0-9a-zA-Z .'Ã]"","""")"),"Billy Campbell")</f>
        <v>Billy Campbell</v>
      </c>
      <c r="I1549" s="11" t="s">
        <v>5396</v>
      </c>
      <c r="J1549" s="9">
        <v>13215.0</v>
      </c>
      <c r="K1549" s="9" t="s">
        <v>5397</v>
      </c>
      <c r="L1549" s="9">
        <v>497.0</v>
      </c>
      <c r="M1549" s="9" t="s">
        <v>24</v>
      </c>
      <c r="N1549" s="9" t="s">
        <v>25</v>
      </c>
      <c r="O1549" s="10">
        <v>5.6E7</v>
      </c>
      <c r="P1549" s="10">
        <f t="shared" si="2"/>
        <v>0</v>
      </c>
      <c r="Q1549" s="12">
        <f t="shared" si="3"/>
        <v>43129431</v>
      </c>
      <c r="R1549" s="9">
        <v>2003.0</v>
      </c>
      <c r="S1549" s="9">
        <v>6.3</v>
      </c>
    </row>
    <row r="1550" ht="15.75" customHeight="1">
      <c r="A1550" s="7" t="s">
        <v>552</v>
      </c>
      <c r="B1550" s="8" t="str">
        <f>IFERROR(__xludf.DUMMYFUNCTION("REGEXREPLACE(A1550, ""[^0-9a-zA-Z .'Ã]"","""")"),"Cameron Crowe")</f>
        <v>Cameron Crowe</v>
      </c>
      <c r="C1550" s="9">
        <v>153.0</v>
      </c>
      <c r="D1550" s="10">
        <v>1.00614858E8</v>
      </c>
      <c r="E1550" s="9" t="s">
        <v>5398</v>
      </c>
      <c r="F1550" s="9">
        <f t="shared" si="1"/>
        <v>5</v>
      </c>
      <c r="G1550" s="9" t="s">
        <v>220</v>
      </c>
      <c r="H1550" s="11" t="str">
        <f>IFERROR(__xludf.DUMMYFUNCTION("REGEXREPLACE(G1550, ""[^0-9a-zA-Z .'Ã]"","""")"),"Tom Cruise")</f>
        <v>Tom Cruise</v>
      </c>
      <c r="I1550" s="11" t="s">
        <v>5399</v>
      </c>
      <c r="J1550" s="9">
        <v>206776.0</v>
      </c>
      <c r="K1550" s="9" t="s">
        <v>5400</v>
      </c>
      <c r="L1550" s="9">
        <v>1248.0</v>
      </c>
      <c r="M1550" s="9" t="s">
        <v>24</v>
      </c>
      <c r="N1550" s="9" t="s">
        <v>25</v>
      </c>
      <c r="O1550" s="10">
        <v>6.8E7</v>
      </c>
      <c r="P1550" s="10">
        <f t="shared" si="2"/>
        <v>32614858</v>
      </c>
      <c r="Q1550" s="12">
        <f t="shared" si="3"/>
        <v>0</v>
      </c>
      <c r="R1550" s="9">
        <v>2001.0</v>
      </c>
      <c r="S1550" s="9">
        <v>6.9</v>
      </c>
    </row>
    <row r="1551" ht="15.75" customHeight="1">
      <c r="A1551" s="17" t="s">
        <v>2505</v>
      </c>
      <c r="B1551" s="8" t="str">
        <f>IFERROR(__xludf.DUMMYFUNCTION("REGEXREPLACE(A1551, ""[^0-9a-zA-Z .'Ã]"","""")"),"Tony Scott")</f>
        <v>Tony Scott</v>
      </c>
      <c r="C1551" s="18">
        <v>60.0</v>
      </c>
      <c r="D1551" s="19">
        <v>8.2670733E7</v>
      </c>
      <c r="E1551" s="18" t="s">
        <v>5401</v>
      </c>
      <c r="F1551" s="9">
        <f t="shared" si="1"/>
        <v>3</v>
      </c>
      <c r="G1551" s="18" t="s">
        <v>220</v>
      </c>
      <c r="H1551" s="11" t="str">
        <f>IFERROR(__xludf.DUMMYFUNCTION("REGEXREPLACE(G1551, ""[^0-9a-zA-Z .'Ã]"","""")"),"Tom Cruise")</f>
        <v>Tom Cruise</v>
      </c>
      <c r="I1551" s="20" t="s">
        <v>5402</v>
      </c>
      <c r="J1551" s="18">
        <v>60476.0</v>
      </c>
      <c r="K1551" s="18" t="s">
        <v>5403</v>
      </c>
      <c r="L1551" s="18">
        <v>97.0</v>
      </c>
      <c r="M1551" s="18" t="s">
        <v>24</v>
      </c>
      <c r="N1551" s="18" t="s">
        <v>25</v>
      </c>
      <c r="O1551" s="19">
        <v>6.0E7</v>
      </c>
      <c r="P1551" s="10">
        <f t="shared" si="2"/>
        <v>22670733</v>
      </c>
      <c r="Q1551" s="12">
        <f t="shared" si="3"/>
        <v>0</v>
      </c>
      <c r="R1551" s="18">
        <v>1990.0</v>
      </c>
      <c r="S1551" s="18">
        <v>5.9</v>
      </c>
    </row>
    <row r="1552" ht="15.75" customHeight="1">
      <c r="A1552" s="13" t="s">
        <v>5404</v>
      </c>
      <c r="B1552" s="8" t="str">
        <f>IFERROR(__xludf.DUMMYFUNCTION("REGEXREPLACE(A1552, ""[^0-9a-zA-Z .'Ã]"","""")"),"Patricia Cardoso")</f>
        <v>Patricia Cardoso</v>
      </c>
      <c r="C1552" s="14">
        <v>75.0</v>
      </c>
      <c r="D1552" s="15">
        <v>5844929.0</v>
      </c>
      <c r="E1552" s="14" t="s">
        <v>454</v>
      </c>
      <c r="F1552" s="9">
        <f t="shared" si="1"/>
        <v>2</v>
      </c>
      <c r="G1552" s="14" t="s">
        <v>5405</v>
      </c>
      <c r="H1552" s="11" t="str">
        <f>IFERROR(__xludf.DUMMYFUNCTION("REGEXREPLACE(G1552, ""[^0-9a-zA-Z .'Ã]"","""")"),"America Ferrera")</f>
        <v>America Ferrera</v>
      </c>
      <c r="I1552" s="16" t="s">
        <v>5406</v>
      </c>
      <c r="J1552" s="14">
        <v>6000.0</v>
      </c>
      <c r="K1552" s="14" t="s">
        <v>5407</v>
      </c>
      <c r="L1552" s="14">
        <v>109.0</v>
      </c>
      <c r="M1552" s="14" t="s">
        <v>24</v>
      </c>
      <c r="N1552" s="14" t="s">
        <v>25</v>
      </c>
      <c r="O1552" s="15">
        <v>3000000.0</v>
      </c>
      <c r="P1552" s="10">
        <f t="shared" si="2"/>
        <v>2844929</v>
      </c>
      <c r="Q1552" s="12">
        <f t="shared" si="3"/>
        <v>0</v>
      </c>
      <c r="R1552" s="14">
        <v>2002.0</v>
      </c>
      <c r="S1552" s="14">
        <v>7.0</v>
      </c>
    </row>
    <row r="1553" ht="15.75" customHeight="1">
      <c r="A1553" s="7" t="s">
        <v>1378</v>
      </c>
      <c r="B1553" s="8" t="str">
        <f>IFERROR(__xludf.DUMMYFUNCTION("REGEXREPLACE(A1553, ""[^0-9a-zA-Z .'Ã]"","""")"),"Wes Ball")</f>
        <v>Wes Ball</v>
      </c>
      <c r="C1553" s="9">
        <v>249.0</v>
      </c>
      <c r="D1553" s="10">
        <v>8.1687587E7</v>
      </c>
      <c r="E1553" s="9" t="s">
        <v>1734</v>
      </c>
      <c r="F1553" s="9">
        <f t="shared" si="1"/>
        <v>3</v>
      </c>
      <c r="G1553" s="9" t="s">
        <v>1379</v>
      </c>
      <c r="H1553" s="11" t="str">
        <f>IFERROR(__xludf.DUMMYFUNCTION("REGEXREPLACE(G1553, ""[^0-9a-zA-Z .'Ã]"","""")"),"Ki Hong Lee")</f>
        <v>Ki Hong Lee</v>
      </c>
      <c r="I1553" s="11" t="s">
        <v>5408</v>
      </c>
      <c r="J1553" s="9">
        <v>138246.0</v>
      </c>
      <c r="K1553" s="9" t="s">
        <v>5409</v>
      </c>
      <c r="L1553" s="9">
        <v>360.0</v>
      </c>
      <c r="M1553" s="9" t="s">
        <v>24</v>
      </c>
      <c r="N1553" s="9" t="s">
        <v>25</v>
      </c>
      <c r="O1553" s="10">
        <v>6.1E7</v>
      </c>
      <c r="P1553" s="10">
        <f t="shared" si="2"/>
        <v>20687587</v>
      </c>
      <c r="Q1553" s="12">
        <f t="shared" si="3"/>
        <v>0</v>
      </c>
      <c r="R1553" s="9">
        <v>2015.0</v>
      </c>
      <c r="S1553" s="9">
        <v>6.4</v>
      </c>
    </row>
    <row r="1554" ht="15.75" customHeight="1">
      <c r="A1554" s="7" t="s">
        <v>300</v>
      </c>
      <c r="B1554" s="8" t="str">
        <f>IFERROR(__xludf.DUMMYFUNCTION("REGEXREPLACE(A1554, ""[^0-9a-zA-Z .'Ã]"","""")"),"Chris Miller")</f>
        <v>Chris Miller</v>
      </c>
      <c r="C1554" s="9">
        <v>246.0</v>
      </c>
      <c r="D1554" s="10">
        <v>1.49234747E8</v>
      </c>
      <c r="E1554" s="9" t="s">
        <v>5410</v>
      </c>
      <c r="F1554" s="9">
        <f t="shared" si="1"/>
        <v>6</v>
      </c>
      <c r="G1554" s="9" t="s">
        <v>4843</v>
      </c>
      <c r="H1554" s="11" t="str">
        <f>IFERROR(__xludf.DUMMYFUNCTION("REGEXREPLACE(G1554, ""[^0-9a-zA-Z .'Ã]"","""")"),"Salma Hayek")</f>
        <v>Salma Hayek</v>
      </c>
      <c r="I1554" s="11" t="s">
        <v>5411</v>
      </c>
      <c r="J1554" s="9">
        <v>114287.0</v>
      </c>
      <c r="K1554" s="9" t="s">
        <v>5412</v>
      </c>
      <c r="L1554" s="9">
        <v>137.0</v>
      </c>
      <c r="M1554" s="9" t="s">
        <v>24</v>
      </c>
      <c r="N1554" s="9" t="s">
        <v>25</v>
      </c>
      <c r="O1554" s="10">
        <v>1.3E8</v>
      </c>
      <c r="P1554" s="10">
        <f t="shared" si="2"/>
        <v>19234747</v>
      </c>
      <c r="Q1554" s="12">
        <f t="shared" si="3"/>
        <v>0</v>
      </c>
      <c r="R1554" s="9">
        <v>2011.0</v>
      </c>
      <c r="S1554" s="9">
        <v>6.7</v>
      </c>
    </row>
    <row r="1555" ht="15.75" customHeight="1">
      <c r="A1555" s="7" t="s">
        <v>635</v>
      </c>
      <c r="B1555" s="8" t="str">
        <f>IFERROR(__xludf.DUMMYFUNCTION("REGEXREPLACE(A1555, ""[^0-9a-zA-Z .'Ã]"","""")"),"Steven Spielberg")</f>
        <v>Steven Spielberg</v>
      </c>
      <c r="C1555" s="9">
        <v>234.0</v>
      </c>
      <c r="D1555" s="10">
        <v>2.42374454E8</v>
      </c>
      <c r="E1555" s="9" t="s">
        <v>636</v>
      </c>
      <c r="F1555" s="9">
        <f t="shared" si="1"/>
        <v>2</v>
      </c>
      <c r="G1555" s="9" t="s">
        <v>637</v>
      </c>
      <c r="H1555" s="11" t="str">
        <f>IFERROR(__xludf.DUMMYFUNCTION("REGEXREPLACE(G1555, ""[^0-9a-zA-Z .'Ã]"","""")"),"Harrison Ford")</f>
        <v>Harrison Ford</v>
      </c>
      <c r="I1555" s="11" t="s">
        <v>5413</v>
      </c>
      <c r="J1555" s="9">
        <v>661017.0</v>
      </c>
      <c r="K1555" s="9" t="s">
        <v>5414</v>
      </c>
      <c r="L1555" s="9">
        <v>771.0</v>
      </c>
      <c r="M1555" s="9" t="s">
        <v>24</v>
      </c>
      <c r="N1555" s="9" t="s">
        <v>25</v>
      </c>
      <c r="O1555" s="10">
        <v>1.8E7</v>
      </c>
      <c r="P1555" s="10">
        <f t="shared" si="2"/>
        <v>224374454</v>
      </c>
      <c r="Q1555" s="12">
        <f t="shared" si="3"/>
        <v>0</v>
      </c>
      <c r="R1555" s="9">
        <v>1981.0</v>
      </c>
      <c r="S1555" s="9">
        <v>8.5</v>
      </c>
    </row>
    <row r="1556" ht="15.75" customHeight="1">
      <c r="A1556" s="17" t="s">
        <v>2477</v>
      </c>
      <c r="B1556" s="8" t="str">
        <f>IFERROR(__xludf.DUMMYFUNCTION("REGEXREPLACE(A1556, ""[^0-9a-zA-Z .'Ã]"","""")"),"Duncan Jones")</f>
        <v>Duncan Jones</v>
      </c>
      <c r="C1556" s="18">
        <v>415.0</v>
      </c>
      <c r="D1556" s="19">
        <v>5009677.0</v>
      </c>
      <c r="E1556" s="18" t="s">
        <v>2978</v>
      </c>
      <c r="F1556" s="9">
        <f t="shared" si="1"/>
        <v>3</v>
      </c>
      <c r="G1556" s="18" t="s">
        <v>483</v>
      </c>
      <c r="H1556" s="11" t="str">
        <f>IFERROR(__xludf.DUMMYFUNCTION("REGEXREPLACE(G1556, ""[^0-9a-zA-Z .'Ã]"","""")"),"Kevin Spacey")</f>
        <v>Kevin Spacey</v>
      </c>
      <c r="I1556" s="20" t="s">
        <v>5415</v>
      </c>
      <c r="J1556" s="18">
        <v>260607.0</v>
      </c>
      <c r="K1556" s="18" t="s">
        <v>5416</v>
      </c>
      <c r="L1556" s="18">
        <v>485.0</v>
      </c>
      <c r="M1556" s="18" t="s">
        <v>24</v>
      </c>
      <c r="N1556" s="18" t="s">
        <v>130</v>
      </c>
      <c r="O1556" s="19">
        <v>5000000.0</v>
      </c>
      <c r="P1556" s="10">
        <f t="shared" si="2"/>
        <v>9677</v>
      </c>
      <c r="Q1556" s="12">
        <f t="shared" si="3"/>
        <v>0</v>
      </c>
      <c r="R1556" s="18">
        <v>2009.0</v>
      </c>
      <c r="S1556" s="18">
        <v>7.9</v>
      </c>
    </row>
    <row r="1557" ht="15.75" customHeight="1">
      <c r="A1557" s="17" t="s">
        <v>5211</v>
      </c>
      <c r="B1557" s="8" t="str">
        <f>IFERROR(__xludf.DUMMYFUNCTION("REGEXREPLACE(A1557, ""[^0-9a-zA-Z .'Ã]"","""")"),"John Hillcoat")</f>
        <v>John Hillcoat</v>
      </c>
      <c r="C1557" s="18">
        <v>214.0</v>
      </c>
      <c r="D1557" s="19">
        <v>1.2626905E7</v>
      </c>
      <c r="E1557" s="18" t="s">
        <v>501</v>
      </c>
      <c r="F1557" s="9">
        <f t="shared" si="1"/>
        <v>4</v>
      </c>
      <c r="G1557" s="18" t="s">
        <v>777</v>
      </c>
      <c r="H1557" s="11" t="str">
        <f>IFERROR(__xludf.DUMMYFUNCTION("REGEXREPLACE(G1557, ""[^0-9a-zA-Z .'Ã]"","""")"),"Kate Winslet")</f>
        <v>Kate Winslet</v>
      </c>
      <c r="I1557" s="20" t="s">
        <v>5417</v>
      </c>
      <c r="J1557" s="18">
        <v>32567.0</v>
      </c>
      <c r="K1557" s="18" t="s">
        <v>5418</v>
      </c>
      <c r="L1557" s="18">
        <v>106.0</v>
      </c>
      <c r="M1557" s="18" t="s">
        <v>24</v>
      </c>
      <c r="N1557" s="18" t="s">
        <v>25</v>
      </c>
      <c r="O1557" s="19">
        <v>2.0E7</v>
      </c>
      <c r="P1557" s="10">
        <f t="shared" si="2"/>
        <v>0</v>
      </c>
      <c r="Q1557" s="12">
        <f t="shared" si="3"/>
        <v>7373095</v>
      </c>
      <c r="R1557" s="18">
        <v>2016.0</v>
      </c>
      <c r="S1557" s="18">
        <v>6.3</v>
      </c>
    </row>
    <row r="1558" ht="15.75" customHeight="1">
      <c r="A1558" s="17" t="s">
        <v>2005</v>
      </c>
      <c r="B1558" s="8" t="str">
        <f>IFERROR(__xludf.DUMMYFUNCTION("REGEXREPLACE(A1558, ""[^0-9a-zA-Z .'Ã]"","""")"),"Rupert Wyatt")</f>
        <v>Rupert Wyatt</v>
      </c>
      <c r="C1558" s="18">
        <v>529.0</v>
      </c>
      <c r="D1558" s="19">
        <v>1.7674065E8</v>
      </c>
      <c r="E1558" s="18" t="s">
        <v>1546</v>
      </c>
      <c r="F1558" s="9">
        <f t="shared" si="1"/>
        <v>4</v>
      </c>
      <c r="G1558" s="18" t="s">
        <v>404</v>
      </c>
      <c r="H1558" s="11" t="str">
        <f>IFERROR(__xludf.DUMMYFUNCTION("REGEXREPLACE(G1558, ""[^0-9a-zA-Z .'Ã]"","""")"),"James Franco")</f>
        <v>James Franco</v>
      </c>
      <c r="I1558" s="20" t="s">
        <v>5419</v>
      </c>
      <c r="J1558" s="18">
        <v>403836.0</v>
      </c>
      <c r="K1558" s="18" t="s">
        <v>5420</v>
      </c>
      <c r="L1558" s="18">
        <v>646.0</v>
      </c>
      <c r="M1558" s="18" t="s">
        <v>24</v>
      </c>
      <c r="N1558" s="18" t="s">
        <v>25</v>
      </c>
      <c r="O1558" s="19">
        <v>9.3E7</v>
      </c>
      <c r="P1558" s="10">
        <f t="shared" si="2"/>
        <v>83740650</v>
      </c>
      <c r="Q1558" s="12">
        <f t="shared" si="3"/>
        <v>0</v>
      </c>
      <c r="R1558" s="18">
        <v>2011.0</v>
      </c>
      <c r="S1558" s="18">
        <v>7.6</v>
      </c>
    </row>
    <row r="1559" ht="15.75" customHeight="1">
      <c r="A1559" s="29" t="s">
        <v>2797</v>
      </c>
      <c r="B1559" s="8" t="str">
        <f>IFERROR(__xludf.DUMMYFUNCTION("REGEXREPLACE(A1559, ""[^0-9a-zA-Z .'Ã]"","""")"),"Anton Corbijn")</f>
        <v>Anton Corbijn</v>
      </c>
      <c r="C1559" s="30">
        <v>333.0</v>
      </c>
      <c r="D1559" s="31">
        <v>3.5596227E7</v>
      </c>
      <c r="E1559" s="30" t="s">
        <v>113</v>
      </c>
      <c r="F1559" s="9">
        <f t="shared" si="1"/>
        <v>3</v>
      </c>
      <c r="G1559" s="30" t="s">
        <v>5421</v>
      </c>
      <c r="H1559" s="11" t="str">
        <f>IFERROR(__xludf.DUMMYFUNCTION("REGEXREPLACE(G1559, ""[^0-9a-zA-Z .'Ã]"","""")"),"Violante Placido")</f>
        <v>Violante Placido</v>
      </c>
      <c r="I1559" s="32" t="s">
        <v>5422</v>
      </c>
      <c r="J1559" s="30">
        <v>79461.0</v>
      </c>
      <c r="K1559" s="30" t="s">
        <v>5423</v>
      </c>
      <c r="L1559" s="30">
        <v>463.0</v>
      </c>
      <c r="M1559" s="30" t="s">
        <v>24</v>
      </c>
      <c r="N1559" s="30" t="s">
        <v>25</v>
      </c>
      <c r="O1559" s="31">
        <v>2.0E7</v>
      </c>
      <c r="P1559" s="10">
        <f t="shared" si="2"/>
        <v>15596227</v>
      </c>
      <c r="Q1559" s="12">
        <f t="shared" si="3"/>
        <v>0</v>
      </c>
      <c r="R1559" s="30">
        <v>2010.0</v>
      </c>
      <c r="S1559" s="30">
        <v>6.3</v>
      </c>
    </row>
    <row r="1560" ht="15.75" customHeight="1">
      <c r="A1560" s="7" t="s">
        <v>3100</v>
      </c>
      <c r="B1560" s="8" t="str">
        <f>IFERROR(__xludf.DUMMYFUNCTION("REGEXREPLACE(A1560, ""[^0-9a-zA-Z .'Ã]"","""")"),"John Milius")</f>
        <v>John Milius</v>
      </c>
      <c r="C1560" s="9">
        <v>13.0</v>
      </c>
      <c r="D1560" s="10">
        <v>1.4587732E7</v>
      </c>
      <c r="E1560" s="9" t="s">
        <v>688</v>
      </c>
      <c r="F1560" s="9">
        <f t="shared" si="1"/>
        <v>4</v>
      </c>
      <c r="G1560" s="9" t="s">
        <v>5424</v>
      </c>
      <c r="H1560" s="11" t="str">
        <f>IFERROR(__xludf.DUMMYFUNCTION("REGEXREPLACE(G1560, ""[^0-9a-zA-Z .'Ã]"","""")"),"Rosanna Arquette")</f>
        <v>Rosanna Arquette</v>
      </c>
      <c r="I1560" s="11" t="s">
        <v>5425</v>
      </c>
      <c r="J1560" s="9">
        <v>4795.0</v>
      </c>
      <c r="K1560" s="9" t="s">
        <v>5426</v>
      </c>
      <c r="L1560" s="9">
        <v>39.0</v>
      </c>
      <c r="M1560" s="9" t="s">
        <v>24</v>
      </c>
      <c r="N1560" s="9" t="s">
        <v>25</v>
      </c>
      <c r="O1560" s="10">
        <v>3.5E7</v>
      </c>
      <c r="P1560" s="10">
        <f t="shared" si="2"/>
        <v>0</v>
      </c>
      <c r="Q1560" s="12">
        <f t="shared" si="3"/>
        <v>20412268</v>
      </c>
      <c r="R1560" s="9">
        <v>1991.0</v>
      </c>
      <c r="S1560" s="9">
        <v>5.7</v>
      </c>
    </row>
    <row r="1561" ht="15.75" customHeight="1">
      <c r="A1561" s="21" t="s">
        <v>635</v>
      </c>
      <c r="B1561" s="8" t="str">
        <f>IFERROR(__xludf.DUMMYFUNCTION("REGEXREPLACE(A1561, ""[^0-9a-zA-Z .'Ã]"","""")"),"Steven Spielberg")</f>
        <v>Steven Spielberg</v>
      </c>
      <c r="C1561" s="22">
        <v>75.0</v>
      </c>
      <c r="D1561" s="23">
        <v>1.196549E8</v>
      </c>
      <c r="E1561" s="22" t="s">
        <v>1874</v>
      </c>
      <c r="F1561" s="9">
        <f t="shared" si="1"/>
        <v>4</v>
      </c>
      <c r="G1561" s="22" t="s">
        <v>673</v>
      </c>
      <c r="H1561" s="11" t="str">
        <f>IFERROR(__xludf.DUMMYFUNCTION("REGEXREPLACE(G1561, ""[^0-9a-zA-Z .'Ã]"","""")"),"Robin Williams")</f>
        <v>Robin Williams</v>
      </c>
      <c r="I1561" s="24" t="s">
        <v>5427</v>
      </c>
      <c r="J1561" s="22">
        <v>182802.0</v>
      </c>
      <c r="K1561" s="22" t="s">
        <v>5428</v>
      </c>
      <c r="L1561" s="22">
        <v>363.0</v>
      </c>
      <c r="M1561" s="22" t="s">
        <v>24</v>
      </c>
      <c r="N1561" s="22" t="s">
        <v>25</v>
      </c>
      <c r="O1561" s="23">
        <v>7.0E7</v>
      </c>
      <c r="P1561" s="10">
        <f t="shared" si="2"/>
        <v>49654900</v>
      </c>
      <c r="Q1561" s="12">
        <f t="shared" si="3"/>
        <v>0</v>
      </c>
      <c r="R1561" s="22">
        <v>1991.0</v>
      </c>
      <c r="S1561" s="22">
        <v>6.7</v>
      </c>
    </row>
    <row r="1562" ht="15.75" customHeight="1">
      <c r="A1562" s="21" t="s">
        <v>4665</v>
      </c>
      <c r="B1562" s="8" t="str">
        <f>IFERROR(__xludf.DUMMYFUNCTION("REGEXREPLACE(A1562, ""[^0-9a-zA-Z .'Ã]"","""")"),"Paul Thomas Anderson")</f>
        <v>Paul Thomas Anderson</v>
      </c>
      <c r="C1562" s="22">
        <v>224.0</v>
      </c>
      <c r="D1562" s="23">
        <v>2.2450975E7</v>
      </c>
      <c r="E1562" s="22" t="s">
        <v>103</v>
      </c>
      <c r="F1562" s="9">
        <f t="shared" si="1"/>
        <v>1</v>
      </c>
      <c r="G1562" s="22" t="s">
        <v>5429</v>
      </c>
      <c r="H1562" s="11" t="str">
        <f>IFERROR(__xludf.DUMMYFUNCTION("REGEXREPLACE(G1562, ""[^0-9a-zA-Z .'Ã]"","""")"),"Patton Oswalt")</f>
        <v>Patton Oswalt</v>
      </c>
      <c r="I1562" s="24" t="s">
        <v>5430</v>
      </c>
      <c r="J1562" s="22">
        <v>241030.0</v>
      </c>
      <c r="K1562" s="22" t="s">
        <v>5431</v>
      </c>
      <c r="L1562" s="22">
        <v>1437.0</v>
      </c>
      <c r="M1562" s="22" t="s">
        <v>24</v>
      </c>
      <c r="N1562" s="22" t="s">
        <v>25</v>
      </c>
      <c r="O1562" s="23">
        <v>3.7E7</v>
      </c>
      <c r="P1562" s="10">
        <f t="shared" si="2"/>
        <v>0</v>
      </c>
      <c r="Q1562" s="12">
        <f t="shared" si="3"/>
        <v>14549025</v>
      </c>
      <c r="R1562" s="22">
        <v>1999.0</v>
      </c>
      <c r="S1562" s="22">
        <v>8.0</v>
      </c>
    </row>
    <row r="1563" ht="15.75" customHeight="1">
      <c r="A1563" s="7" t="s">
        <v>5432</v>
      </c>
      <c r="B1563" s="8" t="str">
        <f>IFERROR(__xludf.DUMMYFUNCTION("REGEXREPLACE(A1563, ""[^0-9a-zA-Z .'Ã]"","""")"),"Ariel Vromen")</f>
        <v>Ariel Vromen</v>
      </c>
      <c r="C1563" s="9">
        <v>130.0</v>
      </c>
      <c r="D1563" s="10">
        <v>1.4268533E7</v>
      </c>
      <c r="E1563" s="9" t="s">
        <v>5433</v>
      </c>
      <c r="F1563" s="9">
        <f t="shared" si="1"/>
        <v>6</v>
      </c>
      <c r="G1563" s="9" t="s">
        <v>772</v>
      </c>
      <c r="H1563" s="11" t="str">
        <f>IFERROR(__xludf.DUMMYFUNCTION("REGEXREPLACE(G1563, ""[^0-9a-zA-Z .'Ã]"","""")"),"Gary Oldman")</f>
        <v>Gary Oldman</v>
      </c>
      <c r="I1563" s="11" t="s">
        <v>5434</v>
      </c>
      <c r="J1563" s="9">
        <v>17319.0</v>
      </c>
      <c r="K1563" s="9" t="s">
        <v>5435</v>
      </c>
      <c r="L1563" s="9">
        <v>100.0</v>
      </c>
      <c r="M1563" s="9" t="s">
        <v>24</v>
      </c>
      <c r="N1563" s="9" t="s">
        <v>130</v>
      </c>
      <c r="O1563" s="10">
        <v>3.15E7</v>
      </c>
      <c r="P1563" s="10">
        <f t="shared" si="2"/>
        <v>0</v>
      </c>
      <c r="Q1563" s="12">
        <f t="shared" si="3"/>
        <v>17231467</v>
      </c>
      <c r="R1563" s="9">
        <v>2016.0</v>
      </c>
      <c r="S1563" s="9">
        <v>6.3</v>
      </c>
    </row>
    <row r="1564" ht="15.75" customHeight="1">
      <c r="A1564" s="17" t="s">
        <v>2430</v>
      </c>
      <c r="B1564" s="8" t="str">
        <f>IFERROR(__xludf.DUMMYFUNCTION("REGEXREPLACE(A1564, ""[^0-9a-zA-Z .'Ã]"","""")"),"Pete Docter")</f>
        <v>Pete Docter</v>
      </c>
      <c r="C1564" s="18">
        <v>536.0</v>
      </c>
      <c r="D1564" s="19">
        <v>3.56454367E8</v>
      </c>
      <c r="E1564" s="18" t="s">
        <v>5436</v>
      </c>
      <c r="F1564" s="9">
        <f t="shared" si="1"/>
        <v>6</v>
      </c>
      <c r="G1564" s="18" t="s">
        <v>2653</v>
      </c>
      <c r="H1564" s="11" t="str">
        <f>IFERROR(__xludf.DUMMYFUNCTION("REGEXREPLACE(G1564, ""[^0-9a-zA-Z .'Ã]"","""")"),"Amy Poehler")</f>
        <v>Amy Poehler</v>
      </c>
      <c r="I1564" s="20" t="s">
        <v>5437</v>
      </c>
      <c r="J1564" s="18">
        <v>345198.0</v>
      </c>
      <c r="K1564" s="18" t="s">
        <v>5438</v>
      </c>
      <c r="L1564" s="18">
        <v>773.0</v>
      </c>
      <c r="M1564" s="18" t="s">
        <v>24</v>
      </c>
      <c r="N1564" s="18" t="s">
        <v>25</v>
      </c>
      <c r="O1564" s="19">
        <v>1.75E8</v>
      </c>
      <c r="P1564" s="10">
        <f t="shared" si="2"/>
        <v>181454367</v>
      </c>
      <c r="Q1564" s="12">
        <f t="shared" si="3"/>
        <v>0</v>
      </c>
      <c r="R1564" s="18">
        <v>2015.0</v>
      </c>
      <c r="S1564" s="18">
        <v>8.3</v>
      </c>
    </row>
    <row r="1565" ht="15.75" customHeight="1">
      <c r="A1565" s="17" t="s">
        <v>5439</v>
      </c>
      <c r="B1565" s="8" t="str">
        <f>IFERROR(__xludf.DUMMYFUNCTION("REGEXREPLACE(A1565, ""[^0-9a-zA-Z .'Ã]"","""")"),"Alison Maclean")</f>
        <v>Alison Maclean</v>
      </c>
      <c r="C1565" s="18">
        <v>74.0</v>
      </c>
      <c r="D1565" s="19">
        <v>1282084.0</v>
      </c>
      <c r="E1565" s="18" t="s">
        <v>103</v>
      </c>
      <c r="F1565" s="9">
        <f t="shared" si="1"/>
        <v>1</v>
      </c>
      <c r="G1565" s="18" t="s">
        <v>5440</v>
      </c>
      <c r="H1565" s="11" t="str">
        <f>IFERROR(__xludf.DUMMYFUNCTION("REGEXREPLACE(G1565, ""[^0-9a-zA-Z .'Ã]"","""")"),"Billy Crudup")</f>
        <v>Billy Crudup</v>
      </c>
      <c r="I1565" s="20" t="s">
        <v>5441</v>
      </c>
      <c r="J1565" s="18">
        <v>6221.0</v>
      </c>
      <c r="K1565" s="18" t="s">
        <v>5442</v>
      </c>
      <c r="L1565" s="18">
        <v>87.0</v>
      </c>
      <c r="M1565" s="18" t="s">
        <v>24</v>
      </c>
      <c r="N1565" s="18" t="s">
        <v>25</v>
      </c>
      <c r="O1565" s="19">
        <v>2500000.0</v>
      </c>
      <c r="P1565" s="10">
        <f t="shared" si="2"/>
        <v>0</v>
      </c>
      <c r="Q1565" s="12">
        <f t="shared" si="3"/>
        <v>1217916</v>
      </c>
      <c r="R1565" s="18">
        <v>1999.0</v>
      </c>
      <c r="S1565" s="18">
        <v>7.0</v>
      </c>
    </row>
    <row r="1566" ht="15.75" customHeight="1">
      <c r="A1566" s="29" t="s">
        <v>1591</v>
      </c>
      <c r="B1566" s="8" t="str">
        <f>IFERROR(__xludf.DUMMYFUNCTION("REGEXREPLACE(A1566, ""[^0-9a-zA-Z .'Ã]"","""")"),"Gary Fleder")</f>
        <v>Gary Fleder</v>
      </c>
      <c r="C1566" s="30">
        <v>52.0</v>
      </c>
      <c r="D1566" s="31">
        <v>529766.0</v>
      </c>
      <c r="E1566" s="30" t="s">
        <v>54</v>
      </c>
      <c r="F1566" s="9">
        <f t="shared" si="1"/>
        <v>2</v>
      </c>
      <c r="G1566" s="30" t="s">
        <v>453</v>
      </c>
      <c r="H1566" s="11" t="str">
        <f>IFERROR(__xludf.DUMMYFUNCTION("REGEXREPLACE(G1566, ""[^0-9a-zA-Z .'Ã]"","""")"),"Steve Buscemi")</f>
        <v>Steve Buscemi</v>
      </c>
      <c r="I1566" s="32" t="s">
        <v>5443</v>
      </c>
      <c r="J1566" s="30">
        <v>22345.0</v>
      </c>
      <c r="K1566" s="30" t="s">
        <v>5444</v>
      </c>
      <c r="L1566" s="30">
        <v>144.0</v>
      </c>
      <c r="M1566" s="30" t="s">
        <v>24</v>
      </c>
      <c r="N1566" s="30" t="s">
        <v>25</v>
      </c>
      <c r="O1566" s="31">
        <v>7000000.0</v>
      </c>
      <c r="P1566" s="10">
        <f t="shared" si="2"/>
        <v>0</v>
      </c>
      <c r="Q1566" s="12">
        <f t="shared" si="3"/>
        <v>6470234</v>
      </c>
      <c r="R1566" s="30">
        <v>1995.0</v>
      </c>
      <c r="S1566" s="30">
        <v>6.8</v>
      </c>
    </row>
    <row r="1567" ht="15.75" customHeight="1">
      <c r="A1567" s="7" t="s">
        <v>583</v>
      </c>
      <c r="B1567" s="8" t="str">
        <f>IFERROR(__xludf.DUMMYFUNCTION("REGEXREPLACE(A1567, ""[^0-9a-zA-Z .'Ã]"","""")"),"Gus Van Sant")</f>
        <v>Gus Van Sant</v>
      </c>
      <c r="C1567" s="9">
        <v>242.0</v>
      </c>
      <c r="D1567" s="10">
        <v>7556708.0</v>
      </c>
      <c r="E1567" s="9" t="s">
        <v>103</v>
      </c>
      <c r="F1567" s="9">
        <f t="shared" si="1"/>
        <v>1</v>
      </c>
      <c r="G1567" s="9" t="s">
        <v>585</v>
      </c>
      <c r="H1567" s="11" t="str">
        <f>IFERROR(__xludf.DUMMYFUNCTION("REGEXREPLACE(G1567, ""[^0-9a-zA-Z .'Ã]"","""")"),"Matt Damon")</f>
        <v>Matt Damon</v>
      </c>
      <c r="I1567" s="11" t="s">
        <v>5445</v>
      </c>
      <c r="J1567" s="9">
        <v>30284.0</v>
      </c>
      <c r="K1567" s="9" t="s">
        <v>5446</v>
      </c>
      <c r="L1567" s="9">
        <v>102.0</v>
      </c>
      <c r="M1567" s="9" t="s">
        <v>24</v>
      </c>
      <c r="N1567" s="9" t="s">
        <v>25</v>
      </c>
      <c r="O1567" s="10">
        <v>1.5E7</v>
      </c>
      <c r="P1567" s="10">
        <f t="shared" si="2"/>
        <v>0</v>
      </c>
      <c r="Q1567" s="12">
        <f t="shared" si="3"/>
        <v>7443292</v>
      </c>
      <c r="R1567" s="9">
        <v>2012.0</v>
      </c>
      <c r="S1567" s="9">
        <v>6.6</v>
      </c>
    </row>
    <row r="1568" ht="15.75" customHeight="1">
      <c r="A1568" s="21" t="s">
        <v>1760</v>
      </c>
      <c r="B1568" s="8" t="str">
        <f>IFERROR(__xludf.DUMMYFUNCTION("REGEXREPLACE(A1568, ""[^0-9a-zA-Z -.'Ã]"","""")"),"Jee-woon Kim")</f>
        <v>Jee-woon Kim</v>
      </c>
      <c r="C1568" s="22">
        <v>376.0</v>
      </c>
      <c r="D1568" s="23">
        <v>1.202667E7</v>
      </c>
      <c r="E1568" s="22" t="s">
        <v>152</v>
      </c>
      <c r="F1568" s="9">
        <f t="shared" si="1"/>
        <v>3</v>
      </c>
      <c r="G1568" s="22" t="s">
        <v>1627</v>
      </c>
      <c r="H1568" s="11" t="str">
        <f>IFERROR(__xludf.DUMMYFUNCTION("REGEXREPLACE(G1568, ""[^0-9a-zA-Z .'Ã]"","""")"),"Zach Gilford")</f>
        <v>Zach Gilford</v>
      </c>
      <c r="I1568" s="24" t="s">
        <v>5447</v>
      </c>
      <c r="J1568" s="22">
        <v>114241.0</v>
      </c>
      <c r="K1568" s="22" t="s">
        <v>5448</v>
      </c>
      <c r="L1568" s="22">
        <v>258.0</v>
      </c>
      <c r="M1568" s="22" t="s">
        <v>24</v>
      </c>
      <c r="N1568" s="22" t="s">
        <v>25</v>
      </c>
      <c r="O1568" s="23">
        <v>4.5E7</v>
      </c>
      <c r="P1568" s="10">
        <f t="shared" si="2"/>
        <v>0</v>
      </c>
      <c r="Q1568" s="12">
        <f t="shared" si="3"/>
        <v>32973330</v>
      </c>
      <c r="R1568" s="22">
        <v>2013.0</v>
      </c>
      <c r="S1568" s="22">
        <v>6.4</v>
      </c>
    </row>
    <row r="1569" ht="15.75" customHeight="1">
      <c r="A1569" s="7" t="s">
        <v>1314</v>
      </c>
      <c r="B1569" s="8" t="str">
        <f>IFERROR(__xludf.DUMMYFUNCTION("REGEXREPLACE(A1569, ""[^0-9a-zA-Z .'Ã]"","""")"),"Bryan Singer")</f>
        <v>Bryan Singer</v>
      </c>
      <c r="C1569" s="9">
        <v>338.0</v>
      </c>
      <c r="D1569" s="10">
        <v>6.517186E7</v>
      </c>
      <c r="E1569" s="9" t="s">
        <v>3101</v>
      </c>
      <c r="F1569" s="9">
        <f t="shared" si="1"/>
        <v>2</v>
      </c>
      <c r="G1569" s="9" t="s">
        <v>5449</v>
      </c>
      <c r="H1569" s="11" t="str">
        <f>IFERROR(__xludf.DUMMYFUNCTION("REGEXREPLACE(G1569, ""[^0-9a-zA-Z .'Ã]"","""")"),"Eddie Marsan")</f>
        <v>Eddie Marsan</v>
      </c>
      <c r="I1569" s="11" t="s">
        <v>5450</v>
      </c>
      <c r="J1569" s="9">
        <v>106416.0</v>
      </c>
      <c r="K1569" s="9" t="s">
        <v>5451</v>
      </c>
      <c r="L1569" s="9">
        <v>205.0</v>
      </c>
      <c r="M1569" s="9" t="s">
        <v>24</v>
      </c>
      <c r="N1569" s="9" t="s">
        <v>25</v>
      </c>
      <c r="O1569" s="10">
        <v>1.95E8</v>
      </c>
      <c r="P1569" s="10">
        <f t="shared" si="2"/>
        <v>0</v>
      </c>
      <c r="Q1569" s="12">
        <f t="shared" si="3"/>
        <v>129828140</v>
      </c>
      <c r="R1569" s="9">
        <v>2013.0</v>
      </c>
      <c r="S1569" s="9">
        <v>6.3</v>
      </c>
    </row>
    <row r="1570" ht="15.75" customHeight="1">
      <c r="A1570" s="7" t="s">
        <v>920</v>
      </c>
      <c r="B1570" s="8" t="str">
        <f>IFERROR(__xludf.DUMMYFUNCTION("REGEXREPLACE(A1570, ""[^0-9a-zA-Z .'Ã]"","""")"),"Sylvain White")</f>
        <v>Sylvain White</v>
      </c>
      <c r="C1570" s="9">
        <v>213.0</v>
      </c>
      <c r="D1570" s="10">
        <v>2.3527955E7</v>
      </c>
      <c r="E1570" s="9" t="s">
        <v>610</v>
      </c>
      <c r="F1570" s="9">
        <f t="shared" si="1"/>
        <v>5</v>
      </c>
      <c r="G1570" s="9" t="s">
        <v>983</v>
      </c>
      <c r="H1570" s="11" t="str">
        <f>IFERROR(__xludf.DUMMYFUNCTION("REGEXREPLACE(G1570, ""[^0-9a-zA-Z .'Ã]"","""")"),"Chris Evans")</f>
        <v>Chris Evans</v>
      </c>
      <c r="I1570" s="11" t="s">
        <v>5452</v>
      </c>
      <c r="J1570" s="9">
        <v>74691.0</v>
      </c>
      <c r="K1570" s="9" t="s">
        <v>5453</v>
      </c>
      <c r="L1570" s="9">
        <v>165.0</v>
      </c>
      <c r="M1570" s="9" t="s">
        <v>24</v>
      </c>
      <c r="N1570" s="9" t="s">
        <v>25</v>
      </c>
      <c r="O1570" s="10">
        <v>2.5E7</v>
      </c>
      <c r="P1570" s="10">
        <f t="shared" si="2"/>
        <v>0</v>
      </c>
      <c r="Q1570" s="12">
        <f t="shared" si="3"/>
        <v>1472045</v>
      </c>
      <c r="R1570" s="9">
        <v>2010.0</v>
      </c>
      <c r="S1570" s="9">
        <v>6.4</v>
      </c>
    </row>
    <row r="1571" ht="15.75" customHeight="1">
      <c r="A1571" s="21" t="s">
        <v>5454</v>
      </c>
      <c r="B1571" s="8" t="str">
        <f>IFERROR(__xludf.DUMMYFUNCTION("REGEXREPLACE(A1571, ""[^0-9a-zA-Z .'Ã]"","""")"),"Roger Nygard")</f>
        <v>Roger Nygard</v>
      </c>
      <c r="C1571" s="22">
        <v>43.0</v>
      </c>
      <c r="D1571" s="23">
        <v>617172.0</v>
      </c>
      <c r="E1571" s="22" t="s">
        <v>251</v>
      </c>
      <c r="F1571" s="9">
        <f t="shared" si="1"/>
        <v>1</v>
      </c>
      <c r="G1571" s="22" t="s">
        <v>5455</v>
      </c>
      <c r="H1571" s="11" t="str">
        <f>IFERROR(__xludf.DUMMYFUNCTION("REGEXREPLACE(G1571, ""[^0-9a-zA-Z .'Ã]"","""")"),"Walter Koenig")</f>
        <v>Walter Koenig</v>
      </c>
      <c r="I1571" s="24" t="s">
        <v>5456</v>
      </c>
      <c r="J1571" s="22">
        <v>4407.0</v>
      </c>
      <c r="K1571" s="22" t="s">
        <v>5457</v>
      </c>
      <c r="L1571" s="22">
        <v>75.0</v>
      </c>
      <c r="M1571" s="22" t="s">
        <v>24</v>
      </c>
      <c r="N1571" s="22" t="s">
        <v>25</v>
      </c>
      <c r="O1571" s="23">
        <v>375000.0</v>
      </c>
      <c r="P1571" s="10">
        <f t="shared" si="2"/>
        <v>242172</v>
      </c>
      <c r="Q1571" s="12">
        <f t="shared" si="3"/>
        <v>0</v>
      </c>
      <c r="R1571" s="22">
        <v>1997.0</v>
      </c>
      <c r="S1571" s="22">
        <v>7.0</v>
      </c>
    </row>
    <row r="1572" ht="15.75" customHeight="1">
      <c r="A1572" s="7" t="s">
        <v>4185</v>
      </c>
      <c r="B1572" s="8" t="str">
        <f>IFERROR(__xludf.DUMMYFUNCTION("REGEXREPLACE(A1572, ""[^0-9a-zA-Z .'Ã]"","""")"),"Joe Carnahan")</f>
        <v>Joe Carnahan</v>
      </c>
      <c r="C1572" s="9">
        <v>186.0</v>
      </c>
      <c r="D1572" s="10">
        <v>3.5635046E7</v>
      </c>
      <c r="E1572" s="9" t="s">
        <v>501</v>
      </c>
      <c r="F1572" s="9">
        <f t="shared" si="1"/>
        <v>4</v>
      </c>
      <c r="G1572" s="9" t="s">
        <v>2451</v>
      </c>
      <c r="H1572" s="11" t="str">
        <f>IFERROR(__xludf.DUMMYFUNCTION("REGEXREPLACE(G1572, ""[^0-9a-zA-Z .'Ã]"","""")"),"Ryan Reynolds")</f>
        <v>Ryan Reynolds</v>
      </c>
      <c r="I1572" s="11" t="s">
        <v>5458</v>
      </c>
      <c r="J1572" s="9">
        <v>121058.0</v>
      </c>
      <c r="K1572" s="9" t="s">
        <v>5459</v>
      </c>
      <c r="L1572" s="9">
        <v>482.0</v>
      </c>
      <c r="M1572" s="9" t="s">
        <v>24</v>
      </c>
      <c r="N1572" s="9" t="s">
        <v>130</v>
      </c>
      <c r="O1572" s="10">
        <v>1.7E7</v>
      </c>
      <c r="P1572" s="10">
        <f t="shared" si="2"/>
        <v>18635046</v>
      </c>
      <c r="Q1572" s="12">
        <f t="shared" si="3"/>
        <v>0</v>
      </c>
      <c r="R1572" s="9">
        <v>2006.0</v>
      </c>
      <c r="S1572" s="9">
        <v>6.7</v>
      </c>
    </row>
    <row r="1573" ht="15.75" customHeight="1">
      <c r="A1573" s="7" t="s">
        <v>5460</v>
      </c>
      <c r="B1573" s="8" t="str">
        <f>IFERROR(__xludf.DUMMYFUNCTION("REGEXREPLACE(A1573, ""[^0-9a-zA-Z .'Ã]"","""")"),"Kathryn Bigelow")</f>
        <v>Kathryn Bigelow</v>
      </c>
      <c r="C1573" s="9">
        <v>136.0</v>
      </c>
      <c r="D1573" s="10">
        <v>3.5168677E7</v>
      </c>
      <c r="E1573" s="9" t="s">
        <v>5461</v>
      </c>
      <c r="F1573" s="9">
        <f t="shared" si="1"/>
        <v>4</v>
      </c>
      <c r="G1573" s="9" t="s">
        <v>605</v>
      </c>
      <c r="H1573" s="11" t="str">
        <f>IFERROR(__xludf.DUMMYFUNCTION("REGEXREPLACE(G1573, ""[^0-9a-zA-Z .'Ã]"","""")"),"Liam Neeson")</f>
        <v>Liam Neeson</v>
      </c>
      <c r="I1573" s="11" t="s">
        <v>5462</v>
      </c>
      <c r="J1573" s="9">
        <v>49311.0</v>
      </c>
      <c r="K1573" s="9" t="s">
        <v>5463</v>
      </c>
      <c r="L1573" s="9">
        <v>278.0</v>
      </c>
      <c r="M1573" s="9" t="s">
        <v>24</v>
      </c>
      <c r="N1573" s="9" t="s">
        <v>130</v>
      </c>
      <c r="O1573" s="10">
        <v>1.0E8</v>
      </c>
      <c r="P1573" s="10">
        <f t="shared" si="2"/>
        <v>0</v>
      </c>
      <c r="Q1573" s="12">
        <f t="shared" si="3"/>
        <v>64831323</v>
      </c>
      <c r="R1573" s="9">
        <v>2002.0</v>
      </c>
      <c r="S1573" s="9">
        <v>6.7</v>
      </c>
    </row>
    <row r="1574" ht="15.75" customHeight="1">
      <c r="A1574" s="7" t="s">
        <v>2692</v>
      </c>
      <c r="B1574" s="8" t="str">
        <f>IFERROR(__xludf.DUMMYFUNCTION("REGEXREPLACE(A1574, ""[^0-9a-zA-Z .'Ã]"","""")"),"Taylor Hackford")</f>
        <v>Taylor Hackford</v>
      </c>
      <c r="C1574" s="9">
        <v>209.0</v>
      </c>
      <c r="D1574" s="10">
        <v>7.5305995E7</v>
      </c>
      <c r="E1574" s="9" t="s">
        <v>2225</v>
      </c>
      <c r="F1574" s="9">
        <f t="shared" si="1"/>
        <v>3</v>
      </c>
      <c r="G1574" s="9" t="s">
        <v>5464</v>
      </c>
      <c r="H1574" s="11" t="str">
        <f>IFERROR(__xludf.DUMMYFUNCTION("REGEXREPLACE(G1574, ""[^0-9a-zA-Z .'Ã]"","""")"),"Bokeem Woodbine")</f>
        <v>Bokeem Woodbine</v>
      </c>
      <c r="I1574" s="11" t="s">
        <v>5465</v>
      </c>
      <c r="J1574" s="9">
        <v>110394.0</v>
      </c>
      <c r="K1574" s="9" t="s">
        <v>5466</v>
      </c>
      <c r="L1574" s="9">
        <v>433.0</v>
      </c>
      <c r="M1574" s="9" t="s">
        <v>24</v>
      </c>
      <c r="N1574" s="9" t="s">
        <v>25</v>
      </c>
      <c r="O1574" s="10">
        <v>4.0E7</v>
      </c>
      <c r="P1574" s="10">
        <f t="shared" si="2"/>
        <v>35305995</v>
      </c>
      <c r="Q1574" s="12">
        <f t="shared" si="3"/>
        <v>0</v>
      </c>
      <c r="R1574" s="9">
        <v>2004.0</v>
      </c>
      <c r="S1574" s="9">
        <v>7.7</v>
      </c>
    </row>
    <row r="1575" ht="15.75" customHeight="1">
      <c r="A1575" s="29" t="s">
        <v>38</v>
      </c>
      <c r="B1575" s="8" t="str">
        <f>IFERROR(__xludf.DUMMYFUNCTION("REGEXREPLACE(A1575, ""[^0-9a-zA-Z .'Ã]"","""")"),"Clint Eastwood")</f>
        <v>Clint Eastwood</v>
      </c>
      <c r="C1575" s="30">
        <v>169.0</v>
      </c>
      <c r="D1575" s="31">
        <v>9.0454043E7</v>
      </c>
      <c r="E1575" s="30" t="s">
        <v>474</v>
      </c>
      <c r="F1575" s="9">
        <f t="shared" si="1"/>
        <v>3</v>
      </c>
      <c r="G1575" s="30" t="s">
        <v>38</v>
      </c>
      <c r="H1575" s="11" t="str">
        <f>IFERROR(__xludf.DUMMYFUNCTION("REGEXREPLACE(G1575, ""[^0-9a-zA-Z .'Ã]"","""")"),"Clint Eastwood")</f>
        <v>Clint Eastwood</v>
      </c>
      <c r="I1575" s="32" t="s">
        <v>5467</v>
      </c>
      <c r="J1575" s="30">
        <v>60165.0</v>
      </c>
      <c r="K1575" s="30" t="s">
        <v>5468</v>
      </c>
      <c r="L1575" s="30">
        <v>326.0</v>
      </c>
      <c r="M1575" s="30" t="s">
        <v>24</v>
      </c>
      <c r="N1575" s="30" t="s">
        <v>25</v>
      </c>
      <c r="O1575" s="31">
        <v>6.5E7</v>
      </c>
      <c r="P1575" s="10">
        <f t="shared" si="2"/>
        <v>25454043</v>
      </c>
      <c r="Q1575" s="12">
        <f t="shared" si="3"/>
        <v>0</v>
      </c>
      <c r="R1575" s="30">
        <v>2000.0</v>
      </c>
      <c r="S1575" s="30">
        <v>6.4</v>
      </c>
    </row>
    <row r="1576" ht="15.75" customHeight="1">
      <c r="A1576" s="29" t="s">
        <v>4330</v>
      </c>
      <c r="B1576" s="8" t="str">
        <f>IFERROR(__xludf.DUMMYFUNCTION("REGEXREPLACE(A1576, ""[^0-9a-zA-Z .'Ã]"","""")"),"Jason Friedberg")</f>
        <v>Jason Friedberg</v>
      </c>
      <c r="C1576" s="30">
        <v>111.0</v>
      </c>
      <c r="D1576" s="31">
        <v>1.4174654E7</v>
      </c>
      <c r="E1576" s="30" t="s">
        <v>137</v>
      </c>
      <c r="F1576" s="9">
        <f t="shared" si="1"/>
        <v>1</v>
      </c>
      <c r="G1576" s="30" t="s">
        <v>1996</v>
      </c>
      <c r="H1576" s="11" t="str">
        <f>IFERROR(__xludf.DUMMYFUNCTION("REGEXREPLACE(G1576, ""[^0-9a-zA-Z .'Ã]"","""")"),"Carmen Electra")</f>
        <v>Carmen Electra</v>
      </c>
      <c r="I1576" s="32" t="s">
        <v>5469</v>
      </c>
      <c r="J1576" s="30">
        <v>74945.0</v>
      </c>
      <c r="K1576" s="30" t="s">
        <v>5470</v>
      </c>
      <c r="L1576" s="30">
        <v>359.0</v>
      </c>
      <c r="M1576" s="30" t="s">
        <v>24</v>
      </c>
      <c r="N1576" s="30" t="s">
        <v>25</v>
      </c>
      <c r="O1576" s="31">
        <v>2.5E7</v>
      </c>
      <c r="P1576" s="10">
        <f t="shared" si="2"/>
        <v>0</v>
      </c>
      <c r="Q1576" s="12">
        <f t="shared" si="3"/>
        <v>10825346</v>
      </c>
      <c r="R1576" s="30">
        <v>2008.0</v>
      </c>
      <c r="S1576" s="30">
        <v>1.9</v>
      </c>
    </row>
    <row r="1577" ht="15.75" customHeight="1">
      <c r="A1577" s="17" t="s">
        <v>823</v>
      </c>
      <c r="B1577" s="8" t="str">
        <f>IFERROR(__xludf.DUMMYFUNCTION("REGEXREPLACE(A1577, ""[^0-9a-zA-Z .'Ã]"","""")"),"Jon Amiel")</f>
        <v>Jon Amiel</v>
      </c>
      <c r="C1577" s="18">
        <v>149.0</v>
      </c>
      <c r="D1577" s="19">
        <v>3.111126E7</v>
      </c>
      <c r="E1577" s="18" t="s">
        <v>794</v>
      </c>
      <c r="F1577" s="9">
        <f t="shared" si="1"/>
        <v>4</v>
      </c>
      <c r="G1577" s="18" t="s">
        <v>4206</v>
      </c>
      <c r="H1577" s="11" t="str">
        <f>IFERROR(__xludf.DUMMYFUNCTION("REGEXREPLACE(G1577, ""[^0-9a-zA-Z .'Ã]"","""")"),"Glenn Morshower")</f>
        <v>Glenn Morshower</v>
      </c>
      <c r="I1577" s="20" t="s">
        <v>5471</v>
      </c>
      <c r="J1577" s="18">
        <v>77029.0</v>
      </c>
      <c r="K1577" s="18" t="s">
        <v>5472</v>
      </c>
      <c r="L1577" s="18">
        <v>466.0</v>
      </c>
      <c r="M1577" s="18" t="s">
        <v>24</v>
      </c>
      <c r="N1577" s="18" t="s">
        <v>25</v>
      </c>
      <c r="O1577" s="19">
        <v>6.0E7</v>
      </c>
      <c r="P1577" s="10">
        <f t="shared" si="2"/>
        <v>0</v>
      </c>
      <c r="Q1577" s="12">
        <f t="shared" si="3"/>
        <v>28888740</v>
      </c>
      <c r="R1577" s="18">
        <v>2003.0</v>
      </c>
      <c r="S1577" s="18">
        <v>5.4</v>
      </c>
    </row>
    <row r="1578" ht="15.75" customHeight="1">
      <c r="A1578" s="7" t="s">
        <v>5473</v>
      </c>
      <c r="B1578" s="8" t="str">
        <f>IFERROR(__xludf.DUMMYFUNCTION("REGEXREPLACE(A1578, ""[^0-9a-zA-Z .'Ã]"","""")"),"David Hackl")</f>
        <v>David Hackl</v>
      </c>
      <c r="C1578" s="9">
        <v>160.0</v>
      </c>
      <c r="D1578" s="10">
        <v>5.6729973E7</v>
      </c>
      <c r="E1578" s="9" t="s">
        <v>565</v>
      </c>
      <c r="F1578" s="9">
        <f t="shared" si="1"/>
        <v>2</v>
      </c>
      <c r="G1578" s="9" t="s">
        <v>3591</v>
      </c>
      <c r="H1578" s="11" t="str">
        <f>IFERROR(__xludf.DUMMYFUNCTION("REGEXREPLACE(G1578, ""[^0-9a-zA-Z .'Ã]"","""")"),"Julie Benz")</f>
        <v>Julie Benz</v>
      </c>
      <c r="I1578" s="11" t="s">
        <v>5474</v>
      </c>
      <c r="J1578" s="9">
        <v>88529.0</v>
      </c>
      <c r="K1578" s="9" t="s">
        <v>5475</v>
      </c>
      <c r="L1578" s="9">
        <v>262.0</v>
      </c>
      <c r="M1578" s="9" t="s">
        <v>24</v>
      </c>
      <c r="N1578" s="9" t="s">
        <v>25</v>
      </c>
      <c r="O1578" s="10">
        <v>1.08E7</v>
      </c>
      <c r="P1578" s="10">
        <f t="shared" si="2"/>
        <v>45929973</v>
      </c>
      <c r="Q1578" s="12">
        <f t="shared" si="3"/>
        <v>0</v>
      </c>
      <c r="R1578" s="9">
        <v>2008.0</v>
      </c>
      <c r="S1578" s="9">
        <v>5.8</v>
      </c>
    </row>
    <row r="1579" ht="15.75" customHeight="1">
      <c r="A1579" s="7" t="s">
        <v>986</v>
      </c>
      <c r="B1579" s="8" t="str">
        <f>IFERROR(__xludf.DUMMYFUNCTION("REGEXREPLACE(A1579, ""[^0-9a-zA-Z .'Ã]"","""")"),"Simon West")</f>
        <v>Simon West</v>
      </c>
      <c r="C1579" s="9">
        <v>199.0</v>
      </c>
      <c r="D1579" s="10">
        <v>1.31144183E8</v>
      </c>
      <c r="E1579" s="9" t="s">
        <v>3652</v>
      </c>
      <c r="F1579" s="9">
        <f t="shared" si="1"/>
        <v>4</v>
      </c>
      <c r="G1579" s="9" t="s">
        <v>844</v>
      </c>
      <c r="H1579" s="11" t="str">
        <f>IFERROR(__xludf.DUMMYFUNCTION("REGEXREPLACE(G1579, ""[^0-9a-zA-Z .'Ã]"","""")"),"Angelina Jolie Pitt")</f>
        <v>Angelina Jolie Pitt</v>
      </c>
      <c r="I1579" s="11" t="s">
        <v>5476</v>
      </c>
      <c r="J1579" s="9">
        <v>157016.0</v>
      </c>
      <c r="K1579" s="9" t="s">
        <v>5477</v>
      </c>
      <c r="L1579" s="9">
        <v>824.0</v>
      </c>
      <c r="M1579" s="9" t="s">
        <v>24</v>
      </c>
      <c r="N1579" s="9" t="s">
        <v>25</v>
      </c>
      <c r="O1579" s="10">
        <v>1.15E8</v>
      </c>
      <c r="P1579" s="10">
        <f t="shared" si="2"/>
        <v>16144183</v>
      </c>
      <c r="Q1579" s="12">
        <f t="shared" si="3"/>
        <v>0</v>
      </c>
      <c r="R1579" s="9">
        <v>2001.0</v>
      </c>
      <c r="S1579" s="9">
        <v>5.7</v>
      </c>
    </row>
    <row r="1580" ht="15.75" customHeight="1">
      <c r="A1580" s="21" t="s">
        <v>2692</v>
      </c>
      <c r="B1580" s="8" t="str">
        <f>IFERROR(__xludf.DUMMYFUNCTION("REGEXREPLACE(A1580, ""[^0-9a-zA-Z .'Ã]"","""")"),"Taylor Hackford")</f>
        <v>Taylor Hackford</v>
      </c>
      <c r="C1580" s="22">
        <v>12.0</v>
      </c>
      <c r="D1580" s="23">
        <v>4496583.0</v>
      </c>
      <c r="E1580" s="22" t="s">
        <v>54</v>
      </c>
      <c r="F1580" s="9">
        <f t="shared" si="1"/>
        <v>2</v>
      </c>
      <c r="G1580" s="22" t="s">
        <v>869</v>
      </c>
      <c r="H1580" s="11" t="str">
        <f>IFERROR(__xludf.DUMMYFUNCTION("REGEXREPLACE(G1580, ""[^0-9a-zA-Z .'Ã]"","""")"),"Delroy Lindo")</f>
        <v>Delroy Lindo</v>
      </c>
      <c r="I1580" s="24" t="s">
        <v>5478</v>
      </c>
      <c r="J1580" s="22">
        <v>23181.0</v>
      </c>
      <c r="K1580" s="22" t="s">
        <v>5479</v>
      </c>
      <c r="L1580" s="22">
        <v>129.0</v>
      </c>
      <c r="M1580" s="22" t="s">
        <v>24</v>
      </c>
      <c r="N1580" s="22" t="s">
        <v>25</v>
      </c>
      <c r="O1580" s="23">
        <v>3.5E7</v>
      </c>
      <c r="P1580" s="10">
        <f t="shared" si="2"/>
        <v>0</v>
      </c>
      <c r="Q1580" s="12">
        <f t="shared" si="3"/>
        <v>30503417</v>
      </c>
      <c r="R1580" s="22">
        <v>1993.0</v>
      </c>
      <c r="S1580" s="22">
        <v>8.0</v>
      </c>
    </row>
    <row r="1581" ht="15.75" customHeight="1">
      <c r="A1581" s="17" t="s">
        <v>1995</v>
      </c>
      <c r="B1581" s="8" t="str">
        <f>IFERROR(__xludf.DUMMYFUNCTION("REGEXREPLACE(A1581, ""[^0-9a-zA-Z .'Ã]"","""")"),"David Zucker")</f>
        <v>David Zucker</v>
      </c>
      <c r="C1581" s="18">
        <v>43.0</v>
      </c>
      <c r="D1581" s="19">
        <v>8.6930411E7</v>
      </c>
      <c r="E1581" s="18" t="s">
        <v>440</v>
      </c>
      <c r="F1581" s="9">
        <f t="shared" si="1"/>
        <v>2</v>
      </c>
      <c r="G1581" s="18" t="s">
        <v>2006</v>
      </c>
      <c r="H1581" s="11" t="str">
        <f>IFERROR(__xludf.DUMMYFUNCTION("REGEXREPLACE(G1581, ""[^0-9a-zA-Z .'Ã]"","""")"),"George Kennedy")</f>
        <v>George Kennedy</v>
      </c>
      <c r="I1581" s="20" t="s">
        <v>5480</v>
      </c>
      <c r="J1581" s="18">
        <v>83269.0</v>
      </c>
      <c r="K1581" s="18" t="s">
        <v>5481</v>
      </c>
      <c r="L1581" s="18">
        <v>87.0</v>
      </c>
      <c r="M1581" s="18" t="s">
        <v>24</v>
      </c>
      <c r="N1581" s="18" t="s">
        <v>25</v>
      </c>
      <c r="O1581" s="19">
        <v>2.3E7</v>
      </c>
      <c r="P1581" s="10">
        <f t="shared" si="2"/>
        <v>63930411</v>
      </c>
      <c r="Q1581" s="12">
        <f t="shared" si="3"/>
        <v>0</v>
      </c>
      <c r="R1581" s="18">
        <v>1991.0</v>
      </c>
      <c r="S1581" s="18">
        <v>6.8</v>
      </c>
    </row>
    <row r="1582" ht="15.75" customHeight="1">
      <c r="A1582" s="25" t="s">
        <v>141</v>
      </c>
      <c r="B1582" s="8" t="str">
        <f>IFERROR(__xludf.DUMMYFUNCTION("REGEXREPLACE(A1582, ""[^0-9a-zA-Z .'Ã]"","""")"),"Simon Wincer")</f>
        <v>Simon Wincer</v>
      </c>
      <c r="C1582" s="26">
        <v>30.0</v>
      </c>
      <c r="D1582" s="27">
        <v>7434726.0</v>
      </c>
      <c r="E1582" s="26" t="s">
        <v>5482</v>
      </c>
      <c r="F1582" s="9">
        <f t="shared" si="1"/>
        <v>5</v>
      </c>
      <c r="G1582" s="26" t="s">
        <v>1181</v>
      </c>
      <c r="H1582" s="11" t="str">
        <f>IFERROR(__xludf.DUMMYFUNCTION("REGEXREPLACE(G1582, ""[^0-9a-zA-Z .'Ã]"","""")"),"Vanessa Williams")</f>
        <v>Vanessa Williams</v>
      </c>
      <c r="I1582" s="28" t="s">
        <v>5483</v>
      </c>
      <c r="J1582" s="26">
        <v>14473.0</v>
      </c>
      <c r="K1582" s="26" t="s">
        <v>5484</v>
      </c>
      <c r="L1582" s="26">
        <v>81.0</v>
      </c>
      <c r="M1582" s="26" t="s">
        <v>24</v>
      </c>
      <c r="N1582" s="26" t="s">
        <v>25</v>
      </c>
      <c r="O1582" s="27">
        <v>2.3E7</v>
      </c>
      <c r="P1582" s="10">
        <f t="shared" si="2"/>
        <v>0</v>
      </c>
      <c r="Q1582" s="12">
        <f t="shared" si="3"/>
        <v>15565274</v>
      </c>
      <c r="R1582" s="26">
        <v>1991.0</v>
      </c>
      <c r="S1582" s="26">
        <v>6.0</v>
      </c>
    </row>
    <row r="1583" ht="15.75" customHeight="1">
      <c r="A1583" s="17" t="s">
        <v>5485</v>
      </c>
      <c r="B1583" s="8" t="str">
        <f>IFERROR(__xludf.DUMMYFUNCTION("REGEXREPLACE(A1583, ""[^0-9a-zA-Z .'Ã]"","""")"),"Craig Zobel")</f>
        <v>Craig Zobel</v>
      </c>
      <c r="C1583" s="18">
        <v>286.0</v>
      </c>
      <c r="D1583" s="19">
        <v>318622.0</v>
      </c>
      <c r="E1583" s="18" t="s">
        <v>5486</v>
      </c>
      <c r="F1583" s="9">
        <f t="shared" si="1"/>
        <v>4</v>
      </c>
      <c r="G1583" s="18" t="s">
        <v>5487</v>
      </c>
      <c r="H1583" s="11" t="str">
        <f>IFERROR(__xludf.DUMMYFUNCTION("REGEXREPLACE(G1583, ""[^0-9a-zA-Z .'Ã]"","""")"),"Dreama Walker")</f>
        <v>Dreama Walker</v>
      </c>
      <c r="I1583" s="20" t="s">
        <v>5488</v>
      </c>
      <c r="J1583" s="18">
        <v>24668.0</v>
      </c>
      <c r="K1583" s="18" t="s">
        <v>5489</v>
      </c>
      <c r="L1583" s="18">
        <v>175.0</v>
      </c>
      <c r="M1583" s="18" t="s">
        <v>24</v>
      </c>
      <c r="N1583" s="18" t="s">
        <v>25</v>
      </c>
      <c r="O1583" s="19">
        <v>270000.0</v>
      </c>
      <c r="P1583" s="10">
        <f t="shared" si="2"/>
        <v>48622</v>
      </c>
      <c r="Q1583" s="12">
        <f t="shared" si="3"/>
        <v>0</v>
      </c>
      <c r="R1583" s="18">
        <v>2012.0</v>
      </c>
      <c r="S1583" s="18">
        <v>6.4</v>
      </c>
    </row>
    <row r="1584" ht="15.75" customHeight="1">
      <c r="A1584" s="17" t="s">
        <v>723</v>
      </c>
      <c r="B1584" s="8" t="str">
        <f>IFERROR(__xludf.DUMMYFUNCTION("REGEXREPLACE(A1584, ""[^0-9a-zA-Z .'Ã]"","""")"),"Robert Rodriguez")</f>
        <v>Robert Rodriguez</v>
      </c>
      <c r="C1584" s="18">
        <v>56.0</v>
      </c>
      <c r="D1584" s="19">
        <v>2040920.0</v>
      </c>
      <c r="E1584" s="18" t="s">
        <v>164</v>
      </c>
      <c r="F1584" s="9">
        <f t="shared" si="1"/>
        <v>5</v>
      </c>
      <c r="G1584" s="18" t="s">
        <v>5490</v>
      </c>
      <c r="H1584" s="11" t="str">
        <f>IFERROR(__xludf.DUMMYFUNCTION("REGEXREPLACE(G1584, ""[^0-9a-zA-Z .'Ã]"","""")"),"Carlos Gallardo")</f>
        <v>Carlos Gallardo</v>
      </c>
      <c r="I1584" s="20" t="s">
        <v>5491</v>
      </c>
      <c r="J1584" s="18">
        <v>52055.0</v>
      </c>
      <c r="K1584" s="18" t="s">
        <v>5492</v>
      </c>
      <c r="L1584" s="18">
        <v>130.0</v>
      </c>
      <c r="M1584" s="18" t="s">
        <v>1553</v>
      </c>
      <c r="N1584" s="18" t="s">
        <v>25</v>
      </c>
      <c r="O1584" s="19">
        <v>7000.0</v>
      </c>
      <c r="P1584" s="10">
        <f t="shared" si="2"/>
        <v>2033920</v>
      </c>
      <c r="Q1584" s="12">
        <f t="shared" si="3"/>
        <v>0</v>
      </c>
      <c r="R1584" s="18">
        <v>1992.0</v>
      </c>
      <c r="S1584" s="18">
        <v>6.9</v>
      </c>
    </row>
    <row r="1585" ht="15.75" customHeight="1">
      <c r="A1585" s="25" t="s">
        <v>1701</v>
      </c>
      <c r="B1585" s="8" t="str">
        <f>IFERROR(__xludf.DUMMYFUNCTION("REGEXREPLACE(A1585, ""[^0-9a-zA-Z .'Ã]"","""")"),"Gavin Hood")</f>
        <v>Gavin Hood</v>
      </c>
      <c r="C1585" s="26">
        <v>326.0</v>
      </c>
      <c r="D1585" s="27">
        <v>6.1656849E7</v>
      </c>
      <c r="E1585" s="26" t="s">
        <v>848</v>
      </c>
      <c r="F1585" s="9">
        <f t="shared" si="1"/>
        <v>2</v>
      </c>
      <c r="G1585" s="26" t="s">
        <v>637</v>
      </c>
      <c r="H1585" s="11" t="str">
        <f>IFERROR(__xludf.DUMMYFUNCTION("REGEXREPLACE(G1585, ""[^0-9a-zA-Z .'Ã]"","""")"),"Harrison Ford")</f>
        <v>Harrison Ford</v>
      </c>
      <c r="I1585" s="28" t="s">
        <v>5493</v>
      </c>
      <c r="J1585" s="26">
        <v>184561.0</v>
      </c>
      <c r="K1585" s="26" t="s">
        <v>5494</v>
      </c>
      <c r="L1585" s="26">
        <v>554.0</v>
      </c>
      <c r="M1585" s="26" t="s">
        <v>24</v>
      </c>
      <c r="N1585" s="26" t="s">
        <v>25</v>
      </c>
      <c r="O1585" s="27">
        <v>1.1E8</v>
      </c>
      <c r="P1585" s="10">
        <f t="shared" si="2"/>
        <v>0</v>
      </c>
      <c r="Q1585" s="12">
        <f t="shared" si="3"/>
        <v>48343151</v>
      </c>
      <c r="R1585" s="26">
        <v>2013.0</v>
      </c>
      <c r="S1585" s="26">
        <v>6.7</v>
      </c>
    </row>
    <row r="1586" ht="15.75" customHeight="1">
      <c r="A1586" s="21" t="s">
        <v>2599</v>
      </c>
      <c r="B1586" s="8" t="str">
        <f>IFERROR(__xludf.DUMMYFUNCTION("REGEXREPLACE(A1586, ""[^0-9a-zA-Z .'Ã]"","""")"),"Richard Linklater")</f>
        <v>Richard Linklater</v>
      </c>
      <c r="C1586" s="22">
        <v>548.0</v>
      </c>
      <c r="D1586" s="23">
        <v>2.53592E7</v>
      </c>
      <c r="E1586" s="22" t="s">
        <v>103</v>
      </c>
      <c r="F1586" s="9">
        <f t="shared" si="1"/>
        <v>1</v>
      </c>
      <c r="G1586" s="22" t="s">
        <v>5495</v>
      </c>
      <c r="H1586" s="11" t="str">
        <f>IFERROR(__xludf.DUMMYFUNCTION("REGEXREPLACE(G1586, ""[^0-9a-zA-Z .'Ã]"","""")"),"Ellar Coltrane")</f>
        <v>Ellar Coltrane</v>
      </c>
      <c r="I1586" s="24" t="s">
        <v>5496</v>
      </c>
      <c r="J1586" s="22">
        <v>266020.0</v>
      </c>
      <c r="K1586" s="22" t="s">
        <v>5497</v>
      </c>
      <c r="L1586" s="22">
        <v>836.0</v>
      </c>
      <c r="M1586" s="22" t="s">
        <v>24</v>
      </c>
      <c r="N1586" s="22" t="s">
        <v>25</v>
      </c>
      <c r="O1586" s="23">
        <v>4000000.0</v>
      </c>
      <c r="P1586" s="10">
        <f t="shared" si="2"/>
        <v>21359200</v>
      </c>
      <c r="Q1586" s="12">
        <f t="shared" si="3"/>
        <v>0</v>
      </c>
      <c r="R1586" s="22">
        <v>2014.0</v>
      </c>
      <c r="S1586" s="22">
        <v>8.0</v>
      </c>
    </row>
    <row r="1587" ht="15.75" customHeight="1">
      <c r="A1587" s="17" t="s">
        <v>932</v>
      </c>
      <c r="B1587" s="8" t="str">
        <f>IFERROR(__xludf.DUMMYFUNCTION("REGEXREPLACE(A1587, ""[^0-9a-zA-Z .'Ã]"","""")"),"Sofia Coppola")</f>
        <v>Sofia Coppola</v>
      </c>
      <c r="C1587" s="18">
        <v>260.0</v>
      </c>
      <c r="D1587" s="19">
        <v>1.5962471E7</v>
      </c>
      <c r="E1587" s="18" t="s">
        <v>69</v>
      </c>
      <c r="F1587" s="9">
        <f t="shared" si="1"/>
        <v>4</v>
      </c>
      <c r="G1587" s="18" t="s">
        <v>951</v>
      </c>
      <c r="H1587" s="11" t="str">
        <f>IFERROR(__xludf.DUMMYFUNCTION("REGEXREPLACE(G1587, ""[^0-9a-zA-Z .'Ã]"","""")"),"Kirsten Dunst")</f>
        <v>Kirsten Dunst</v>
      </c>
      <c r="I1587" s="20" t="s">
        <v>5498</v>
      </c>
      <c r="J1587" s="18">
        <v>79892.0</v>
      </c>
      <c r="K1587" s="18" t="s">
        <v>5499</v>
      </c>
      <c r="L1587" s="18">
        <v>619.0</v>
      </c>
      <c r="M1587" s="18" t="s">
        <v>24</v>
      </c>
      <c r="N1587" s="18" t="s">
        <v>25</v>
      </c>
      <c r="O1587" s="19">
        <v>4.0E7</v>
      </c>
      <c r="P1587" s="10">
        <f t="shared" si="2"/>
        <v>0</v>
      </c>
      <c r="Q1587" s="12">
        <f t="shared" si="3"/>
        <v>24037529</v>
      </c>
      <c r="R1587" s="18">
        <v>2006.0</v>
      </c>
      <c r="S1587" s="18">
        <v>6.4</v>
      </c>
    </row>
    <row r="1588" ht="15.75" customHeight="1">
      <c r="A1588" s="21" t="s">
        <v>756</v>
      </c>
      <c r="B1588" s="8" t="str">
        <f>IFERROR(__xludf.DUMMYFUNCTION("REGEXREPLACE(A1588, ""[^0-9a-zA-Z .'Ã]"","""")"),"Adam Shankman")</f>
        <v>Adam Shankman</v>
      </c>
      <c r="C1588" s="22">
        <v>108.0</v>
      </c>
      <c r="D1588" s="23">
        <v>6.0400856E7</v>
      </c>
      <c r="E1588" s="22" t="s">
        <v>89</v>
      </c>
      <c r="F1588" s="9">
        <f t="shared" si="1"/>
        <v>2</v>
      </c>
      <c r="G1588" s="22" t="s">
        <v>80</v>
      </c>
      <c r="H1588" s="11" t="str">
        <f>IFERROR(__xludf.DUMMYFUNCTION("REGEXREPLACE(G1588, ""[^0-9a-zA-Z .'Ã]"","""")"),"Matthew McConaughey")</f>
        <v>Matthew McConaughey</v>
      </c>
      <c r="I1588" s="24" t="s">
        <v>5500</v>
      </c>
      <c r="J1588" s="22">
        <v>61317.0</v>
      </c>
      <c r="K1588" s="22" t="s">
        <v>5501</v>
      </c>
      <c r="L1588" s="22">
        <v>229.0</v>
      </c>
      <c r="M1588" s="22" t="s">
        <v>24</v>
      </c>
      <c r="N1588" s="22" t="s">
        <v>173</v>
      </c>
      <c r="O1588" s="23">
        <v>3.5E7</v>
      </c>
      <c r="P1588" s="10">
        <f t="shared" si="2"/>
        <v>25400856</v>
      </c>
      <c r="Q1588" s="12">
        <f t="shared" si="3"/>
        <v>0</v>
      </c>
      <c r="R1588" s="22">
        <v>2001.0</v>
      </c>
      <c r="S1588" s="22">
        <v>5.2</v>
      </c>
    </row>
    <row r="1589" ht="15.75" customHeight="1">
      <c r="A1589" s="7" t="s">
        <v>5502</v>
      </c>
      <c r="B1589" s="8" t="str">
        <f>IFERROR(__xludf.DUMMYFUNCTION("REGEXREPLACE(A1589, ""[^0-9a-zA-Z .'Ã]"","""")"),"Shane Acker")</f>
        <v>Shane Acker</v>
      </c>
      <c r="C1589" s="9">
        <v>263.0</v>
      </c>
      <c r="D1589" s="10">
        <v>3.1743332E7</v>
      </c>
      <c r="E1589" s="9" t="s">
        <v>5503</v>
      </c>
      <c r="F1589" s="9">
        <f t="shared" si="1"/>
        <v>7</v>
      </c>
      <c r="G1589" s="9" t="s">
        <v>3626</v>
      </c>
      <c r="H1589" s="11" t="str">
        <f>IFERROR(__xludf.DUMMYFUNCTION("REGEXREPLACE(G1589, ""[^0-9a-zA-Z .'Ã]"","""")"),"Martin Landau")</f>
        <v>Martin Landau</v>
      </c>
      <c r="I1589" s="11" t="s">
        <v>5504</v>
      </c>
      <c r="J1589" s="9">
        <v>111117.0</v>
      </c>
      <c r="K1589" s="9" t="s">
        <v>5505</v>
      </c>
      <c r="L1589" s="9">
        <v>245.0</v>
      </c>
      <c r="M1589" s="9" t="s">
        <v>24</v>
      </c>
      <c r="N1589" s="9" t="s">
        <v>25</v>
      </c>
      <c r="O1589" s="10">
        <v>3.0E7</v>
      </c>
      <c r="P1589" s="10">
        <f t="shared" si="2"/>
        <v>1743332</v>
      </c>
      <c r="Q1589" s="12">
        <f t="shared" si="3"/>
        <v>0</v>
      </c>
      <c r="R1589" s="9">
        <v>2009.0</v>
      </c>
      <c r="S1589" s="9">
        <v>7.1</v>
      </c>
    </row>
    <row r="1590" ht="15.75" customHeight="1">
      <c r="A1590" s="21" t="s">
        <v>5506</v>
      </c>
      <c r="B1590" s="8" t="str">
        <f>IFERROR(__xludf.DUMMYFUNCTION("REGEXREPLACE(A1590, ""[^0-9a-zA-Z .'Ã]"","""")"),"Matthew Robbins")</f>
        <v>Matthew Robbins</v>
      </c>
      <c r="C1590" s="22">
        <v>60.0</v>
      </c>
      <c r="D1590" s="23">
        <v>6000000.0</v>
      </c>
      <c r="E1590" s="22" t="s">
        <v>278</v>
      </c>
      <c r="F1590" s="9">
        <f t="shared" si="1"/>
        <v>3</v>
      </c>
      <c r="G1590" s="22" t="s">
        <v>5507</v>
      </c>
      <c r="H1590" s="11" t="str">
        <f>IFERROR(__xludf.DUMMYFUNCTION("REGEXREPLACE(G1590, ""[^0-9a-zA-Z .'Ã]"","""")"),"Ian McDiarmid")</f>
        <v>Ian McDiarmid</v>
      </c>
      <c r="I1590" s="24" t="s">
        <v>5508</v>
      </c>
      <c r="J1590" s="22">
        <v>10832.0</v>
      </c>
      <c r="K1590" s="22" t="s">
        <v>5509</v>
      </c>
      <c r="L1590" s="22">
        <v>102.0</v>
      </c>
      <c r="M1590" s="22" t="s">
        <v>24</v>
      </c>
      <c r="N1590" s="22" t="s">
        <v>25</v>
      </c>
      <c r="O1590" s="23">
        <v>1.8E7</v>
      </c>
      <c r="P1590" s="10">
        <f t="shared" si="2"/>
        <v>0</v>
      </c>
      <c r="Q1590" s="12">
        <f t="shared" si="3"/>
        <v>12000000</v>
      </c>
      <c r="R1590" s="22">
        <v>1981.0</v>
      </c>
      <c r="S1590" s="22">
        <v>6.7</v>
      </c>
    </row>
    <row r="1591" ht="15.75" customHeight="1">
      <c r="A1591" s="21" t="s">
        <v>2160</v>
      </c>
      <c r="B1591" s="8" t="str">
        <f>IFERROR(__xludf.DUMMYFUNCTION("REGEXREPLACE(A1591, ""[^0-9a-zA-Z .'Ã]"","""")"),"David Bowers")</f>
        <v>David Bowers</v>
      </c>
      <c r="C1591" s="22">
        <v>135.0</v>
      </c>
      <c r="D1591" s="23">
        <v>6.4459316E7</v>
      </c>
      <c r="E1591" s="22" t="s">
        <v>1813</v>
      </c>
      <c r="F1591" s="9">
        <f t="shared" si="1"/>
        <v>4</v>
      </c>
      <c r="G1591" s="22" t="s">
        <v>974</v>
      </c>
      <c r="H1591" s="11" t="str">
        <f>IFERROR(__xludf.DUMMYFUNCTION("REGEXREPLACE(G1591, ""[^0-9a-zA-Z .'Ã]"","""")"),"Hugh Jackman")</f>
        <v>Hugh Jackman</v>
      </c>
      <c r="I1591" s="24" t="s">
        <v>5510</v>
      </c>
      <c r="J1591" s="22">
        <v>85086.0</v>
      </c>
      <c r="K1591" s="22" t="s">
        <v>5511</v>
      </c>
      <c r="L1591" s="22">
        <v>122.0</v>
      </c>
      <c r="M1591" s="22" t="s">
        <v>24</v>
      </c>
      <c r="N1591" s="22" t="s">
        <v>130</v>
      </c>
      <c r="O1591" s="23">
        <v>1.49E8</v>
      </c>
      <c r="P1591" s="10">
        <f t="shared" si="2"/>
        <v>0</v>
      </c>
      <c r="Q1591" s="12">
        <f t="shared" si="3"/>
        <v>84540684</v>
      </c>
      <c r="R1591" s="22">
        <v>2006.0</v>
      </c>
      <c r="S1591" s="22">
        <v>6.7</v>
      </c>
    </row>
    <row r="1592" ht="15.75" customHeight="1">
      <c r="A1592" s="7" t="s">
        <v>4971</v>
      </c>
      <c r="B1592" s="8" t="str">
        <f>IFERROR(__xludf.DUMMYFUNCTION("REGEXREPLACE(A1592, ""[^0-9a-zA-Z .'Ã]"","""")"),"Penny Marshall")</f>
        <v>Penny Marshall</v>
      </c>
      <c r="C1592" s="9">
        <v>89.0</v>
      </c>
      <c r="D1592" s="10">
        <v>2.9781453E7</v>
      </c>
      <c r="E1592" s="9" t="s">
        <v>1920</v>
      </c>
      <c r="F1592" s="9">
        <f t="shared" si="1"/>
        <v>3</v>
      </c>
      <c r="G1592" s="9" t="s">
        <v>5512</v>
      </c>
      <c r="H1592" s="11" t="str">
        <f>IFERROR(__xludf.DUMMYFUNCTION("REGEXREPLACE(G1592, ""[^0-9a-zA-Z .'Ã]"","""")"),"Rosie Perez")</f>
        <v>Rosie Perez</v>
      </c>
      <c r="I1592" s="11" t="s">
        <v>5513</v>
      </c>
      <c r="J1592" s="9">
        <v>22447.0</v>
      </c>
      <c r="K1592" s="9" t="s">
        <v>5514</v>
      </c>
      <c r="L1592" s="9">
        <v>210.0</v>
      </c>
      <c r="M1592" s="9" t="s">
        <v>24</v>
      </c>
      <c r="N1592" s="9" t="s">
        <v>25</v>
      </c>
      <c r="O1592" s="10">
        <v>4.8E7</v>
      </c>
      <c r="P1592" s="10">
        <f t="shared" si="2"/>
        <v>0</v>
      </c>
      <c r="Q1592" s="12">
        <f t="shared" si="3"/>
        <v>18218547</v>
      </c>
      <c r="R1592" s="9">
        <v>2001.0</v>
      </c>
      <c r="S1592" s="9">
        <v>6.4</v>
      </c>
    </row>
    <row r="1593" ht="15.75" customHeight="1">
      <c r="A1593" s="17" t="s">
        <v>473</v>
      </c>
      <c r="B1593" s="8" t="str">
        <f>IFERROR(__xludf.DUMMYFUNCTION("REGEXREPLACE(A1593, ""[^0-9a-zA-Z .'Ã]"","""")"),"John McTiernan")</f>
        <v>John McTiernan</v>
      </c>
      <c r="C1593" s="18">
        <v>233.0</v>
      </c>
      <c r="D1593" s="19">
        <v>8.1350242E7</v>
      </c>
      <c r="E1593" s="18" t="s">
        <v>1096</v>
      </c>
      <c r="F1593" s="9">
        <f t="shared" si="1"/>
        <v>2</v>
      </c>
      <c r="G1593" s="18" t="s">
        <v>647</v>
      </c>
      <c r="H1593" s="11" t="str">
        <f>IFERROR(__xludf.DUMMYFUNCTION("REGEXREPLACE(G1593, ""[^0-9a-zA-Z .'Ã]"","""")"),"Alan Rickman")</f>
        <v>Alan Rickman</v>
      </c>
      <c r="I1593" s="20" t="s">
        <v>5515</v>
      </c>
      <c r="J1593" s="18">
        <v>592582.0</v>
      </c>
      <c r="K1593" s="18" t="s">
        <v>5516</v>
      </c>
      <c r="L1593" s="18">
        <v>722.0</v>
      </c>
      <c r="M1593" s="18" t="s">
        <v>24</v>
      </c>
      <c r="N1593" s="18" t="s">
        <v>25</v>
      </c>
      <c r="O1593" s="19">
        <v>2.8E7</v>
      </c>
      <c r="P1593" s="10">
        <f t="shared" si="2"/>
        <v>53350242</v>
      </c>
      <c r="Q1593" s="12">
        <f t="shared" si="3"/>
        <v>0</v>
      </c>
      <c r="R1593" s="18">
        <v>1988.0</v>
      </c>
      <c r="S1593" s="18">
        <v>8.2</v>
      </c>
    </row>
    <row r="1594" ht="15.75" customHeight="1">
      <c r="A1594" s="29" t="s">
        <v>5517</v>
      </c>
      <c r="B1594" s="8" t="str">
        <f>IFERROR(__xludf.DUMMYFUNCTION("REGEXREPLACE(A1594, ""[^0-9a-zA-Z .'Ã]"","""")"),"Deon Taylor")</f>
        <v>Deon Taylor</v>
      </c>
      <c r="C1594" s="30">
        <v>63.0</v>
      </c>
      <c r="D1594" s="31">
        <v>143000.0</v>
      </c>
      <c r="E1594" s="30" t="s">
        <v>306</v>
      </c>
      <c r="F1594" s="9">
        <f t="shared" si="1"/>
        <v>2</v>
      </c>
      <c r="G1594" s="30" t="s">
        <v>5518</v>
      </c>
      <c r="H1594" s="11" t="str">
        <f>IFERROR(__xludf.DUMMYFUNCTION("REGEXREPLACE(G1594, ""[^0-9a-zA-Z .'Ã]"","""")"),"Matt Cohen")</f>
        <v>Matt Cohen</v>
      </c>
      <c r="I1594" s="32" t="s">
        <v>5519</v>
      </c>
      <c r="J1594" s="30">
        <v>4122.0</v>
      </c>
      <c r="K1594" s="30" t="s">
        <v>5520</v>
      </c>
      <c r="L1594" s="30">
        <v>48.0</v>
      </c>
      <c r="M1594" s="30" t="s">
        <v>24</v>
      </c>
      <c r="N1594" s="30" t="s">
        <v>25</v>
      </c>
      <c r="O1594" s="31">
        <v>5000000.0</v>
      </c>
      <c r="P1594" s="10">
        <f t="shared" si="2"/>
        <v>0</v>
      </c>
      <c r="Q1594" s="12">
        <f t="shared" si="3"/>
        <v>4857000</v>
      </c>
      <c r="R1594" s="30">
        <v>2009.0</v>
      </c>
      <c r="S1594" s="30">
        <v>4.1</v>
      </c>
    </row>
    <row r="1595" ht="15.75" customHeight="1">
      <c r="A1595" s="7" t="s">
        <v>5521</v>
      </c>
      <c r="B1595" s="8" t="str">
        <f>IFERROR(__xludf.DUMMYFUNCTION("REGEXREPLACE(A1595, ""[^0-9a-zA-Z .'Ã]"","""")"),"Eric Schaeffer")</f>
        <v>Eric Schaeffer</v>
      </c>
      <c r="C1595" s="9">
        <v>25.0</v>
      </c>
      <c r="D1595" s="10">
        <v>295468.0</v>
      </c>
      <c r="E1595" s="9" t="s">
        <v>89</v>
      </c>
      <c r="F1595" s="9">
        <f t="shared" si="1"/>
        <v>2</v>
      </c>
      <c r="G1595" s="9" t="s">
        <v>349</v>
      </c>
      <c r="H1595" s="11" t="str">
        <f>IFERROR(__xludf.DUMMYFUNCTION("REGEXREPLACE(G1595, ""[^0-9a-zA-Z .'Ã]"","""")"),"Peter Dinklage")</f>
        <v>Peter Dinklage</v>
      </c>
      <c r="I1595" s="11" t="s">
        <v>5522</v>
      </c>
      <c r="J1595" s="9">
        <v>709.0</v>
      </c>
      <c r="K1595" s="9" t="s">
        <v>5523</v>
      </c>
      <c r="L1595" s="9">
        <v>34.0</v>
      </c>
      <c r="M1595" s="9" t="s">
        <v>24</v>
      </c>
      <c r="N1595" s="9" t="s">
        <v>25</v>
      </c>
      <c r="O1595" s="10">
        <v>500000.0</v>
      </c>
      <c r="P1595" s="10">
        <f t="shared" si="2"/>
        <v>0</v>
      </c>
      <c r="Q1595" s="12">
        <f t="shared" si="3"/>
        <v>204532</v>
      </c>
      <c r="R1595" s="9">
        <v>2001.0</v>
      </c>
      <c r="S1595" s="9">
        <v>6.0</v>
      </c>
    </row>
    <row r="1596" ht="15.75" customHeight="1">
      <c r="A1596" s="21" t="s">
        <v>645</v>
      </c>
      <c r="B1596" s="8" t="str">
        <f>IFERROR(__xludf.DUMMYFUNCTION("REGEXREPLACE(A1596, ""[^0-9a-zA-Z .'Ã]"","""")"),"Dean Parisot")</f>
        <v>Dean Parisot</v>
      </c>
      <c r="C1596" s="22">
        <v>234.0</v>
      </c>
      <c r="D1596" s="23">
        <v>5.3215979E7</v>
      </c>
      <c r="E1596" s="22" t="s">
        <v>790</v>
      </c>
      <c r="F1596" s="9">
        <f t="shared" si="1"/>
        <v>4</v>
      </c>
      <c r="G1596" s="22" t="s">
        <v>55</v>
      </c>
      <c r="H1596" s="11" t="str">
        <f>IFERROR(__xludf.DUMMYFUNCTION("REGEXREPLACE(G1596, ""[^0-9a-zA-Z .'Ã]"","""")"),"Bruce Willis")</f>
        <v>Bruce Willis</v>
      </c>
      <c r="I1596" s="24" t="s">
        <v>5524</v>
      </c>
      <c r="J1596" s="22">
        <v>125036.0</v>
      </c>
      <c r="K1596" s="22" t="s">
        <v>5525</v>
      </c>
      <c r="L1596" s="22">
        <v>205.0</v>
      </c>
      <c r="M1596" s="22" t="s">
        <v>24</v>
      </c>
      <c r="N1596" s="22" t="s">
        <v>25</v>
      </c>
      <c r="O1596" s="23">
        <v>8.4E7</v>
      </c>
      <c r="P1596" s="10">
        <f t="shared" si="2"/>
        <v>0</v>
      </c>
      <c r="Q1596" s="12">
        <f t="shared" si="3"/>
        <v>30784021</v>
      </c>
      <c r="R1596" s="22">
        <v>2013.0</v>
      </c>
      <c r="S1596" s="22">
        <v>6.7</v>
      </c>
    </row>
    <row r="1597" ht="15.75" customHeight="1">
      <c r="A1597" s="21" t="s">
        <v>2674</v>
      </c>
      <c r="B1597" s="8" t="str">
        <f>IFERROR(__xludf.DUMMYFUNCTION("REGEXREPLACE(A1597, ""[^0-9a-zA-Z .'Ã]"","""")"),"Michael Mann")</f>
        <v>Michael Mann</v>
      </c>
      <c r="C1597" s="22">
        <v>89.0</v>
      </c>
      <c r="D1597" s="23">
        <v>7.2455275E7</v>
      </c>
      <c r="E1597" s="22" t="s">
        <v>5526</v>
      </c>
      <c r="F1597" s="9">
        <f t="shared" si="1"/>
        <v>5</v>
      </c>
      <c r="G1597" s="22" t="s">
        <v>5527</v>
      </c>
      <c r="H1597" s="11" t="str">
        <f>IFERROR(__xludf.DUMMYFUNCTION("REGEXREPLACE(G1597, ""[^0-9a-zA-Z .'Ã]"","""")"),"Wes Studi")</f>
        <v>Wes Studi</v>
      </c>
      <c r="I1597" s="24" t="s">
        <v>5528</v>
      </c>
      <c r="J1597" s="22">
        <v>113068.0</v>
      </c>
      <c r="K1597" s="22" t="s">
        <v>5529</v>
      </c>
      <c r="L1597" s="22">
        <v>382.0</v>
      </c>
      <c r="M1597" s="22" t="s">
        <v>24</v>
      </c>
      <c r="N1597" s="22" t="s">
        <v>25</v>
      </c>
      <c r="O1597" s="23">
        <v>4.0E7</v>
      </c>
      <c r="P1597" s="10">
        <f t="shared" si="2"/>
        <v>32455275</v>
      </c>
      <c r="Q1597" s="12">
        <f t="shared" si="3"/>
        <v>0</v>
      </c>
      <c r="R1597" s="22">
        <v>1992.0</v>
      </c>
      <c r="S1597" s="22">
        <v>7.8</v>
      </c>
    </row>
    <row r="1598" ht="15.75" customHeight="1">
      <c r="A1598" s="7" t="s">
        <v>5530</v>
      </c>
      <c r="B1598" s="8" t="str">
        <f>IFERROR(__xludf.DUMMYFUNCTION("REGEXREPLACE(A1598, ""[^0-9a-zA-Z .'Ã]"","""")"),"Joseph Dorman")</f>
        <v>Joseph Dorman</v>
      </c>
      <c r="C1598" s="9">
        <v>29.0</v>
      </c>
      <c r="D1598" s="10">
        <v>906666.0</v>
      </c>
      <c r="E1598" s="9" t="s">
        <v>251</v>
      </c>
      <c r="F1598" s="9">
        <f t="shared" si="1"/>
        <v>1</v>
      </c>
      <c r="G1598" s="9" t="s">
        <v>5531</v>
      </c>
      <c r="H1598" s="11" t="str">
        <f>IFERROR(__xludf.DUMMYFUNCTION("REGEXREPLACE(G1598, ""[^0-9a-zA-Z .'Ã]"","""")"),"Rachel Dratch")</f>
        <v>Rachel Dratch</v>
      </c>
      <c r="I1598" s="11" t="s">
        <v>5532</v>
      </c>
      <c r="J1598" s="9">
        <v>154.0</v>
      </c>
      <c r="K1598" s="9" t="s">
        <v>5533</v>
      </c>
      <c r="L1598" s="9">
        <v>5.0</v>
      </c>
      <c r="M1598" s="9" t="s">
        <v>24</v>
      </c>
      <c r="N1598" s="9" t="s">
        <v>25</v>
      </c>
      <c r="O1598" s="10">
        <v>500000.0</v>
      </c>
      <c r="P1598" s="10">
        <f t="shared" si="2"/>
        <v>406666</v>
      </c>
      <c r="Q1598" s="12">
        <f t="shared" si="3"/>
        <v>0</v>
      </c>
      <c r="R1598" s="9">
        <v>2011.0</v>
      </c>
      <c r="S1598" s="9">
        <v>6.8</v>
      </c>
    </row>
    <row r="1599" ht="15.75" customHeight="1">
      <c r="A1599" s="21" t="s">
        <v>5534</v>
      </c>
      <c r="B1599" s="8" t="str">
        <f>IFERROR(__xludf.DUMMYFUNCTION("REGEXREPLACE(A1599, ""[^0-9a-zA-Z .'Ã]"","""")"),"Thomas Carter")</f>
        <v>Thomas Carter</v>
      </c>
      <c r="C1599" s="22">
        <v>127.0</v>
      </c>
      <c r="D1599" s="23">
        <v>6.7253092E7</v>
      </c>
      <c r="E1599" s="22" t="s">
        <v>132</v>
      </c>
      <c r="F1599" s="9">
        <f t="shared" si="1"/>
        <v>2</v>
      </c>
      <c r="G1599" s="22" t="s">
        <v>176</v>
      </c>
      <c r="H1599" s="11" t="str">
        <f>IFERROR(__xludf.DUMMYFUNCTION("REGEXREPLACE(G1599, ""[^0-9a-zA-Z .'Ã]"","""")"),"Channing Tatum")</f>
        <v>Channing Tatum</v>
      </c>
      <c r="I1599" s="24" t="s">
        <v>5535</v>
      </c>
      <c r="J1599" s="22">
        <v>92702.0</v>
      </c>
      <c r="K1599" s="22" t="s">
        <v>5536</v>
      </c>
      <c r="L1599" s="22">
        <v>209.0</v>
      </c>
      <c r="M1599" s="22" t="s">
        <v>24</v>
      </c>
      <c r="N1599" s="22" t="s">
        <v>25</v>
      </c>
      <c r="O1599" s="23">
        <v>3.0E7</v>
      </c>
      <c r="P1599" s="10">
        <f t="shared" si="2"/>
        <v>37253092</v>
      </c>
      <c r="Q1599" s="12">
        <f t="shared" si="3"/>
        <v>0</v>
      </c>
      <c r="R1599" s="22">
        <v>2005.0</v>
      </c>
      <c r="S1599" s="22">
        <v>7.2</v>
      </c>
    </row>
    <row r="1600" ht="15.75" customHeight="1">
      <c r="A1600" s="29" t="s">
        <v>5537</v>
      </c>
      <c r="B1600" s="8" t="str">
        <f>IFERROR(__xludf.DUMMYFUNCTION("REGEXREPLACE(A1600, ""[^0-9a-zA-Z .'Ã]"","""")"),"Harald Zwart")</f>
        <v>Harald Zwart</v>
      </c>
      <c r="C1600" s="30">
        <v>79.0</v>
      </c>
      <c r="D1600" s="31">
        <v>4.7285499E7</v>
      </c>
      <c r="E1600" s="30" t="s">
        <v>5538</v>
      </c>
      <c r="F1600" s="9">
        <f t="shared" si="1"/>
        <v>7</v>
      </c>
      <c r="G1600" s="30" t="s">
        <v>791</v>
      </c>
      <c r="H1600" s="11" t="str">
        <f>IFERROR(__xludf.DUMMYFUNCTION("REGEXREPLACE(G1600, ""[^0-9a-zA-Z .'Ã]"","""")"),"Daniel Roebuck")</f>
        <v>Daniel Roebuck</v>
      </c>
      <c r="I1600" s="32" t="s">
        <v>5539</v>
      </c>
      <c r="J1600" s="30">
        <v>26755.0</v>
      </c>
      <c r="K1600" s="30" t="s">
        <v>5540</v>
      </c>
      <c r="L1600" s="30">
        <v>104.0</v>
      </c>
      <c r="M1600" s="30" t="s">
        <v>24</v>
      </c>
      <c r="N1600" s="30" t="s">
        <v>25</v>
      </c>
      <c r="O1600" s="31">
        <v>2.6E7</v>
      </c>
      <c r="P1600" s="10">
        <f t="shared" si="2"/>
        <v>21285499</v>
      </c>
      <c r="Q1600" s="12">
        <f t="shared" si="3"/>
        <v>0</v>
      </c>
      <c r="R1600" s="30">
        <v>2003.0</v>
      </c>
      <c r="S1600" s="30">
        <v>5.0</v>
      </c>
    </row>
    <row r="1601" ht="15.75" customHeight="1">
      <c r="A1601" s="7" t="s">
        <v>5541</v>
      </c>
      <c r="B1601" s="8" t="str">
        <f>IFERROR(__xludf.DUMMYFUNCTION("REGEXREPLACE(A1601, ""[^0-9a-zA-Z .'Ã]"","""")"),"Diane English")</f>
        <v>Diane English</v>
      </c>
      <c r="C1601" s="9">
        <v>124.0</v>
      </c>
      <c r="D1601" s="10">
        <v>2.6896744E7</v>
      </c>
      <c r="E1601" s="9" t="s">
        <v>454</v>
      </c>
      <c r="F1601" s="9">
        <f t="shared" si="1"/>
        <v>2</v>
      </c>
      <c r="G1601" s="9" t="s">
        <v>266</v>
      </c>
      <c r="H1601" s="11" t="str">
        <f>IFERROR(__xludf.DUMMYFUNCTION("REGEXREPLACE(G1601, ""[^0-9a-zA-Z .'Ã]"","""")"),"Jada Pinkett Smith")</f>
        <v>Jada Pinkett Smith</v>
      </c>
      <c r="I1601" s="11" t="s">
        <v>5542</v>
      </c>
      <c r="J1601" s="9">
        <v>16582.0</v>
      </c>
      <c r="K1601" s="9" t="s">
        <v>5543</v>
      </c>
      <c r="L1601" s="9">
        <v>125.0</v>
      </c>
      <c r="M1601" s="9" t="s">
        <v>24</v>
      </c>
      <c r="N1601" s="9" t="s">
        <v>25</v>
      </c>
      <c r="O1601" s="10">
        <v>1.65E7</v>
      </c>
      <c r="P1601" s="10">
        <f t="shared" si="2"/>
        <v>10396744</v>
      </c>
      <c r="Q1601" s="12">
        <f t="shared" si="3"/>
        <v>0</v>
      </c>
      <c r="R1601" s="9">
        <v>2008.0</v>
      </c>
      <c r="S1601" s="9">
        <v>4.9</v>
      </c>
    </row>
    <row r="1602" ht="15.75" customHeight="1">
      <c r="A1602" s="29" t="s">
        <v>3522</v>
      </c>
      <c r="B1602" s="8" t="str">
        <f>IFERROR(__xludf.DUMMYFUNCTION("REGEXREPLACE(A1602, ""[^0-9a-zA-Z .'Ã]"","""")"),"Peter Hyams")</f>
        <v>Peter Hyams</v>
      </c>
      <c r="C1602" s="30">
        <v>62.0</v>
      </c>
      <c r="D1602" s="31">
        <v>4.445E7</v>
      </c>
      <c r="E1602" s="30" t="s">
        <v>771</v>
      </c>
      <c r="F1602" s="9">
        <f t="shared" si="1"/>
        <v>4</v>
      </c>
      <c r="G1602" s="30" t="s">
        <v>5544</v>
      </c>
      <c r="H1602" s="11" t="str">
        <f>IFERROR(__xludf.DUMMYFUNCTION("REGEXREPLACE(G1602, ""[^0-9a-zA-Z .'Ã]"","""")"),"Mia Sara")</f>
        <v>Mia Sara</v>
      </c>
      <c r="I1602" s="32" t="s">
        <v>5545</v>
      </c>
      <c r="J1602" s="30">
        <v>44394.0</v>
      </c>
      <c r="K1602" s="30" t="s">
        <v>5546</v>
      </c>
      <c r="L1602" s="30">
        <v>115.0</v>
      </c>
      <c r="M1602" s="30" t="s">
        <v>24</v>
      </c>
      <c r="N1602" s="30" t="s">
        <v>624</v>
      </c>
      <c r="O1602" s="31">
        <v>2.7E7</v>
      </c>
      <c r="P1602" s="10">
        <f t="shared" si="2"/>
        <v>17450000</v>
      </c>
      <c r="Q1602" s="12">
        <f t="shared" si="3"/>
        <v>0</v>
      </c>
      <c r="R1602" s="30">
        <v>1994.0</v>
      </c>
      <c r="S1602" s="30">
        <v>5.8</v>
      </c>
    </row>
    <row r="1603" ht="15.75" customHeight="1">
      <c r="A1603" s="17" t="s">
        <v>1655</v>
      </c>
      <c r="B1603" s="8" t="str">
        <f>IFERROR(__xludf.DUMMYFUNCTION("REGEXREPLACE(A1603, ""[^0-9a-zA-Z .'Ã]"","""")"),"Francis Ford Coppola")</f>
        <v>Francis Ford Coppola</v>
      </c>
      <c r="C1603" s="18">
        <v>208.0</v>
      </c>
      <c r="D1603" s="19">
        <v>1.34821952E8</v>
      </c>
      <c r="E1603" s="18" t="s">
        <v>54</v>
      </c>
      <c r="F1603" s="9">
        <f t="shared" si="1"/>
        <v>2</v>
      </c>
      <c r="G1603" s="18" t="s">
        <v>317</v>
      </c>
      <c r="H1603" s="11" t="str">
        <f>IFERROR(__xludf.DUMMYFUNCTION("REGEXREPLACE(G1603, ""[^0-9a-zA-Z .'Ã]"","""")"),"Al Pacino")</f>
        <v>Al Pacino</v>
      </c>
      <c r="I1603" s="20" t="s">
        <v>5547</v>
      </c>
      <c r="J1603" s="18">
        <v>1155770.0</v>
      </c>
      <c r="K1603" s="18" t="s">
        <v>5548</v>
      </c>
      <c r="L1603" s="18">
        <v>2238.0</v>
      </c>
      <c r="M1603" s="18" t="s">
        <v>24</v>
      </c>
      <c r="N1603" s="18" t="s">
        <v>25</v>
      </c>
      <c r="O1603" s="19">
        <v>6000000.0</v>
      </c>
      <c r="P1603" s="10">
        <f t="shared" si="2"/>
        <v>128821952</v>
      </c>
      <c r="Q1603" s="12">
        <f t="shared" si="3"/>
        <v>0</v>
      </c>
      <c r="R1603" s="18">
        <v>1972.0</v>
      </c>
      <c r="S1603" s="18">
        <v>9.2</v>
      </c>
    </row>
    <row r="1604" ht="15.75" customHeight="1">
      <c r="A1604" s="29" t="s">
        <v>1371</v>
      </c>
      <c r="B1604" s="8" t="str">
        <f>IFERROR(__xludf.DUMMYFUNCTION("REGEXREPLACE(A1604, ""[^0-9a-zA-Z .'Ã]"","""")"),"J.J. Abrams")</f>
        <v>J.J. Abrams</v>
      </c>
      <c r="C1604" s="30">
        <v>539.0</v>
      </c>
      <c r="D1604" s="31">
        <v>1.26975169E8</v>
      </c>
      <c r="E1604" s="30" t="s">
        <v>5549</v>
      </c>
      <c r="F1604" s="9">
        <f t="shared" si="1"/>
        <v>3</v>
      </c>
      <c r="G1604" s="30" t="s">
        <v>5550</v>
      </c>
      <c r="H1604" s="11" t="str">
        <f>IFERROR(__xludf.DUMMYFUNCTION("REGEXREPLACE(G1604, ""[^0-9a-zA-Z .'Ã]"","""")"),"Joel Courtney")</f>
        <v>Joel Courtney</v>
      </c>
      <c r="I1604" s="32" t="s">
        <v>5551</v>
      </c>
      <c r="J1604" s="30">
        <v>287822.0</v>
      </c>
      <c r="K1604" s="30" t="s">
        <v>5552</v>
      </c>
      <c r="L1604" s="30">
        <v>849.0</v>
      </c>
      <c r="M1604" s="30" t="s">
        <v>24</v>
      </c>
      <c r="N1604" s="30" t="s">
        <v>25</v>
      </c>
      <c r="O1604" s="31">
        <v>5.0E7</v>
      </c>
      <c r="P1604" s="10">
        <f t="shared" si="2"/>
        <v>76975169</v>
      </c>
      <c r="Q1604" s="12">
        <f t="shared" si="3"/>
        <v>0</v>
      </c>
      <c r="R1604" s="30">
        <v>2011.0</v>
      </c>
      <c r="S1604" s="30">
        <v>7.1</v>
      </c>
    </row>
    <row r="1605" ht="15.75" customHeight="1">
      <c r="A1605" s="25" t="s">
        <v>112</v>
      </c>
      <c r="B1605" s="8" t="str">
        <f>IFERROR(__xludf.DUMMYFUNCTION("REGEXREPLACE(A1605, ""[^0-9a-zA-Z .'Ã]"","""")"),"Nick Cassavetes")</f>
        <v>Nick Cassavetes</v>
      </c>
      <c r="C1605" s="26">
        <v>177.0</v>
      </c>
      <c r="D1605" s="27">
        <v>64286.0</v>
      </c>
      <c r="E1605" s="26" t="s">
        <v>232</v>
      </c>
      <c r="F1605" s="9">
        <f t="shared" si="1"/>
        <v>2</v>
      </c>
      <c r="G1605" s="26" t="s">
        <v>224</v>
      </c>
      <c r="H1605" s="11" t="str">
        <f>IFERROR(__xludf.DUMMYFUNCTION("REGEXREPLACE(G1605, ""[^0-9a-zA-Z .'Ã]"","""")"),"Ryan Gosling")</f>
        <v>Ryan Gosling</v>
      </c>
      <c r="I1605" s="28" t="s">
        <v>5553</v>
      </c>
      <c r="J1605" s="26">
        <v>396396.0</v>
      </c>
      <c r="K1605" s="26" t="s">
        <v>5554</v>
      </c>
      <c r="L1605" s="26">
        <v>1111.0</v>
      </c>
      <c r="M1605" s="26" t="s">
        <v>24</v>
      </c>
      <c r="N1605" s="26" t="s">
        <v>25</v>
      </c>
      <c r="O1605" s="27">
        <v>2.9E7</v>
      </c>
      <c r="P1605" s="10">
        <f t="shared" si="2"/>
        <v>0</v>
      </c>
      <c r="Q1605" s="12">
        <f t="shared" si="3"/>
        <v>28935714</v>
      </c>
      <c r="R1605" s="26">
        <v>2004.0</v>
      </c>
      <c r="S1605" s="26">
        <v>7.9</v>
      </c>
    </row>
    <row r="1606" ht="15.75" customHeight="1">
      <c r="A1606" s="21" t="s">
        <v>2312</v>
      </c>
      <c r="B1606" s="8" t="str">
        <f>IFERROR(__xludf.DUMMYFUNCTION("REGEXREPLACE(A1606, ""[^0-9a-zA-Z .'Ã]"","""")"),"John Singleton")</f>
        <v>John Singleton</v>
      </c>
      <c r="C1606" s="22">
        <v>160.0</v>
      </c>
      <c r="D1606" s="23">
        <v>7.0327868E7</v>
      </c>
      <c r="E1606" s="22" t="s">
        <v>152</v>
      </c>
      <c r="F1606" s="9">
        <f t="shared" si="1"/>
        <v>3</v>
      </c>
      <c r="G1606" s="22" t="s">
        <v>1579</v>
      </c>
      <c r="H1606" s="11" t="str">
        <f>IFERROR(__xludf.DUMMYFUNCTION("REGEXREPLACE(G1606, ""[^0-9a-zA-Z .'Ã]"","""")"),"Christian Bale")</f>
        <v>Christian Bale</v>
      </c>
      <c r="I1606" s="24" t="s">
        <v>5555</v>
      </c>
      <c r="J1606" s="22">
        <v>58416.0</v>
      </c>
      <c r="K1606" s="22" t="s">
        <v>5556</v>
      </c>
      <c r="L1606" s="22">
        <v>301.0</v>
      </c>
      <c r="M1606" s="22" t="s">
        <v>24</v>
      </c>
      <c r="N1606" s="22" t="s">
        <v>173</v>
      </c>
      <c r="O1606" s="23">
        <v>4.6E7</v>
      </c>
      <c r="P1606" s="10">
        <f t="shared" si="2"/>
        <v>24327868</v>
      </c>
      <c r="Q1606" s="12">
        <f t="shared" si="3"/>
        <v>0</v>
      </c>
      <c r="R1606" s="22">
        <v>2000.0</v>
      </c>
      <c r="S1606" s="22">
        <v>5.9</v>
      </c>
    </row>
    <row r="1607" ht="15.75" customHeight="1">
      <c r="A1607" s="7" t="s">
        <v>5557</v>
      </c>
      <c r="B1607" s="8" t="str">
        <f>IFERROR(__xludf.DUMMYFUNCTION("REGEXREPLACE(A1607, ""[^0-9a-zA-Z .'Ã]"","""")"),"Richard Marquand")</f>
        <v>Richard Marquand</v>
      </c>
      <c r="C1607" s="9">
        <v>197.0</v>
      </c>
      <c r="D1607" s="10">
        <v>3.09125409E8</v>
      </c>
      <c r="E1607" s="9" t="s">
        <v>1283</v>
      </c>
      <c r="F1607" s="9">
        <f t="shared" si="1"/>
        <v>4</v>
      </c>
      <c r="G1607" s="9" t="s">
        <v>637</v>
      </c>
      <c r="H1607" s="11" t="str">
        <f>IFERROR(__xludf.DUMMYFUNCTION("REGEXREPLACE(G1607, ""[^0-9a-zA-Z .'Ã]"","""")"),"Harrison Ford")</f>
        <v>Harrison Ford</v>
      </c>
      <c r="I1607" s="11" t="s">
        <v>5558</v>
      </c>
      <c r="J1607" s="9">
        <v>681857.0</v>
      </c>
      <c r="K1607" s="9" t="s">
        <v>5559</v>
      </c>
      <c r="L1607" s="9">
        <v>647.0</v>
      </c>
      <c r="M1607" s="9" t="s">
        <v>24</v>
      </c>
      <c r="N1607" s="9" t="s">
        <v>25</v>
      </c>
      <c r="O1607" s="10">
        <v>3.25E7</v>
      </c>
      <c r="P1607" s="10">
        <f t="shared" si="2"/>
        <v>276625409</v>
      </c>
      <c r="Q1607" s="12">
        <f t="shared" si="3"/>
        <v>0</v>
      </c>
      <c r="R1607" s="9">
        <v>1983.0</v>
      </c>
      <c r="S1607" s="9">
        <v>8.4</v>
      </c>
    </row>
    <row r="1608" ht="15.75" customHeight="1">
      <c r="A1608" s="17" t="s">
        <v>5560</v>
      </c>
      <c r="B1608" s="8" t="str">
        <f>IFERROR(__xludf.DUMMYFUNCTION("REGEXREPLACE(A1608, ""[^0-9a-zA-Z .'Ã]"","""")"),"Kenneth Lonergan")</f>
        <v>Kenneth Lonergan</v>
      </c>
      <c r="C1608" s="18">
        <v>116.0</v>
      </c>
      <c r="D1608" s="19">
        <v>46495.0</v>
      </c>
      <c r="E1608" s="18" t="s">
        <v>103</v>
      </c>
      <c r="F1608" s="9">
        <f t="shared" si="1"/>
        <v>1</v>
      </c>
      <c r="G1608" s="18" t="s">
        <v>585</v>
      </c>
      <c r="H1608" s="11" t="str">
        <f>IFERROR(__xludf.DUMMYFUNCTION("REGEXREPLACE(G1608, ""[^0-9a-zA-Z .'Ã]"","""")"),"Matt Damon")</f>
        <v>Matt Damon</v>
      </c>
      <c r="I1608" s="20" t="s">
        <v>5561</v>
      </c>
      <c r="J1608" s="18">
        <v>12053.0</v>
      </c>
      <c r="K1608" s="18" t="s">
        <v>5562</v>
      </c>
      <c r="L1608" s="18">
        <v>119.0</v>
      </c>
      <c r="M1608" s="18" t="s">
        <v>24</v>
      </c>
      <c r="N1608" s="18" t="s">
        <v>25</v>
      </c>
      <c r="O1608" s="19">
        <v>1.4E7</v>
      </c>
      <c r="P1608" s="10">
        <f t="shared" si="2"/>
        <v>0</v>
      </c>
      <c r="Q1608" s="12">
        <f t="shared" si="3"/>
        <v>13953505</v>
      </c>
      <c r="R1608" s="18">
        <v>2011.0</v>
      </c>
      <c r="S1608" s="18">
        <v>6.5</v>
      </c>
    </row>
    <row r="1609" ht="15.75" customHeight="1">
      <c r="A1609" s="17" t="s">
        <v>5563</v>
      </c>
      <c r="B1609" s="8" t="str">
        <f>IFERROR(__xludf.DUMMYFUNCTION("REGEXREPLACE(A1609, ""[^0-9a-zA-Z .'Ã]"","""")"),"Nick Tomnay")</f>
        <v>Nick Tomnay</v>
      </c>
      <c r="C1609" s="18">
        <v>112.0</v>
      </c>
      <c r="D1609" s="19">
        <v>48430.0</v>
      </c>
      <c r="E1609" s="18" t="s">
        <v>589</v>
      </c>
      <c r="F1609" s="9">
        <f t="shared" si="1"/>
        <v>3</v>
      </c>
      <c r="G1609" s="18" t="s">
        <v>5564</v>
      </c>
      <c r="H1609" s="11" t="str">
        <f>IFERROR(__xludf.DUMMYFUNCTION("REGEXREPLACE(G1609, ""[^0-9a-zA-Z .'Ã]"","""")"),"David Hyde Pierce")</f>
        <v>David Hyde Pierce</v>
      </c>
      <c r="I1609" s="20" t="s">
        <v>5565</v>
      </c>
      <c r="J1609" s="18">
        <v>20176.0</v>
      </c>
      <c r="K1609" s="18" t="s">
        <v>5566</v>
      </c>
      <c r="L1609" s="18">
        <v>73.0</v>
      </c>
      <c r="M1609" s="18" t="s">
        <v>24</v>
      </c>
      <c r="N1609" s="18" t="s">
        <v>25</v>
      </c>
      <c r="O1609" s="19">
        <v>500000.0</v>
      </c>
      <c r="P1609" s="10">
        <f t="shared" si="2"/>
        <v>0</v>
      </c>
      <c r="Q1609" s="12">
        <f t="shared" si="3"/>
        <v>451570</v>
      </c>
      <c r="R1609" s="18">
        <v>2010.0</v>
      </c>
      <c r="S1609" s="18">
        <v>6.8</v>
      </c>
    </row>
    <row r="1610" ht="15.75" customHeight="1">
      <c r="A1610" s="25" t="s">
        <v>1630</v>
      </c>
      <c r="B1610" s="8" t="str">
        <f>IFERROR(__xludf.DUMMYFUNCTION("REGEXREPLACE(A1610, ""[^0-9a-zA-Z .'Ã]"","""")"),"Joss Whedon")</f>
        <v>Joss Whedon</v>
      </c>
      <c r="C1610" s="26">
        <v>276.0</v>
      </c>
      <c r="D1610" s="27">
        <v>2.5335935E7</v>
      </c>
      <c r="E1610" s="26" t="s">
        <v>794</v>
      </c>
      <c r="F1610" s="9">
        <f t="shared" si="1"/>
        <v>4</v>
      </c>
      <c r="G1610" s="26" t="s">
        <v>5322</v>
      </c>
      <c r="H1610" s="11" t="str">
        <f>IFERROR(__xludf.DUMMYFUNCTION("REGEXREPLACE(G1610, ""[^0-9a-zA-Z .'Ã]"","""")"),"Adam Baldwin")</f>
        <v>Adam Baldwin</v>
      </c>
      <c r="I1610" s="28" t="s">
        <v>5567</v>
      </c>
      <c r="J1610" s="26">
        <v>242599.0</v>
      </c>
      <c r="K1610" s="26" t="s">
        <v>5568</v>
      </c>
      <c r="L1610" s="26">
        <v>1594.0</v>
      </c>
      <c r="M1610" s="26" t="s">
        <v>24</v>
      </c>
      <c r="N1610" s="26" t="s">
        <v>25</v>
      </c>
      <c r="O1610" s="27">
        <v>4.0E7</v>
      </c>
      <c r="P1610" s="10">
        <f t="shared" si="2"/>
        <v>0</v>
      </c>
      <c r="Q1610" s="12">
        <f t="shared" si="3"/>
        <v>14664065</v>
      </c>
      <c r="R1610" s="26">
        <v>2005.0</v>
      </c>
      <c r="S1610" s="26">
        <v>8.0</v>
      </c>
    </row>
    <row r="1611" ht="15.75" customHeight="1">
      <c r="A1611" s="29" t="s">
        <v>5569</v>
      </c>
      <c r="B1611" s="8" t="str">
        <f>IFERROR(__xludf.DUMMYFUNCTION("REGEXREPLACE(A1611, ""[^0-9a-zA-Z .'Ã]"","""")"),"Ron Clements")</f>
        <v>Ron Clements</v>
      </c>
      <c r="C1611" s="30">
        <v>228.0</v>
      </c>
      <c r="D1611" s="31">
        <v>1.04374107E8</v>
      </c>
      <c r="E1611" s="30" t="s">
        <v>5570</v>
      </c>
      <c r="F1611" s="9">
        <f t="shared" si="1"/>
        <v>5</v>
      </c>
      <c r="G1611" s="30" t="s">
        <v>2805</v>
      </c>
      <c r="H1611" s="11" t="str">
        <f>IFERROR(__xludf.DUMMYFUNCTION("REGEXREPLACE(G1611, ""[^0-9a-zA-Z .'Ã]"","""")"),"Oprah Winfrey")</f>
        <v>Oprah Winfrey</v>
      </c>
      <c r="I1611" s="32" t="s">
        <v>5571</v>
      </c>
      <c r="J1611" s="30">
        <v>89351.0</v>
      </c>
      <c r="K1611" s="30" t="s">
        <v>5572</v>
      </c>
      <c r="L1611" s="30">
        <v>214.0</v>
      </c>
      <c r="M1611" s="30" t="s">
        <v>24</v>
      </c>
      <c r="N1611" s="30" t="s">
        <v>25</v>
      </c>
      <c r="O1611" s="31">
        <v>1.05E8</v>
      </c>
      <c r="P1611" s="10">
        <f t="shared" si="2"/>
        <v>0</v>
      </c>
      <c r="Q1611" s="12">
        <f t="shared" si="3"/>
        <v>625893</v>
      </c>
      <c r="R1611" s="30">
        <v>2009.0</v>
      </c>
      <c r="S1611" s="30">
        <v>7.1</v>
      </c>
    </row>
    <row r="1612" ht="15.75" customHeight="1">
      <c r="A1612" s="17" t="s">
        <v>5573</v>
      </c>
      <c r="B1612" s="8" t="str">
        <f>IFERROR(__xludf.DUMMYFUNCTION("REGEXREPLACE(A1612, ""[^0-9a-zA-Z .'Ã]"","""")"),"Yimou Zhang")</f>
        <v>Yimou Zhang</v>
      </c>
      <c r="C1612" s="18">
        <v>248.0</v>
      </c>
      <c r="D1612" s="19">
        <v>1.1041228E7</v>
      </c>
      <c r="E1612" s="18" t="s">
        <v>999</v>
      </c>
      <c r="F1612" s="9">
        <f t="shared" si="1"/>
        <v>4</v>
      </c>
      <c r="G1612" s="18" t="s">
        <v>5574</v>
      </c>
      <c r="H1612" s="11" t="str">
        <f>IFERROR(__xludf.DUMMYFUNCTION("REGEXREPLACE(G1612, ""[^0-9a-zA-Z .'Ã]"","""")"),"Takeshi Kaneshiro")</f>
        <v>Takeshi Kaneshiro</v>
      </c>
      <c r="I1612" s="20" t="s">
        <v>5575</v>
      </c>
      <c r="J1612" s="18">
        <v>92295.0</v>
      </c>
      <c r="K1612" s="18" t="s">
        <v>5576</v>
      </c>
      <c r="L1612" s="18">
        <v>420.0</v>
      </c>
      <c r="M1612" s="18" t="s">
        <v>3260</v>
      </c>
      <c r="N1612" s="18" t="s">
        <v>217</v>
      </c>
      <c r="O1612" s="19">
        <v>1.0E8</v>
      </c>
      <c r="P1612" s="10">
        <f t="shared" si="2"/>
        <v>0</v>
      </c>
      <c r="Q1612" s="12">
        <f t="shared" si="3"/>
        <v>88958772</v>
      </c>
      <c r="R1612" s="18">
        <v>2004.0</v>
      </c>
      <c r="S1612" s="18">
        <v>7.6</v>
      </c>
    </row>
    <row r="1613" ht="15.75" customHeight="1">
      <c r="A1613" s="25" t="s">
        <v>5577</v>
      </c>
      <c r="B1613" s="8" t="str">
        <f>IFERROR(__xludf.DUMMYFUNCTION("REGEXREPLACE(A1613, ""[^0-9a-zA-Z .'Ã]"","""")"),"Jeff Wadlow")</f>
        <v>Jeff Wadlow</v>
      </c>
      <c r="C1613" s="26">
        <v>350.0</v>
      </c>
      <c r="D1613" s="27">
        <v>2.8751715E7</v>
      </c>
      <c r="E1613" s="26" t="s">
        <v>265</v>
      </c>
      <c r="F1613" s="9">
        <f t="shared" si="1"/>
        <v>3</v>
      </c>
      <c r="G1613" s="26" t="s">
        <v>2259</v>
      </c>
      <c r="H1613" s="11" t="str">
        <f>IFERROR(__xludf.DUMMYFUNCTION("REGEXREPLACE(G1613, ""[^0-9a-zA-Z .'Ã]"","""")"),"ChloÃ Grace Moretz")</f>
        <v>ChloÃ Grace Moretz</v>
      </c>
      <c r="I1613" s="28" t="s">
        <v>5578</v>
      </c>
      <c r="J1613" s="26">
        <v>202967.0</v>
      </c>
      <c r="K1613" s="26" t="s">
        <v>5579</v>
      </c>
      <c r="L1613" s="26">
        <v>378.0</v>
      </c>
      <c r="M1613" s="26" t="s">
        <v>24</v>
      </c>
      <c r="N1613" s="26" t="s">
        <v>25</v>
      </c>
      <c r="O1613" s="27">
        <v>2.8E7</v>
      </c>
      <c r="P1613" s="10">
        <f t="shared" si="2"/>
        <v>751715</v>
      </c>
      <c r="Q1613" s="12">
        <f t="shared" si="3"/>
        <v>0</v>
      </c>
      <c r="R1613" s="26">
        <v>2013.0</v>
      </c>
      <c r="S1613" s="26">
        <v>6.6</v>
      </c>
    </row>
    <row r="1614" ht="15.75" customHeight="1">
      <c r="A1614" s="7" t="s">
        <v>5580</v>
      </c>
      <c r="B1614" s="8" t="str">
        <f>IFERROR(__xludf.DUMMYFUNCTION("REGEXREPLACE(A1614, ""[^0-9a-zA-Z .'Ã]"","""")"),"Ringo Lam")</f>
        <v>Ringo Lam</v>
      </c>
      <c r="C1614" s="9">
        <v>50.0</v>
      </c>
      <c r="D1614" s="10">
        <v>1.4095303E7</v>
      </c>
      <c r="E1614" s="9" t="s">
        <v>5259</v>
      </c>
      <c r="F1614" s="9">
        <f t="shared" si="1"/>
        <v>5</v>
      </c>
      <c r="G1614" s="9" t="s">
        <v>5581</v>
      </c>
      <c r="H1614" s="11" t="str">
        <f>IFERROR(__xludf.DUMMYFUNCTION("REGEXREPLACE(G1614, ""[^0-9a-zA-Z .'Ã]"","""")"),"Natasha Henstridge")</f>
        <v>Natasha Henstridge</v>
      </c>
      <c r="I1614" s="11" t="s">
        <v>5582</v>
      </c>
      <c r="J1614" s="9">
        <v>15814.0</v>
      </c>
      <c r="K1614" s="9" t="s">
        <v>5583</v>
      </c>
      <c r="L1614" s="9">
        <v>68.0</v>
      </c>
      <c r="M1614" s="9" t="s">
        <v>24</v>
      </c>
      <c r="N1614" s="9" t="s">
        <v>25</v>
      </c>
      <c r="O1614" s="10">
        <v>2.5E7</v>
      </c>
      <c r="P1614" s="10">
        <f t="shared" si="2"/>
        <v>0</v>
      </c>
      <c r="Q1614" s="12">
        <f t="shared" si="3"/>
        <v>10904697</v>
      </c>
      <c r="R1614" s="9">
        <v>1996.0</v>
      </c>
      <c r="S1614" s="9">
        <v>5.4</v>
      </c>
    </row>
    <row r="1615" ht="15.75" customHeight="1">
      <c r="A1615" s="7" t="s">
        <v>3927</v>
      </c>
      <c r="B1615" s="8" t="str">
        <f>IFERROR(__xludf.DUMMYFUNCTION("REGEXREPLACE(A1615, ""[^0-9a-zA-Z .'Ã]"","""")"),"Anthony Minghella")</f>
        <v>Anthony Minghella</v>
      </c>
      <c r="C1615" s="9">
        <v>198.0</v>
      </c>
      <c r="D1615" s="10">
        <v>9.5632614E7</v>
      </c>
      <c r="E1615" s="9" t="s">
        <v>5584</v>
      </c>
      <c r="F1615" s="9">
        <f t="shared" si="1"/>
        <v>5</v>
      </c>
      <c r="G1615" s="9" t="s">
        <v>1340</v>
      </c>
      <c r="H1615" s="11" t="str">
        <f>IFERROR(__xludf.DUMMYFUNCTION("REGEXREPLACE(G1615, ""[^0-9a-zA-Z .'Ã]"","""")"),"Philip Seymour Hoffman")</f>
        <v>Philip Seymour Hoffman</v>
      </c>
      <c r="I1615" s="11" t="s">
        <v>5585</v>
      </c>
      <c r="J1615" s="9">
        <v>118483.0</v>
      </c>
      <c r="K1615" s="9" t="s">
        <v>5586</v>
      </c>
      <c r="L1615" s="9">
        <v>674.0</v>
      </c>
      <c r="M1615" s="9" t="s">
        <v>24</v>
      </c>
      <c r="N1615" s="9" t="s">
        <v>25</v>
      </c>
      <c r="O1615" s="10">
        <v>7.9E7</v>
      </c>
      <c r="P1615" s="10">
        <f t="shared" si="2"/>
        <v>16632614</v>
      </c>
      <c r="Q1615" s="12">
        <f t="shared" si="3"/>
        <v>0</v>
      </c>
      <c r="R1615" s="9">
        <v>2003.0</v>
      </c>
      <c r="S1615" s="9">
        <v>7.2</v>
      </c>
    </row>
    <row r="1616" ht="15.75" customHeight="1">
      <c r="A1616" s="21" t="s">
        <v>4451</v>
      </c>
      <c r="B1616" s="8" t="str">
        <f>IFERROR(__xludf.DUMMYFUNCTION("REGEXREPLACE(A1616, ""[^0-9a-zA-Z .'Ã]"","""")"),"Nancy Meyers")</f>
        <v>Nancy Meyers</v>
      </c>
      <c r="C1616" s="22">
        <v>157.0</v>
      </c>
      <c r="D1616" s="23">
        <v>6.3224849E7</v>
      </c>
      <c r="E1616" s="22" t="s">
        <v>89</v>
      </c>
      <c r="F1616" s="9">
        <f t="shared" si="1"/>
        <v>2</v>
      </c>
      <c r="G1616" s="22" t="s">
        <v>777</v>
      </c>
      <c r="H1616" s="11" t="str">
        <f>IFERROR(__xludf.DUMMYFUNCTION("REGEXREPLACE(G1616, ""[^0-9a-zA-Z .'Ã]"","""")"),"Kate Winslet")</f>
        <v>Kate Winslet</v>
      </c>
      <c r="I1616" s="24" t="s">
        <v>5587</v>
      </c>
      <c r="J1616" s="22">
        <v>182757.0</v>
      </c>
      <c r="K1616" s="22" t="s">
        <v>5588</v>
      </c>
      <c r="L1616" s="22">
        <v>483.0</v>
      </c>
      <c r="M1616" s="22" t="s">
        <v>24</v>
      </c>
      <c r="N1616" s="22" t="s">
        <v>25</v>
      </c>
      <c r="O1616" s="23">
        <v>8.5E7</v>
      </c>
      <c r="P1616" s="10">
        <f t="shared" si="2"/>
        <v>0</v>
      </c>
      <c r="Q1616" s="12">
        <f t="shared" si="3"/>
        <v>21775151</v>
      </c>
      <c r="R1616" s="22">
        <v>2006.0</v>
      </c>
      <c r="S1616" s="22">
        <v>6.9</v>
      </c>
    </row>
    <row r="1617" ht="15.75" customHeight="1">
      <c r="A1617" s="7" t="s">
        <v>3440</v>
      </c>
      <c r="B1617" s="8" t="str">
        <f>IFERROR(__xludf.DUMMYFUNCTION("REGEXREPLACE(A1617, ""[^0-9a-zA-Z .'Ã]"","""")"),"Jacques Perrin")</f>
        <v>Jacques Perrin</v>
      </c>
      <c r="C1617" s="9">
        <v>100.0</v>
      </c>
      <c r="D1617" s="10">
        <v>1.0762178E7</v>
      </c>
      <c r="E1617" s="9" t="s">
        <v>251</v>
      </c>
      <c r="F1617" s="9">
        <f t="shared" si="1"/>
        <v>1</v>
      </c>
      <c r="G1617" s="9" t="s">
        <v>3440</v>
      </c>
      <c r="H1617" s="11" t="str">
        <f>IFERROR(__xludf.DUMMYFUNCTION("REGEXREPLACE(G1617, ""[^0-9a-zA-Z .'Ã]"","""")"),"Jacques Perrin")</f>
        <v>Jacques Perrin</v>
      </c>
      <c r="I1617" s="11" t="s">
        <v>5589</v>
      </c>
      <c r="J1617" s="9">
        <v>10369.0</v>
      </c>
      <c r="K1617" s="9" t="s">
        <v>5590</v>
      </c>
      <c r="L1617" s="9">
        <v>153.0</v>
      </c>
      <c r="M1617" s="9" t="s">
        <v>24</v>
      </c>
      <c r="N1617" s="9" t="s">
        <v>608</v>
      </c>
      <c r="O1617" s="10">
        <v>1.6E8</v>
      </c>
      <c r="P1617" s="10">
        <f t="shared" si="2"/>
        <v>0</v>
      </c>
      <c r="Q1617" s="12">
        <f t="shared" si="3"/>
        <v>149237822</v>
      </c>
      <c r="R1617" s="9">
        <v>2001.0</v>
      </c>
      <c r="S1617" s="9">
        <v>8.0</v>
      </c>
    </row>
    <row r="1618" ht="15.75" customHeight="1">
      <c r="A1618" s="7" t="s">
        <v>5591</v>
      </c>
      <c r="B1618" s="8" t="str">
        <f>IFERROR(__xludf.DUMMYFUNCTION("REGEXREPLACE(A1618, ""[^0-9a-zA-Z .'Ã]"","""")"),"Joe Cornish")</f>
        <v>Joe Cornish</v>
      </c>
      <c r="C1618" s="9">
        <v>399.0</v>
      </c>
      <c r="D1618" s="10">
        <v>1024175.0</v>
      </c>
      <c r="E1618" s="9" t="s">
        <v>1916</v>
      </c>
      <c r="F1618" s="9">
        <f t="shared" si="1"/>
        <v>4</v>
      </c>
      <c r="G1618" s="9" t="s">
        <v>5592</v>
      </c>
      <c r="H1618" s="11" t="str">
        <f>IFERROR(__xludf.DUMMYFUNCTION("REGEXREPLACE(G1618, ""[^0-9a-zA-Z .'Ã]"","""")"),"John Boyega")</f>
        <v>John Boyega</v>
      </c>
      <c r="I1618" s="11" t="s">
        <v>5593</v>
      </c>
      <c r="J1618" s="9">
        <v>82331.0</v>
      </c>
      <c r="K1618" s="9" t="s">
        <v>5594</v>
      </c>
      <c r="L1618" s="9">
        <v>297.0</v>
      </c>
      <c r="M1618" s="9" t="s">
        <v>24</v>
      </c>
      <c r="N1618" s="9" t="s">
        <v>130</v>
      </c>
      <c r="O1618" s="10">
        <v>1.3E7</v>
      </c>
      <c r="P1618" s="10">
        <f t="shared" si="2"/>
        <v>0</v>
      </c>
      <c r="Q1618" s="12">
        <f t="shared" si="3"/>
        <v>11975825</v>
      </c>
      <c r="R1618" s="9">
        <v>2011.0</v>
      </c>
      <c r="S1618" s="9">
        <v>6.6</v>
      </c>
    </row>
    <row r="1619" ht="15.75" customHeight="1">
      <c r="A1619" s="17" t="s">
        <v>4256</v>
      </c>
      <c r="B1619" s="8" t="str">
        <f>IFERROR(__xludf.DUMMYFUNCTION("REGEXREPLACE(A1619, ""[^0-9a-zA-Z .'Ã]"","""")"),"Michael Apted")</f>
        <v>Michael Apted</v>
      </c>
      <c r="C1619" s="18">
        <v>228.0</v>
      </c>
      <c r="D1619" s="19">
        <v>1.04383624E8</v>
      </c>
      <c r="E1619" s="18" t="s">
        <v>1252</v>
      </c>
      <c r="F1619" s="9">
        <f t="shared" si="1"/>
        <v>3</v>
      </c>
      <c r="G1619" s="18" t="s">
        <v>4047</v>
      </c>
      <c r="H1619" s="11" t="str">
        <f>IFERROR(__xludf.DUMMYFUNCTION("REGEXREPLACE(G1619, ""[^0-9a-zA-Z .'Ã]"","""")"),"Bruce Spence")</f>
        <v>Bruce Spence</v>
      </c>
      <c r="I1619" s="20" t="s">
        <v>5595</v>
      </c>
      <c r="J1619" s="18">
        <v>106446.0</v>
      </c>
      <c r="K1619" s="18" t="s">
        <v>5596</v>
      </c>
      <c r="L1619" s="18">
        <v>227.0</v>
      </c>
      <c r="M1619" s="18" t="s">
        <v>24</v>
      </c>
      <c r="N1619" s="18" t="s">
        <v>25</v>
      </c>
      <c r="O1619" s="19">
        <v>1.55E8</v>
      </c>
      <c r="P1619" s="10">
        <f t="shared" si="2"/>
        <v>0</v>
      </c>
      <c r="Q1619" s="12">
        <f t="shared" si="3"/>
        <v>50616376</v>
      </c>
      <c r="R1619" s="18">
        <v>2010.0</v>
      </c>
      <c r="S1619" s="18">
        <v>6.3</v>
      </c>
    </row>
    <row r="1620" ht="15.75" customHeight="1">
      <c r="A1620" s="25" t="s">
        <v>3404</v>
      </c>
      <c r="B1620" s="8" t="str">
        <f>IFERROR(__xludf.DUMMYFUNCTION("REGEXREPLACE(A1620, ""[^0-9a-zA-Z .'Ã]"","""")"),"Neil Jordan")</f>
        <v>Neil Jordan</v>
      </c>
      <c r="C1620" s="26">
        <v>105.0</v>
      </c>
      <c r="D1620" s="27">
        <v>3517797.0</v>
      </c>
      <c r="E1620" s="26" t="s">
        <v>164</v>
      </c>
      <c r="F1620" s="9">
        <f t="shared" si="1"/>
        <v>5</v>
      </c>
      <c r="G1620" s="26" t="s">
        <v>2002</v>
      </c>
      <c r="H1620" s="11" t="str">
        <f>IFERROR(__xludf.DUMMYFUNCTION("REGEXREPLACE(G1620, ""[^0-9a-zA-Z .'Ã]"","""")"),"Emir Kusturica")</f>
        <v>Emir Kusturica</v>
      </c>
      <c r="I1620" s="28" t="s">
        <v>5597</v>
      </c>
      <c r="J1620" s="26">
        <v>9004.0</v>
      </c>
      <c r="K1620" s="26" t="s">
        <v>5598</v>
      </c>
      <c r="L1620" s="26">
        <v>103.0</v>
      </c>
      <c r="M1620" s="26" t="s">
        <v>24</v>
      </c>
      <c r="N1620" s="26" t="s">
        <v>608</v>
      </c>
      <c r="O1620" s="27">
        <v>2.5E7</v>
      </c>
      <c r="P1620" s="10">
        <f t="shared" si="2"/>
        <v>0</v>
      </c>
      <c r="Q1620" s="12">
        <f t="shared" si="3"/>
        <v>21482203</v>
      </c>
      <c r="R1620" s="26">
        <v>2002.0</v>
      </c>
      <c r="S1620" s="26">
        <v>6.6</v>
      </c>
    </row>
    <row r="1621" ht="15.75" customHeight="1">
      <c r="A1621" s="7" t="s">
        <v>4001</v>
      </c>
      <c r="B1621" s="8" t="str">
        <f>IFERROR(__xludf.DUMMYFUNCTION("REGEXREPLACE(A1621, ""[^0-9a-zA-Z .'Ã]"","""")"),"Garry Marshall")</f>
        <v>Garry Marshall</v>
      </c>
      <c r="C1621" s="9">
        <v>103.0</v>
      </c>
      <c r="D1621" s="10">
        <v>1.5214959E8</v>
      </c>
      <c r="E1621" s="9" t="s">
        <v>89</v>
      </c>
      <c r="F1621" s="9">
        <f t="shared" si="1"/>
        <v>2</v>
      </c>
      <c r="G1621" s="9" t="s">
        <v>533</v>
      </c>
      <c r="H1621" s="11" t="str">
        <f>IFERROR(__xludf.DUMMYFUNCTION("REGEXREPLACE(G1621, ""[^0-9a-zA-Z .'Ã]"","""")"),"Julia Roberts")</f>
        <v>Julia Roberts</v>
      </c>
      <c r="I1621" s="11" t="s">
        <v>5599</v>
      </c>
      <c r="J1621" s="9">
        <v>74274.0</v>
      </c>
      <c r="K1621" s="9" t="s">
        <v>5600</v>
      </c>
      <c r="L1621" s="9">
        <v>255.0</v>
      </c>
      <c r="M1621" s="9" t="s">
        <v>24</v>
      </c>
      <c r="N1621" s="9" t="s">
        <v>25</v>
      </c>
      <c r="O1621" s="10">
        <v>7.0E7</v>
      </c>
      <c r="P1621" s="10">
        <f t="shared" si="2"/>
        <v>82149590</v>
      </c>
      <c r="Q1621" s="12">
        <f t="shared" si="3"/>
        <v>0</v>
      </c>
      <c r="R1621" s="9">
        <v>1999.0</v>
      </c>
      <c r="S1621" s="9">
        <v>5.5</v>
      </c>
    </row>
    <row r="1622" ht="15.75" customHeight="1">
      <c r="A1622" s="7" t="s">
        <v>3803</v>
      </c>
      <c r="B1622" s="8" t="str">
        <f>IFERROR(__xludf.DUMMYFUNCTION("REGEXREPLACE(A1622, ""[^0-9a-zA-Z .'Ã]"","""")"),"Danny Boyle")</f>
        <v>Danny Boyle</v>
      </c>
      <c r="C1622" s="9">
        <v>118.0</v>
      </c>
      <c r="D1622" s="10">
        <v>3.9778599E7</v>
      </c>
      <c r="E1622" s="9" t="s">
        <v>3081</v>
      </c>
      <c r="F1622" s="9">
        <f t="shared" si="1"/>
        <v>3</v>
      </c>
      <c r="G1622" s="9" t="s">
        <v>1351</v>
      </c>
      <c r="H1622" s="11" t="str">
        <f>IFERROR(__xludf.DUMMYFUNCTION("REGEXREPLACE(G1622, ""[^0-9a-zA-Z .'Ã]"","""")"),"Leonardo DiCaprio")</f>
        <v>Leonardo DiCaprio</v>
      </c>
      <c r="I1622" s="11" t="s">
        <v>5601</v>
      </c>
      <c r="J1622" s="9">
        <v>176169.0</v>
      </c>
      <c r="K1622" s="9" t="s">
        <v>5602</v>
      </c>
      <c r="L1622" s="9">
        <v>548.0</v>
      </c>
      <c r="M1622" s="9" t="s">
        <v>24</v>
      </c>
      <c r="N1622" s="9" t="s">
        <v>25</v>
      </c>
      <c r="O1622" s="10">
        <v>5.0E7</v>
      </c>
      <c r="P1622" s="10">
        <f t="shared" si="2"/>
        <v>0</v>
      </c>
      <c r="Q1622" s="12">
        <f t="shared" si="3"/>
        <v>10221401</v>
      </c>
      <c r="R1622" s="9">
        <v>2000.0</v>
      </c>
      <c r="S1622" s="9">
        <v>6.6</v>
      </c>
    </row>
    <row r="1623" ht="15.75" customHeight="1">
      <c r="A1623" s="7" t="s">
        <v>4484</v>
      </c>
      <c r="B1623" s="8" t="str">
        <f>IFERROR(__xludf.DUMMYFUNCTION("REGEXREPLACE(A1623, ""[^0-9a-zA-Z .'Ã]"","""")"),"Kevin Tancharoen")</f>
        <v>Kevin Tancharoen</v>
      </c>
      <c r="C1623" s="9">
        <v>67.0</v>
      </c>
      <c r="D1623" s="10">
        <v>1.1860839E7</v>
      </c>
      <c r="E1623" s="9" t="s">
        <v>715</v>
      </c>
      <c r="F1623" s="9">
        <f t="shared" si="1"/>
        <v>2</v>
      </c>
      <c r="G1623" s="9" t="s">
        <v>799</v>
      </c>
      <c r="H1623" s="11" t="str">
        <f>IFERROR(__xludf.DUMMYFUNCTION("REGEXREPLACE(G1623, ""[^0-9a-zA-Z .'Ã]"","""")"),"Lea Michele")</f>
        <v>Lea Michele</v>
      </c>
      <c r="I1623" s="11" t="s">
        <v>5603</v>
      </c>
      <c r="J1623" s="9">
        <v>5156.0</v>
      </c>
      <c r="K1623" s="9" t="s">
        <v>5604</v>
      </c>
      <c r="L1623" s="9">
        <v>21.0</v>
      </c>
      <c r="M1623" s="9" t="s">
        <v>24</v>
      </c>
      <c r="N1623" s="9" t="s">
        <v>25</v>
      </c>
      <c r="O1623" s="10">
        <v>9000000.0</v>
      </c>
      <c r="P1623" s="10">
        <f t="shared" si="2"/>
        <v>2860839</v>
      </c>
      <c r="Q1623" s="12">
        <f t="shared" si="3"/>
        <v>0</v>
      </c>
      <c r="R1623" s="9">
        <v>2011.0</v>
      </c>
      <c r="S1623" s="9">
        <v>5.4</v>
      </c>
    </row>
    <row r="1624" ht="15.75" customHeight="1">
      <c r="A1624" s="7" t="s">
        <v>4300</v>
      </c>
      <c r="B1624" s="8" t="str">
        <f>IFERROR(__xludf.DUMMYFUNCTION("REGEXREPLACE(A1624, ""[^0-9a-zA-Z .'Ã]"","""")"),"Robert Iscove")</f>
        <v>Robert Iscove</v>
      </c>
      <c r="C1624" s="9">
        <v>67.0</v>
      </c>
      <c r="D1624" s="10">
        <v>2.0627372E7</v>
      </c>
      <c r="E1624" s="9" t="s">
        <v>159</v>
      </c>
      <c r="F1624" s="9">
        <f t="shared" si="1"/>
        <v>3</v>
      </c>
      <c r="G1624" s="9" t="s">
        <v>3870</v>
      </c>
      <c r="H1624" s="11" t="str">
        <f>IFERROR(__xludf.DUMMYFUNCTION("REGEXREPLACE(G1624, ""[^0-9a-zA-Z .'Ã]"","""")"),"Alyson Hannigan")</f>
        <v>Alyson Hannigan</v>
      </c>
      <c r="I1624" s="11" t="s">
        <v>5605</v>
      </c>
      <c r="J1624" s="9">
        <v>13661.0</v>
      </c>
      <c r="K1624" s="9" t="s">
        <v>5606</v>
      </c>
      <c r="L1624" s="9">
        <v>134.0</v>
      </c>
      <c r="M1624" s="9" t="s">
        <v>24</v>
      </c>
      <c r="N1624" s="9" t="s">
        <v>25</v>
      </c>
      <c r="O1624" s="10">
        <v>1.6E7</v>
      </c>
      <c r="P1624" s="10">
        <f t="shared" si="2"/>
        <v>4627372</v>
      </c>
      <c r="Q1624" s="12">
        <f t="shared" si="3"/>
        <v>0</v>
      </c>
      <c r="R1624" s="9">
        <v>2000.0</v>
      </c>
      <c r="S1624" s="9">
        <v>5.3</v>
      </c>
    </row>
    <row r="1625" ht="15.75" customHeight="1">
      <c r="A1625" s="7" t="s">
        <v>5607</v>
      </c>
      <c r="B1625" s="8" t="str">
        <f>IFERROR(__xludf.DUMMYFUNCTION("REGEXREPLACE(A1625, ""[^0-9a-zA-Z .'Ã]"","""")"),"Paul Mazursky")</f>
        <v>Paul Mazursky</v>
      </c>
      <c r="C1625" s="9">
        <v>21.0</v>
      </c>
      <c r="D1625" s="10">
        <v>2104000.0</v>
      </c>
      <c r="E1625" s="9" t="s">
        <v>169</v>
      </c>
      <c r="F1625" s="9">
        <f t="shared" si="1"/>
        <v>3</v>
      </c>
      <c r="G1625" s="9" t="s">
        <v>1875</v>
      </c>
      <c r="H1625" s="11" t="str">
        <f>IFERROR(__xludf.DUMMYFUNCTION("REGEXREPLACE(G1625, ""[^0-9a-zA-Z .'Ã]"","""")"),"Chazz Palminteri")</f>
        <v>Chazz Palminteri</v>
      </c>
      <c r="I1625" s="11" t="s">
        <v>5608</v>
      </c>
      <c r="J1625" s="9">
        <v>1595.0</v>
      </c>
      <c r="K1625" s="9" t="s">
        <v>5609</v>
      </c>
      <c r="L1625" s="9">
        <v>19.0</v>
      </c>
      <c r="M1625" s="9" t="s">
        <v>24</v>
      </c>
      <c r="N1625" s="9" t="s">
        <v>25</v>
      </c>
      <c r="O1625" s="10">
        <v>1.3E7</v>
      </c>
      <c r="P1625" s="10">
        <f t="shared" si="2"/>
        <v>0</v>
      </c>
      <c r="Q1625" s="12">
        <f t="shared" si="3"/>
        <v>10896000</v>
      </c>
      <c r="R1625" s="9">
        <v>1996.0</v>
      </c>
      <c r="S1625" s="9">
        <v>5.9</v>
      </c>
    </row>
    <row r="1626" ht="15.75" customHeight="1">
      <c r="A1626" s="21" t="s">
        <v>3237</v>
      </c>
      <c r="B1626" s="8" t="str">
        <f>IFERROR(__xludf.DUMMYFUNCTION("REGEXREPLACE(A1626, ""[^0-9a-zA-Z .'Ã]"","""")"),"Terence Young")</f>
        <v>Terence Young</v>
      </c>
      <c r="C1626" s="22">
        <v>184.0</v>
      </c>
      <c r="D1626" s="23">
        <v>1.6067035E7</v>
      </c>
      <c r="E1626" s="22" t="s">
        <v>474</v>
      </c>
      <c r="F1626" s="9">
        <f t="shared" si="1"/>
        <v>3</v>
      </c>
      <c r="G1626" s="22" t="s">
        <v>5610</v>
      </c>
      <c r="H1626" s="11" t="str">
        <f>IFERROR(__xludf.DUMMYFUNCTION("REGEXREPLACE(G1626, ""[^0-9a-zA-Z .'Ã]"","""")"),"Ursula Andress")</f>
        <v>Ursula Andress</v>
      </c>
      <c r="I1626" s="24" t="s">
        <v>5611</v>
      </c>
      <c r="J1626" s="22">
        <v>116642.0</v>
      </c>
      <c r="K1626" s="22" t="s">
        <v>5612</v>
      </c>
      <c r="L1626" s="22">
        <v>389.0</v>
      </c>
      <c r="M1626" s="22" t="s">
        <v>24</v>
      </c>
      <c r="N1626" s="22" t="s">
        <v>130</v>
      </c>
      <c r="O1626" s="23">
        <v>1100000.0</v>
      </c>
      <c r="P1626" s="10">
        <f t="shared" si="2"/>
        <v>14967035</v>
      </c>
      <c r="Q1626" s="12">
        <f t="shared" si="3"/>
        <v>0</v>
      </c>
      <c r="R1626" s="22">
        <v>1962.0</v>
      </c>
      <c r="S1626" s="22">
        <v>7.3</v>
      </c>
    </row>
    <row r="1627" ht="15.75" customHeight="1">
      <c r="A1627" s="7" t="s">
        <v>5613</v>
      </c>
      <c r="B1627" s="8" t="str">
        <f>IFERROR(__xludf.DUMMYFUNCTION("REGEXREPLACE(A1627, ""[^0-9a-zA-Z -.'Ã]"","""")"),"Mikael HÃfstrÃm")</f>
        <v>Mikael HÃfstrÃm</v>
      </c>
      <c r="C1627" s="9">
        <v>267.0</v>
      </c>
      <c r="D1627" s="10">
        <v>3.3037754E7</v>
      </c>
      <c r="E1627" s="9" t="s">
        <v>2384</v>
      </c>
      <c r="F1627" s="9">
        <f t="shared" si="1"/>
        <v>4</v>
      </c>
      <c r="G1627" s="9" t="s">
        <v>237</v>
      </c>
      <c r="H1627" s="11" t="str">
        <f>IFERROR(__xludf.DUMMYFUNCTION("REGEXREPLACE(G1627, ""[^0-9a-zA-Z .'Ã]"","""")"),"Anthony Hopkins")</f>
        <v>Anthony Hopkins</v>
      </c>
      <c r="I1627" s="11" t="s">
        <v>5614</v>
      </c>
      <c r="J1627" s="9">
        <v>75864.0</v>
      </c>
      <c r="K1627" s="9" t="s">
        <v>5615</v>
      </c>
      <c r="L1627" s="9">
        <v>197.0</v>
      </c>
      <c r="M1627" s="9" t="s">
        <v>24</v>
      </c>
      <c r="N1627" s="9" t="s">
        <v>25</v>
      </c>
      <c r="O1627" s="10">
        <v>3.7E7</v>
      </c>
      <c r="P1627" s="10">
        <f t="shared" si="2"/>
        <v>0</v>
      </c>
      <c r="Q1627" s="12">
        <f t="shared" si="3"/>
        <v>3962246</v>
      </c>
      <c r="R1627" s="9">
        <v>2011.0</v>
      </c>
      <c r="S1627" s="9">
        <v>6.0</v>
      </c>
    </row>
    <row r="1628" ht="15.75" customHeight="1">
      <c r="A1628" s="7" t="s">
        <v>5616</v>
      </c>
      <c r="B1628" s="8" t="str">
        <f>IFERROR(__xludf.DUMMYFUNCTION("REGEXREPLACE(A1628, ""[^0-9a-zA-Z .'Ã]"","""")"),"Gary Rogers")</f>
        <v>Gary Rogers</v>
      </c>
      <c r="C1628" s="9">
        <v>7.0</v>
      </c>
      <c r="D1628" s="10">
        <v>1098224.0</v>
      </c>
      <c r="E1628" s="9" t="s">
        <v>5617</v>
      </c>
      <c r="F1628" s="9">
        <f t="shared" si="1"/>
        <v>1</v>
      </c>
      <c r="G1628" s="9" t="s">
        <v>5618</v>
      </c>
      <c r="H1628" s="11" t="str">
        <f>IFERROR(__xludf.DUMMYFUNCTION("REGEXREPLACE(G1628, ""[^0-9a-zA-Z .'Ã]"","""")"),"Noah Danby")</f>
        <v>Noah Danby</v>
      </c>
      <c r="I1628" s="11" t="s">
        <v>5619</v>
      </c>
      <c r="J1628" s="9">
        <v>397.0</v>
      </c>
      <c r="K1628" s="9" t="s">
        <v>5620</v>
      </c>
      <c r="L1628" s="9">
        <v>30.0</v>
      </c>
      <c r="M1628" s="9" t="s">
        <v>24</v>
      </c>
      <c r="N1628" s="9" t="s">
        <v>25</v>
      </c>
      <c r="O1628" s="10">
        <v>2000000.0</v>
      </c>
      <c r="P1628" s="10">
        <f t="shared" si="2"/>
        <v>0</v>
      </c>
      <c r="Q1628" s="12">
        <f t="shared" si="3"/>
        <v>901776</v>
      </c>
      <c r="R1628" s="9">
        <v>2003.0</v>
      </c>
      <c r="S1628" s="9">
        <v>3.3</v>
      </c>
    </row>
    <row r="1629" ht="15.75" customHeight="1">
      <c r="A1629" s="7" t="s">
        <v>5621</v>
      </c>
      <c r="B1629" s="8" t="str">
        <f>IFERROR(__xludf.DUMMYFUNCTION("REGEXREPLACE(A1629, ""[^0-9a-zA-Z .'Ã]"","""")"),"Adrienne Shelly")</f>
        <v>Adrienne Shelly</v>
      </c>
      <c r="C1629" s="9">
        <v>173.0</v>
      </c>
      <c r="D1629" s="10">
        <v>1.9067631E7</v>
      </c>
      <c r="E1629" s="9" t="s">
        <v>159</v>
      </c>
      <c r="F1629" s="9">
        <f t="shared" si="1"/>
        <v>3</v>
      </c>
      <c r="G1629" s="9" t="s">
        <v>5622</v>
      </c>
      <c r="H1629" s="11" t="str">
        <f>IFERROR(__xludf.DUMMYFUNCTION("REGEXREPLACE(G1629, ""[^0-9a-zA-Z .'Ã]"","""")"),"Lew Temple")</f>
        <v>Lew Temple</v>
      </c>
      <c r="I1629" s="11" t="s">
        <v>5623</v>
      </c>
      <c r="J1629" s="9">
        <v>37714.0</v>
      </c>
      <c r="K1629" s="9" t="s">
        <v>5624</v>
      </c>
      <c r="L1629" s="9">
        <v>204.0</v>
      </c>
      <c r="M1629" s="9" t="s">
        <v>24</v>
      </c>
      <c r="N1629" s="9" t="s">
        <v>25</v>
      </c>
      <c r="O1629" s="10">
        <v>2000000.0</v>
      </c>
      <c r="P1629" s="10">
        <f t="shared" si="2"/>
        <v>17067631</v>
      </c>
      <c r="Q1629" s="12">
        <f t="shared" si="3"/>
        <v>0</v>
      </c>
      <c r="R1629" s="9">
        <v>2007.0</v>
      </c>
      <c r="S1629" s="9">
        <v>7.1</v>
      </c>
    </row>
    <row r="1630" ht="15.75" customHeight="1">
      <c r="A1630" s="17" t="s">
        <v>5625</v>
      </c>
      <c r="B1630" s="8" t="str">
        <f>IFERROR(__xludf.DUMMYFUNCTION("REGEXREPLACE(A1630, ""[^0-9a-zA-Z .'Ã]"","""")"),"Andy Fickman")</f>
        <v>Andy Fickman</v>
      </c>
      <c r="C1630" s="18">
        <v>91.0</v>
      </c>
      <c r="D1630" s="19">
        <v>3.368763E7</v>
      </c>
      <c r="E1630" s="18" t="s">
        <v>89</v>
      </c>
      <c r="F1630" s="9">
        <f t="shared" si="1"/>
        <v>2</v>
      </c>
      <c r="G1630" s="18" t="s">
        <v>176</v>
      </c>
      <c r="H1630" s="11" t="str">
        <f>IFERROR(__xludf.DUMMYFUNCTION("REGEXREPLACE(G1630, ""[^0-9a-zA-Z .'Ã]"","""")"),"Channing Tatum")</f>
        <v>Channing Tatum</v>
      </c>
      <c r="I1630" s="20" t="s">
        <v>5626</v>
      </c>
      <c r="J1630" s="18">
        <v>116762.0</v>
      </c>
      <c r="K1630" s="18" t="s">
        <v>5627</v>
      </c>
      <c r="L1630" s="18">
        <v>261.0</v>
      </c>
      <c r="M1630" s="18" t="s">
        <v>24</v>
      </c>
      <c r="N1630" s="18" t="s">
        <v>25</v>
      </c>
      <c r="O1630" s="19">
        <v>2.0E7</v>
      </c>
      <c r="P1630" s="10">
        <f t="shared" si="2"/>
        <v>13687630</v>
      </c>
      <c r="Q1630" s="12">
        <f t="shared" si="3"/>
        <v>0</v>
      </c>
      <c r="R1630" s="18">
        <v>2006.0</v>
      </c>
      <c r="S1630" s="18">
        <v>6.4</v>
      </c>
    </row>
    <row r="1631" ht="15.75" customHeight="1">
      <c r="A1631" s="25" t="s">
        <v>5628</v>
      </c>
      <c r="B1631" s="8" t="str">
        <f>IFERROR(__xludf.DUMMYFUNCTION("REGEXREPLACE(A1631, ""[^0-9a-zA-Z .'Ã]"","""")"),"Steve Bendelack")</f>
        <v>Steve Bendelack</v>
      </c>
      <c r="C1631" s="26">
        <v>151.0</v>
      </c>
      <c r="D1631" s="27">
        <v>3.255321E7</v>
      </c>
      <c r="E1631" s="26" t="s">
        <v>857</v>
      </c>
      <c r="F1631" s="9">
        <f t="shared" si="1"/>
        <v>2</v>
      </c>
      <c r="G1631" s="26" t="s">
        <v>5629</v>
      </c>
      <c r="H1631" s="11" t="str">
        <f>IFERROR(__xludf.DUMMYFUNCTION("REGEXREPLACE(G1631, ""[^0-9a-zA-Z .'Ã]"","""")"),"Lily Atkinson")</f>
        <v>Lily Atkinson</v>
      </c>
      <c r="I1631" s="28" t="s">
        <v>5630</v>
      </c>
      <c r="J1631" s="26">
        <v>88714.0</v>
      </c>
      <c r="K1631" s="26" t="s">
        <v>5631</v>
      </c>
      <c r="L1631" s="26">
        <v>235.0</v>
      </c>
      <c r="M1631" s="26" t="s">
        <v>24</v>
      </c>
      <c r="N1631" s="26" t="s">
        <v>130</v>
      </c>
      <c r="O1631" s="27">
        <v>2.5E7</v>
      </c>
      <c r="P1631" s="10">
        <f t="shared" si="2"/>
        <v>7553210</v>
      </c>
      <c r="Q1631" s="12">
        <f t="shared" si="3"/>
        <v>0</v>
      </c>
      <c r="R1631" s="26">
        <v>2007.0</v>
      </c>
      <c r="S1631" s="26">
        <v>6.3</v>
      </c>
    </row>
    <row r="1632" ht="15.75" customHeight="1">
      <c r="A1632" s="17" t="s">
        <v>4877</v>
      </c>
      <c r="B1632" s="8" t="str">
        <f>IFERROR(__xludf.DUMMYFUNCTION("REGEXREPLACE(A1632, ""[^0-9a-zA-Z .'Ã]"","""")"),"Hayao Miyazaki")</f>
        <v>Hayao Miyazaki</v>
      </c>
      <c r="C1632" s="18">
        <v>212.0</v>
      </c>
      <c r="D1632" s="19">
        <v>4710455.0</v>
      </c>
      <c r="E1632" s="18" t="s">
        <v>865</v>
      </c>
      <c r="F1632" s="9">
        <f t="shared" si="1"/>
        <v>4</v>
      </c>
      <c r="G1632" s="18" t="s">
        <v>1579</v>
      </c>
      <c r="H1632" s="11" t="str">
        <f>IFERROR(__xludf.DUMMYFUNCTION("REGEXREPLACE(G1632, ""[^0-9a-zA-Z .'Ã]"","""")"),"Christian Bale")</f>
        <v>Christian Bale</v>
      </c>
      <c r="I1632" s="20" t="s">
        <v>5632</v>
      </c>
      <c r="J1632" s="18">
        <v>214091.0</v>
      </c>
      <c r="K1632" s="18" t="s">
        <v>5633</v>
      </c>
      <c r="L1632" s="18">
        <v>330.0</v>
      </c>
      <c r="M1632" s="18" t="s">
        <v>1534</v>
      </c>
      <c r="N1632" s="18" t="s">
        <v>1535</v>
      </c>
      <c r="O1632" s="19">
        <v>2.4E7</v>
      </c>
      <c r="P1632" s="10">
        <f t="shared" si="2"/>
        <v>0</v>
      </c>
      <c r="Q1632" s="12">
        <f t="shared" si="3"/>
        <v>19289545</v>
      </c>
      <c r="R1632" s="18">
        <v>2004.0</v>
      </c>
      <c r="S1632" s="18">
        <v>8.2</v>
      </c>
    </row>
    <row r="1633" ht="15.75" customHeight="1">
      <c r="A1633" s="7" t="s">
        <v>5634</v>
      </c>
      <c r="B1633" s="8" t="str">
        <f>IFERROR(__xludf.DUMMYFUNCTION("REGEXREPLACE(A1633, ""[^0-9a-zA-Z .'Ã]"","""")"),"Sidney J. Furie")</f>
        <v>Sidney J. Furie</v>
      </c>
      <c r="C1633" s="9">
        <v>94.0</v>
      </c>
      <c r="D1633" s="10">
        <v>1.568102E7</v>
      </c>
      <c r="E1633" s="9" t="s">
        <v>3448</v>
      </c>
      <c r="F1633" s="9">
        <f t="shared" si="1"/>
        <v>4</v>
      </c>
      <c r="G1633" s="9" t="s">
        <v>1846</v>
      </c>
      <c r="H1633" s="11" t="str">
        <f>IFERROR(__xludf.DUMMYFUNCTION("REGEXREPLACE(G1633, ""[^0-9a-zA-Z .'Ã]"","""")"),"Jim Broadbent")</f>
        <v>Jim Broadbent</v>
      </c>
      <c r="I1633" s="11" t="s">
        <v>5635</v>
      </c>
      <c r="J1633" s="9">
        <v>33570.0</v>
      </c>
      <c r="K1633" s="9" t="s">
        <v>5636</v>
      </c>
      <c r="L1633" s="9">
        <v>259.0</v>
      </c>
      <c r="M1633" s="9" t="s">
        <v>24</v>
      </c>
      <c r="N1633" s="9" t="s">
        <v>130</v>
      </c>
      <c r="O1633" s="10">
        <v>1.7E7</v>
      </c>
      <c r="P1633" s="10">
        <f t="shared" si="2"/>
        <v>0</v>
      </c>
      <c r="Q1633" s="12">
        <f t="shared" si="3"/>
        <v>1318980</v>
      </c>
      <c r="R1633" s="9">
        <v>1987.0</v>
      </c>
      <c r="S1633" s="9">
        <v>3.6</v>
      </c>
    </row>
    <row r="1634" ht="15.75" customHeight="1">
      <c r="A1634" s="17" t="s">
        <v>5637</v>
      </c>
      <c r="B1634" s="8" t="str">
        <f>IFERROR(__xludf.DUMMYFUNCTION("REGEXREPLACE(A1634, ""[^0-9a-zA-Z .'Ã]"","""")"),"S.S. Rajamouli")</f>
        <v>S.S. Rajamouli</v>
      </c>
      <c r="C1634" s="18">
        <v>44.0</v>
      </c>
      <c r="D1634" s="19">
        <v>6498000.0</v>
      </c>
      <c r="E1634" s="18" t="s">
        <v>5638</v>
      </c>
      <c r="F1634" s="9">
        <f t="shared" si="1"/>
        <v>5</v>
      </c>
      <c r="G1634" s="18" t="s">
        <v>5639</v>
      </c>
      <c r="H1634" s="11" t="str">
        <f>IFERROR(__xludf.DUMMYFUNCTION("REGEXREPLACE(G1634, ""[^0-9a-zA-Z .'Ã]"","""")"),"Tamannaah Bhatia")</f>
        <v>Tamannaah Bhatia</v>
      </c>
      <c r="I1634" s="20" t="s">
        <v>5640</v>
      </c>
      <c r="J1634" s="18">
        <v>62756.0</v>
      </c>
      <c r="K1634" s="18" t="s">
        <v>5641</v>
      </c>
      <c r="L1634" s="18">
        <v>410.0</v>
      </c>
      <c r="M1634" s="18" t="s">
        <v>5642</v>
      </c>
      <c r="N1634" s="18" t="s">
        <v>671</v>
      </c>
      <c r="O1634" s="19">
        <v>1.8026148E7</v>
      </c>
      <c r="P1634" s="10">
        <f t="shared" si="2"/>
        <v>0</v>
      </c>
      <c r="Q1634" s="12">
        <f t="shared" si="3"/>
        <v>11528148</v>
      </c>
      <c r="R1634" s="18">
        <v>2015.0</v>
      </c>
      <c r="S1634" s="18">
        <v>8.4</v>
      </c>
    </row>
    <row r="1635" ht="15.75" customHeight="1">
      <c r="A1635" s="7" t="s">
        <v>1655</v>
      </c>
      <c r="B1635" s="8" t="str">
        <f>IFERROR(__xludf.DUMMYFUNCTION("REGEXREPLACE(A1635, ""[^0-9a-zA-Z .'Ã]"","""")"),"Francis Ford Coppola")</f>
        <v>Francis Ford Coppola</v>
      </c>
      <c r="C1635" s="9">
        <v>44.0</v>
      </c>
      <c r="D1635" s="10">
        <v>4.1382841E7</v>
      </c>
      <c r="E1635" s="9" t="s">
        <v>59</v>
      </c>
      <c r="F1635" s="9">
        <f t="shared" si="1"/>
        <v>4</v>
      </c>
      <c r="G1635" s="9" t="s">
        <v>458</v>
      </c>
      <c r="H1635" s="11" t="str">
        <f>IFERROR(__xludf.DUMMYFUNCTION("REGEXREPLACE(G1635, ""[^0-9a-zA-Z .'Ã]"","""")"),"Nicolas Cage")</f>
        <v>Nicolas Cage</v>
      </c>
      <c r="I1635" s="11" t="s">
        <v>5643</v>
      </c>
      <c r="J1635" s="9">
        <v>27149.0</v>
      </c>
      <c r="K1635" s="9" t="s">
        <v>5644</v>
      </c>
      <c r="L1635" s="9">
        <v>96.0</v>
      </c>
      <c r="M1635" s="9" t="s">
        <v>24</v>
      </c>
      <c r="N1635" s="9" t="s">
        <v>25</v>
      </c>
      <c r="O1635" s="10">
        <v>1.8E7</v>
      </c>
      <c r="P1635" s="10">
        <f t="shared" si="2"/>
        <v>23382841</v>
      </c>
      <c r="Q1635" s="12">
        <f t="shared" si="3"/>
        <v>0</v>
      </c>
      <c r="R1635" s="9">
        <v>1986.0</v>
      </c>
      <c r="S1635" s="9">
        <v>6.3</v>
      </c>
    </row>
    <row r="1636" ht="15.75" customHeight="1">
      <c r="A1636" s="7" t="s">
        <v>5645</v>
      </c>
      <c r="B1636" s="8" t="str">
        <f>IFERROR(__xludf.DUMMYFUNCTION("REGEXREPLACE(A1636, ""[^0-9a-zA-Z .'Ã]"","""")"),"Bo Welch")</f>
        <v>Bo Welch</v>
      </c>
      <c r="C1636" s="9">
        <v>109.0</v>
      </c>
      <c r="D1636" s="10">
        <v>1.00446895E8</v>
      </c>
      <c r="E1636" s="9" t="s">
        <v>1874</v>
      </c>
      <c r="F1636" s="9">
        <f t="shared" si="1"/>
        <v>4</v>
      </c>
      <c r="G1636" s="9" t="s">
        <v>5646</v>
      </c>
      <c r="H1636" s="11" t="str">
        <f>IFERROR(__xludf.DUMMYFUNCTION("REGEXREPLACE(G1636, ""[^0-9a-zA-Z .'Ã]"","""")"),"Sean Hayes")</f>
        <v>Sean Hayes</v>
      </c>
      <c r="I1636" s="11" t="s">
        <v>5647</v>
      </c>
      <c r="J1636" s="9">
        <v>36033.0</v>
      </c>
      <c r="K1636" s="9" t="s">
        <v>5648</v>
      </c>
      <c r="L1636" s="9">
        <v>456.0</v>
      </c>
      <c r="M1636" s="9" t="s">
        <v>24</v>
      </c>
      <c r="N1636" s="9" t="s">
        <v>25</v>
      </c>
      <c r="O1636" s="10">
        <v>1.09E8</v>
      </c>
      <c r="P1636" s="10">
        <f t="shared" si="2"/>
        <v>0</v>
      </c>
      <c r="Q1636" s="12">
        <f t="shared" si="3"/>
        <v>8553105</v>
      </c>
      <c r="R1636" s="9">
        <v>2003.0</v>
      </c>
      <c r="S1636" s="9">
        <v>3.8</v>
      </c>
    </row>
    <row r="1637" ht="15.75" customHeight="1">
      <c r="A1637" s="17" t="s">
        <v>5649</v>
      </c>
      <c r="B1637" s="8" t="str">
        <f>IFERROR(__xludf.DUMMYFUNCTION("REGEXREPLACE(A1637, ""[^0-9a-zA-Z .'Ã]"","""")"),"Antonio Banderas")</f>
        <v>Antonio Banderas</v>
      </c>
      <c r="C1637" s="18">
        <v>28.0</v>
      </c>
      <c r="D1637" s="19">
        <v>1954202.0</v>
      </c>
      <c r="E1637" s="18" t="s">
        <v>169</v>
      </c>
      <c r="F1637" s="9">
        <f t="shared" si="1"/>
        <v>3</v>
      </c>
      <c r="G1637" s="18" t="s">
        <v>5650</v>
      </c>
      <c r="H1637" s="11" t="str">
        <f>IFERROR(__xludf.DUMMYFUNCTION("REGEXREPLACE(G1637, ""[^0-9a-zA-Z .'Ã]"","""")"),"Meat Loaf")</f>
        <v>Meat Loaf</v>
      </c>
      <c r="I1637" s="20" t="s">
        <v>5651</v>
      </c>
      <c r="J1637" s="18">
        <v>5917.0</v>
      </c>
      <c r="K1637" s="18" t="s">
        <v>5652</v>
      </c>
      <c r="L1637" s="18">
        <v>71.0</v>
      </c>
      <c r="M1637" s="18" t="s">
        <v>24</v>
      </c>
      <c r="N1637" s="18" t="s">
        <v>25</v>
      </c>
      <c r="O1637" s="19">
        <v>1.5E7</v>
      </c>
      <c r="P1637" s="10">
        <f t="shared" si="2"/>
        <v>0</v>
      </c>
      <c r="Q1637" s="12">
        <f t="shared" si="3"/>
        <v>13045798</v>
      </c>
      <c r="R1637" s="18">
        <v>1999.0</v>
      </c>
      <c r="S1637" s="18">
        <v>6.3</v>
      </c>
    </row>
    <row r="1638" ht="15.75" customHeight="1">
      <c r="A1638" s="7" t="s">
        <v>3185</v>
      </c>
      <c r="B1638" s="8" t="str">
        <f>IFERROR(__xludf.DUMMYFUNCTION("REGEXREPLACE(A1638, ""[^0-9a-zA-Z .'Ã]"","""")"),"Jason Reitman")</f>
        <v>Jason Reitman</v>
      </c>
      <c r="C1638" s="9">
        <v>217.0</v>
      </c>
      <c r="D1638" s="10">
        <v>1.3362308E7</v>
      </c>
      <c r="E1638" s="9" t="s">
        <v>103</v>
      </c>
      <c r="F1638" s="9">
        <f t="shared" si="1"/>
        <v>1</v>
      </c>
      <c r="G1638" s="9" t="s">
        <v>878</v>
      </c>
      <c r="H1638" s="11" t="str">
        <f>IFERROR(__xludf.DUMMYFUNCTION("REGEXREPLACE(G1638, ""[^0-9a-zA-Z .'Ã]"","""")"),"J.K. Simmons")</f>
        <v>J.K. Simmons</v>
      </c>
      <c r="I1638" s="11" t="s">
        <v>5653</v>
      </c>
      <c r="J1638" s="9">
        <v>31898.0</v>
      </c>
      <c r="K1638" s="9" t="s">
        <v>5654</v>
      </c>
      <c r="L1638" s="9">
        <v>111.0</v>
      </c>
      <c r="M1638" s="9" t="s">
        <v>24</v>
      </c>
      <c r="N1638" s="9" t="s">
        <v>25</v>
      </c>
      <c r="O1638" s="10">
        <v>1.8E7</v>
      </c>
      <c r="P1638" s="10">
        <f t="shared" si="2"/>
        <v>0</v>
      </c>
      <c r="Q1638" s="12">
        <f t="shared" si="3"/>
        <v>4637692</v>
      </c>
      <c r="R1638" s="9">
        <v>2013.0</v>
      </c>
      <c r="S1638" s="9">
        <v>6.9</v>
      </c>
    </row>
    <row r="1639" ht="15.75" customHeight="1">
      <c r="A1639" s="7" t="s">
        <v>5655</v>
      </c>
      <c r="B1639" s="8" t="str">
        <f>IFERROR(__xludf.DUMMYFUNCTION("REGEXREPLACE(A1639, ""[^0-9a-zA-Z .'Ã]"","""")"),"Darren Lynn Bousman")</f>
        <v>Darren Lynn Bousman</v>
      </c>
      <c r="C1639" s="9">
        <v>250.0</v>
      </c>
      <c r="D1639" s="10">
        <v>8.7025093E7</v>
      </c>
      <c r="E1639" s="9" t="s">
        <v>565</v>
      </c>
      <c r="F1639" s="9">
        <f t="shared" si="1"/>
        <v>2</v>
      </c>
      <c r="G1639" s="9" t="s">
        <v>5656</v>
      </c>
      <c r="H1639" s="11" t="str">
        <f>IFERROR(__xludf.DUMMYFUNCTION("REGEXREPLACE(G1639, ""[^0-9a-zA-Z .'Ã]"","""")"),"Emmanuelle Vaugier")</f>
        <v>Emmanuelle Vaugier</v>
      </c>
      <c r="I1639" s="11" t="s">
        <v>5657</v>
      </c>
      <c r="J1639" s="9">
        <v>188679.0</v>
      </c>
      <c r="K1639" s="9" t="s">
        <v>5658</v>
      </c>
      <c r="L1639" s="9">
        <v>864.0</v>
      </c>
      <c r="M1639" s="9" t="s">
        <v>24</v>
      </c>
      <c r="N1639" s="9" t="s">
        <v>25</v>
      </c>
      <c r="O1639" s="10">
        <v>4000000.0</v>
      </c>
      <c r="P1639" s="10">
        <f t="shared" si="2"/>
        <v>83025093</v>
      </c>
      <c r="Q1639" s="12">
        <f t="shared" si="3"/>
        <v>0</v>
      </c>
      <c r="R1639" s="9">
        <v>2005.0</v>
      </c>
      <c r="S1639" s="9">
        <v>6.6</v>
      </c>
    </row>
    <row r="1640" ht="15.75" customHeight="1">
      <c r="A1640" s="17" t="s">
        <v>2742</v>
      </c>
      <c r="B1640" s="8" t="str">
        <f>IFERROR(__xludf.DUMMYFUNCTION("REGEXREPLACE(A1640, ""[^0-9a-zA-Z .'Ã]"","""")"),"Patrick Lussier")</f>
        <v>Patrick Lussier</v>
      </c>
      <c r="C1640" s="18">
        <v>264.0</v>
      </c>
      <c r="D1640" s="19">
        <v>5.1527787E7</v>
      </c>
      <c r="E1640" s="18" t="s">
        <v>306</v>
      </c>
      <c r="F1640" s="9">
        <f t="shared" si="1"/>
        <v>2</v>
      </c>
      <c r="G1640" s="18" t="s">
        <v>5659</v>
      </c>
      <c r="H1640" s="11" t="str">
        <f>IFERROR(__xludf.DUMMYFUNCTION("REGEXREPLACE(G1640, ""[^0-9a-zA-Z .'Ã]"","""")"),"Jensen Ackles")</f>
        <v>Jensen Ackles</v>
      </c>
      <c r="I1640" s="20" t="s">
        <v>5660</v>
      </c>
      <c r="J1640" s="18">
        <v>45603.0</v>
      </c>
      <c r="K1640" s="18" t="s">
        <v>5661</v>
      </c>
      <c r="L1640" s="18">
        <v>268.0</v>
      </c>
      <c r="M1640" s="18" t="s">
        <v>24</v>
      </c>
      <c r="N1640" s="18" t="s">
        <v>25</v>
      </c>
      <c r="O1640" s="19">
        <v>1.5E7</v>
      </c>
      <c r="P1640" s="10">
        <f t="shared" si="2"/>
        <v>36527787</v>
      </c>
      <c r="Q1640" s="12">
        <f t="shared" si="3"/>
        <v>0</v>
      </c>
      <c r="R1640" s="18">
        <v>2009.0</v>
      </c>
      <c r="S1640" s="18">
        <v>5.5</v>
      </c>
    </row>
    <row r="1641" ht="15.75" customHeight="1">
      <c r="A1641" s="29" t="s">
        <v>583</v>
      </c>
      <c r="B1641" s="8" t="str">
        <f>IFERROR(__xludf.DUMMYFUNCTION("REGEXREPLACE(A1641, ""[^0-9a-zA-Z .'Ã]"","""")"),"Gus Van Sant")</f>
        <v>Gus Van Sant</v>
      </c>
      <c r="C1641" s="30">
        <v>59.0</v>
      </c>
      <c r="D1641" s="31">
        <v>2.12E7</v>
      </c>
      <c r="E1641" s="30" t="s">
        <v>169</v>
      </c>
      <c r="F1641" s="9">
        <f t="shared" si="1"/>
        <v>3</v>
      </c>
      <c r="G1641" s="30" t="s">
        <v>5360</v>
      </c>
      <c r="H1641" s="11" t="str">
        <f>IFERROR(__xludf.DUMMYFUNCTION("REGEXREPLACE(G1641, ""[^0-9a-zA-Z .'Ã]"","""")"),"Kurtwood Smith")</f>
        <v>Kurtwood Smith</v>
      </c>
      <c r="I1641" s="32" t="s">
        <v>5662</v>
      </c>
      <c r="J1641" s="30">
        <v>34774.0</v>
      </c>
      <c r="K1641" s="30" t="s">
        <v>5663</v>
      </c>
      <c r="L1641" s="30">
        <v>162.0</v>
      </c>
      <c r="M1641" s="30" t="s">
        <v>24</v>
      </c>
      <c r="N1641" s="30" t="s">
        <v>25</v>
      </c>
      <c r="O1641" s="31">
        <v>2.0E7</v>
      </c>
      <c r="P1641" s="10">
        <f t="shared" si="2"/>
        <v>1200000</v>
      </c>
      <c r="Q1641" s="12">
        <f t="shared" si="3"/>
        <v>0</v>
      </c>
      <c r="R1641" s="30">
        <v>1995.0</v>
      </c>
      <c r="S1641" s="30">
        <v>6.8</v>
      </c>
    </row>
    <row r="1642" ht="15.75" customHeight="1">
      <c r="A1642" s="17" t="s">
        <v>5664</v>
      </c>
      <c r="B1642" s="8" t="str">
        <f>IFERROR(__xludf.DUMMYFUNCTION("REGEXREPLACE(A1642, ""[^0-9a-zA-Z .'Ã]"","""")"),"Alexander Witt")</f>
        <v>Alexander Witt</v>
      </c>
      <c r="C1642" s="18">
        <v>191.0</v>
      </c>
      <c r="D1642" s="19">
        <v>5.0740078E7</v>
      </c>
      <c r="E1642" s="18" t="s">
        <v>64</v>
      </c>
      <c r="F1642" s="9">
        <f t="shared" si="1"/>
        <v>4</v>
      </c>
      <c r="G1642" s="18" t="s">
        <v>65</v>
      </c>
      <c r="H1642" s="11" t="str">
        <f>IFERROR(__xludf.DUMMYFUNCTION("REGEXREPLACE(G1642, ""[^0-9a-zA-Z .'Ã]"","""")"),"Milla Jovovich")</f>
        <v>Milla Jovovich</v>
      </c>
      <c r="I1642" s="20" t="s">
        <v>5665</v>
      </c>
      <c r="J1642" s="18">
        <v>151580.0</v>
      </c>
      <c r="K1642" s="18" t="s">
        <v>5666</v>
      </c>
      <c r="L1642" s="18">
        <v>672.0</v>
      </c>
      <c r="M1642" s="18" t="s">
        <v>24</v>
      </c>
      <c r="N1642" s="18" t="s">
        <v>173</v>
      </c>
      <c r="O1642" s="19">
        <v>4.5E7</v>
      </c>
      <c r="P1642" s="10">
        <f t="shared" si="2"/>
        <v>5740078</v>
      </c>
      <c r="Q1642" s="12">
        <f t="shared" si="3"/>
        <v>0</v>
      </c>
      <c r="R1642" s="18">
        <v>2004.0</v>
      </c>
      <c r="S1642" s="18">
        <v>6.2</v>
      </c>
    </row>
    <row r="1643" ht="15.75" customHeight="1">
      <c r="A1643" s="21" t="s">
        <v>5667</v>
      </c>
      <c r="B1643" s="8" t="str">
        <f>IFERROR(__xludf.DUMMYFUNCTION("REGEXREPLACE(A1643, ""[^0-9a-zA-Z .'Ã]"","""")"),"Justin Zackham")</f>
        <v>Justin Zackham</v>
      </c>
      <c r="C1643" s="22">
        <v>133.0</v>
      </c>
      <c r="D1643" s="23">
        <v>2.1784432E7</v>
      </c>
      <c r="E1643" s="22" t="s">
        <v>137</v>
      </c>
      <c r="F1643" s="9">
        <f t="shared" si="1"/>
        <v>1</v>
      </c>
      <c r="G1643" s="22" t="s">
        <v>673</v>
      </c>
      <c r="H1643" s="11" t="str">
        <f>IFERROR(__xludf.DUMMYFUNCTION("REGEXREPLACE(G1643, ""[^0-9a-zA-Z .'Ã]"","""")"),"Robin Williams")</f>
        <v>Robin Williams</v>
      </c>
      <c r="I1643" s="24" t="s">
        <v>5668</v>
      </c>
      <c r="J1643" s="22">
        <v>37493.0</v>
      </c>
      <c r="K1643" s="22" t="s">
        <v>5669</v>
      </c>
      <c r="L1643" s="22">
        <v>108.0</v>
      </c>
      <c r="M1643" s="22" t="s">
        <v>24</v>
      </c>
      <c r="N1643" s="22" t="s">
        <v>25</v>
      </c>
      <c r="O1643" s="23">
        <v>3.5E7</v>
      </c>
      <c r="P1643" s="10">
        <f t="shared" si="2"/>
        <v>0</v>
      </c>
      <c r="Q1643" s="12">
        <f t="shared" si="3"/>
        <v>13215568</v>
      </c>
      <c r="R1643" s="22">
        <v>2013.0</v>
      </c>
      <c r="S1643" s="22">
        <v>5.6</v>
      </c>
    </row>
    <row r="1644" ht="15.75" customHeight="1">
      <c r="A1644" s="17" t="s">
        <v>1346</v>
      </c>
      <c r="B1644" s="8" t="str">
        <f>IFERROR(__xludf.DUMMYFUNCTION("REGEXREPLACE(A1644, ""[^0-9a-zA-Z .'Ã]"","""")"),"Sam Raimi")</f>
        <v>Sam Raimi</v>
      </c>
      <c r="C1644" s="18">
        <v>221.0</v>
      </c>
      <c r="D1644" s="19">
        <v>1.1501093E7</v>
      </c>
      <c r="E1644" s="18" t="s">
        <v>1099</v>
      </c>
      <c r="F1644" s="9">
        <f t="shared" si="1"/>
        <v>3</v>
      </c>
      <c r="G1644" s="18" t="s">
        <v>5670</v>
      </c>
      <c r="H1644" s="11" t="str">
        <f>IFERROR(__xludf.DUMMYFUNCTION("REGEXREPLACE(G1644, ""[^0-9a-zA-Z .'Ã]"","""")"),"Patricia Tallman")</f>
        <v>Patricia Tallman</v>
      </c>
      <c r="I1644" s="20" t="s">
        <v>5671</v>
      </c>
      <c r="J1644" s="18">
        <v>128850.0</v>
      </c>
      <c r="K1644" s="18" t="s">
        <v>5672</v>
      </c>
      <c r="L1644" s="18">
        <v>604.0</v>
      </c>
      <c r="M1644" s="18" t="s">
        <v>24</v>
      </c>
      <c r="N1644" s="18" t="s">
        <v>25</v>
      </c>
      <c r="O1644" s="19">
        <v>1.3E7</v>
      </c>
      <c r="P1644" s="10">
        <f t="shared" si="2"/>
        <v>0</v>
      </c>
      <c r="Q1644" s="12">
        <f t="shared" si="3"/>
        <v>1498907</v>
      </c>
      <c r="R1644" s="18">
        <v>1992.0</v>
      </c>
      <c r="S1644" s="18">
        <v>7.6</v>
      </c>
    </row>
    <row r="1645" ht="15.75" customHeight="1">
      <c r="A1645" s="7" t="s">
        <v>3467</v>
      </c>
      <c r="B1645" s="8" t="str">
        <f>IFERROR(__xludf.DUMMYFUNCTION("REGEXREPLACE(A1645, ""[^0-9a-zA-Z -.'Ã]"","""")"),"Lasse HallstrÃm")</f>
        <v>Lasse HallstrÃm</v>
      </c>
      <c r="C1645" s="9">
        <v>80.0</v>
      </c>
      <c r="D1645" s="10">
        <v>9170214.0</v>
      </c>
      <c r="E1645" s="9" t="s">
        <v>232</v>
      </c>
      <c r="F1645" s="9">
        <f t="shared" si="1"/>
        <v>2</v>
      </c>
      <c r="G1645" s="9" t="s">
        <v>85</v>
      </c>
      <c r="H1645" s="11" t="str">
        <f>IFERROR(__xludf.DUMMYFUNCTION("REGEXREPLACE(G1645, ""[^0-9a-zA-Z .'Ã]"","""")"),"Johnny Depp")</f>
        <v>Johnny Depp</v>
      </c>
      <c r="I1645" s="11" t="s">
        <v>5673</v>
      </c>
      <c r="J1645" s="9">
        <v>171882.0</v>
      </c>
      <c r="K1645" s="9" t="s">
        <v>5674</v>
      </c>
      <c r="L1645" s="9">
        <v>292.0</v>
      </c>
      <c r="M1645" s="9" t="s">
        <v>24</v>
      </c>
      <c r="N1645" s="9" t="s">
        <v>25</v>
      </c>
      <c r="O1645" s="10">
        <v>1.1E7</v>
      </c>
      <c r="P1645" s="10">
        <f t="shared" si="2"/>
        <v>0</v>
      </c>
      <c r="Q1645" s="12">
        <f t="shared" si="3"/>
        <v>1829786</v>
      </c>
      <c r="R1645" s="9">
        <v>1993.0</v>
      </c>
      <c r="S1645" s="9">
        <v>7.8</v>
      </c>
    </row>
    <row r="1646" ht="15.75" customHeight="1">
      <c r="A1646" s="7" t="s">
        <v>2472</v>
      </c>
      <c r="B1646" s="8" t="str">
        <f>IFERROR(__xludf.DUMMYFUNCTION("REGEXREPLACE(A1646, ""[^0-9a-zA-Z .'Ã]"","""")"),"Dennie Gordon")</f>
        <v>Dennie Gordon</v>
      </c>
      <c r="C1646" s="9">
        <v>78.0</v>
      </c>
      <c r="D1646" s="10">
        <v>2.7087695E7</v>
      </c>
      <c r="E1646" s="9" t="s">
        <v>5184</v>
      </c>
      <c r="F1646" s="9">
        <f t="shared" si="1"/>
        <v>3</v>
      </c>
      <c r="G1646" s="9" t="s">
        <v>5675</v>
      </c>
      <c r="H1646" s="11" t="str">
        <f>IFERROR(__xludf.DUMMYFUNCTION("REGEXREPLACE(G1646, ""[^0-9a-zA-Z .'Ã]"","""")"),"Brittany Daniel")</f>
        <v>Brittany Daniel</v>
      </c>
      <c r="I1646" s="11" t="s">
        <v>5676</v>
      </c>
      <c r="J1646" s="9">
        <v>41664.0</v>
      </c>
      <c r="K1646" s="9" t="s">
        <v>5677</v>
      </c>
      <c r="L1646" s="9">
        <v>205.0</v>
      </c>
      <c r="M1646" s="9" t="s">
        <v>24</v>
      </c>
      <c r="N1646" s="9" t="s">
        <v>25</v>
      </c>
      <c r="O1646" s="10">
        <v>1.77E7</v>
      </c>
      <c r="P1646" s="10">
        <f t="shared" si="2"/>
        <v>9387695</v>
      </c>
      <c r="Q1646" s="12">
        <f t="shared" si="3"/>
        <v>0</v>
      </c>
      <c r="R1646" s="9">
        <v>2001.0</v>
      </c>
      <c r="S1646" s="9">
        <v>5.9</v>
      </c>
    </row>
    <row r="1647" ht="15.75" customHeight="1">
      <c r="A1647" s="21" t="s">
        <v>5678</v>
      </c>
      <c r="B1647" s="8" t="str">
        <f>IFERROR(__xludf.DUMMYFUNCTION("REGEXREPLACE(A1647, ""[^0-9a-zA-Z .'Ã]"","""")"),"Alan Shapiro")</f>
        <v>Alan Shapiro</v>
      </c>
      <c r="C1647" s="22">
        <v>23.0</v>
      </c>
      <c r="D1647" s="23">
        <v>2.0047715E7</v>
      </c>
      <c r="E1647" s="22" t="s">
        <v>5679</v>
      </c>
      <c r="F1647" s="9">
        <f t="shared" si="1"/>
        <v>2</v>
      </c>
      <c r="G1647" s="22" t="s">
        <v>5680</v>
      </c>
      <c r="H1647" s="11" t="str">
        <f>IFERROR(__xludf.DUMMYFUNCTION("REGEXREPLACE(G1647, ""[^0-9a-zA-Z .'Ã]"","""")"),"Paul Hogan")</f>
        <v>Paul Hogan</v>
      </c>
      <c r="I1647" s="24" t="s">
        <v>5681</v>
      </c>
      <c r="J1647" s="22">
        <v>8008.0</v>
      </c>
      <c r="K1647" s="22" t="s">
        <v>5682</v>
      </c>
      <c r="L1647" s="22">
        <v>26.0</v>
      </c>
      <c r="M1647" s="22" t="s">
        <v>24</v>
      </c>
      <c r="N1647" s="22" t="s">
        <v>25</v>
      </c>
      <c r="O1647" s="23">
        <v>2.553E7</v>
      </c>
      <c r="P1647" s="10">
        <f t="shared" si="2"/>
        <v>0</v>
      </c>
      <c r="Q1647" s="12">
        <f t="shared" si="3"/>
        <v>5482285</v>
      </c>
      <c r="R1647" s="22">
        <v>1996.0</v>
      </c>
      <c r="S1647" s="22">
        <v>5.2</v>
      </c>
    </row>
    <row r="1648" ht="15.75" customHeight="1">
      <c r="A1648" s="7" t="s">
        <v>609</v>
      </c>
      <c r="B1648" s="8" t="str">
        <f>IFERROR(__xludf.DUMMYFUNCTION("REGEXREPLACE(A1648, ""[^0-9a-zA-Z .'Ã]"","""")"),"Jonathan Mostow")</f>
        <v>Jonathan Mostow</v>
      </c>
      <c r="C1648" s="9">
        <v>178.0</v>
      </c>
      <c r="D1648" s="10">
        <v>7.708603E7</v>
      </c>
      <c r="E1648" s="9" t="s">
        <v>5683</v>
      </c>
      <c r="F1648" s="9">
        <f t="shared" si="1"/>
        <v>2</v>
      </c>
      <c r="G1648" s="9" t="s">
        <v>80</v>
      </c>
      <c r="H1648" s="11" t="str">
        <f>IFERROR(__xludf.DUMMYFUNCTION("REGEXREPLACE(G1648, ""[^0-9a-zA-Z .'Ã]"","""")"),"Matthew McConaughey")</f>
        <v>Matthew McConaughey</v>
      </c>
      <c r="I1648" s="11" t="s">
        <v>5684</v>
      </c>
      <c r="J1648" s="9">
        <v>65297.0</v>
      </c>
      <c r="K1648" s="9" t="s">
        <v>5685</v>
      </c>
      <c r="L1648" s="9">
        <v>602.0</v>
      </c>
      <c r="M1648" s="9" t="s">
        <v>24</v>
      </c>
      <c r="N1648" s="9" t="s">
        <v>608</v>
      </c>
      <c r="O1648" s="10">
        <v>6.2E7</v>
      </c>
      <c r="P1648" s="10">
        <f t="shared" si="2"/>
        <v>15086030</v>
      </c>
      <c r="Q1648" s="12">
        <f t="shared" si="3"/>
        <v>0</v>
      </c>
      <c r="R1648" s="9">
        <v>2000.0</v>
      </c>
      <c r="S1648" s="9">
        <v>6.6</v>
      </c>
    </row>
    <row r="1649" ht="15.75" customHeight="1">
      <c r="A1649" s="7" t="s">
        <v>5686</v>
      </c>
      <c r="B1649" s="8" t="str">
        <f>IFERROR(__xludf.DUMMYFUNCTION("REGEXREPLACE(A1649, ""[^0-9a-zA-Z .'Ã]"","""")"),"John Luessenhop")</f>
        <v>John Luessenhop</v>
      </c>
      <c r="C1649" s="9">
        <v>282.0</v>
      </c>
      <c r="D1649" s="10">
        <v>3.4334256E7</v>
      </c>
      <c r="E1649" s="9" t="s">
        <v>306</v>
      </c>
      <c r="F1649" s="9">
        <f t="shared" si="1"/>
        <v>2</v>
      </c>
      <c r="G1649" s="9" t="s">
        <v>5687</v>
      </c>
      <c r="H1649" s="11" t="str">
        <f>IFERROR(__xludf.DUMMYFUNCTION("REGEXREPLACE(G1649, ""[^0-9a-zA-Z .'Ã]"","""")"),"Gunnar Hansen")</f>
        <v>Gunnar Hansen</v>
      </c>
      <c r="I1649" s="11" t="s">
        <v>5688</v>
      </c>
      <c r="J1649" s="9">
        <v>35131.0</v>
      </c>
      <c r="K1649" s="9" t="s">
        <v>5689</v>
      </c>
      <c r="L1649" s="9">
        <v>255.0</v>
      </c>
      <c r="M1649" s="9" t="s">
        <v>24</v>
      </c>
      <c r="N1649" s="9" t="s">
        <v>25</v>
      </c>
      <c r="O1649" s="10">
        <v>1.1E7</v>
      </c>
      <c r="P1649" s="10">
        <f t="shared" si="2"/>
        <v>23334256</v>
      </c>
      <c r="Q1649" s="12">
        <f t="shared" si="3"/>
        <v>0</v>
      </c>
      <c r="R1649" s="9">
        <v>2013.0</v>
      </c>
      <c r="S1649" s="9">
        <v>4.8</v>
      </c>
    </row>
    <row r="1650" ht="15.75" customHeight="1">
      <c r="A1650" s="17" t="s">
        <v>5460</v>
      </c>
      <c r="B1650" s="8" t="str">
        <f>IFERROR(__xludf.DUMMYFUNCTION("REGEXREPLACE(A1650, ""[^0-9a-zA-Z .'Ã]"","""")"),"Kathryn Bigelow")</f>
        <v>Kathryn Bigelow</v>
      </c>
      <c r="C1650" s="18">
        <v>558.0</v>
      </c>
      <c r="D1650" s="19">
        <v>9.5720716E7</v>
      </c>
      <c r="E1650" s="18" t="s">
        <v>960</v>
      </c>
      <c r="F1650" s="9">
        <f t="shared" si="1"/>
        <v>3</v>
      </c>
      <c r="G1650" s="18" t="s">
        <v>4297</v>
      </c>
      <c r="H1650" s="11" t="str">
        <f>IFERROR(__xludf.DUMMYFUNCTION("REGEXREPLACE(G1650, ""[^0-9a-zA-Z .'Ã]"","""")"),"Jennifer Ehle")</f>
        <v>Jennifer Ehle</v>
      </c>
      <c r="I1650" s="20" t="s">
        <v>5690</v>
      </c>
      <c r="J1650" s="18">
        <v>216032.0</v>
      </c>
      <c r="K1650" s="18" t="s">
        <v>5691</v>
      </c>
      <c r="L1650" s="18">
        <v>640.0</v>
      </c>
      <c r="M1650" s="18" t="s">
        <v>24</v>
      </c>
      <c r="N1650" s="18" t="s">
        <v>25</v>
      </c>
      <c r="O1650" s="19">
        <v>4.0E7</v>
      </c>
      <c r="P1650" s="10">
        <f t="shared" si="2"/>
        <v>55720716</v>
      </c>
      <c r="Q1650" s="12">
        <f t="shared" si="3"/>
        <v>0</v>
      </c>
      <c r="R1650" s="18">
        <v>2012.0</v>
      </c>
      <c r="S1650" s="18">
        <v>7.4</v>
      </c>
    </row>
    <row r="1651" ht="15.75" customHeight="1">
      <c r="A1651" s="21" t="s">
        <v>500</v>
      </c>
      <c r="B1651" s="8" t="str">
        <f>IFERROR(__xludf.DUMMYFUNCTION("REGEXREPLACE(A1651, ""[^0-9a-zA-Z .'Ã]"","""")"),"Brian Helgeland")</f>
        <v>Brian Helgeland</v>
      </c>
      <c r="C1651" s="22">
        <v>167.0</v>
      </c>
      <c r="D1651" s="23">
        <v>5.6083966E7</v>
      </c>
      <c r="E1651" s="22" t="s">
        <v>1347</v>
      </c>
      <c r="F1651" s="9">
        <f t="shared" si="1"/>
        <v>3</v>
      </c>
      <c r="G1651" s="22" t="s">
        <v>1156</v>
      </c>
      <c r="H1651" s="11" t="str">
        <f>IFERROR(__xludf.DUMMYFUNCTION("REGEXREPLACE(G1651, ""[^0-9a-zA-Z .'Ã]"","""")"),"Heath Ledger")</f>
        <v>Heath Ledger</v>
      </c>
      <c r="I1651" s="24" t="s">
        <v>5692</v>
      </c>
      <c r="J1651" s="22">
        <v>137003.0</v>
      </c>
      <c r="K1651" s="22" t="s">
        <v>5693</v>
      </c>
      <c r="L1651" s="22">
        <v>658.0</v>
      </c>
      <c r="M1651" s="22" t="s">
        <v>24</v>
      </c>
      <c r="N1651" s="22" t="s">
        <v>25</v>
      </c>
      <c r="O1651" s="23">
        <v>6.5E7</v>
      </c>
      <c r="P1651" s="10">
        <f t="shared" si="2"/>
        <v>0</v>
      </c>
      <c r="Q1651" s="12">
        <f t="shared" si="3"/>
        <v>8916034</v>
      </c>
      <c r="R1651" s="22">
        <v>2001.0</v>
      </c>
      <c r="S1651" s="22">
        <v>6.9</v>
      </c>
    </row>
    <row r="1652" ht="15.75" customHeight="1">
      <c r="A1652" s="7" t="s">
        <v>4735</v>
      </c>
      <c r="B1652" s="8" t="str">
        <f>IFERROR(__xludf.DUMMYFUNCTION("REGEXREPLACE(A1652, ""[^0-9a-zA-Z .'Ã]"","""")"),"Mike Mitchell")</f>
        <v>Mike Mitchell</v>
      </c>
      <c r="C1652" s="9">
        <v>226.0</v>
      </c>
      <c r="D1652" s="10">
        <v>2.38371987E8</v>
      </c>
      <c r="E1652" s="9" t="s">
        <v>301</v>
      </c>
      <c r="F1652" s="9">
        <f t="shared" si="1"/>
        <v>5</v>
      </c>
      <c r="G1652" s="9" t="s">
        <v>1688</v>
      </c>
      <c r="H1652" s="11" t="str">
        <f>IFERROR(__xludf.DUMMYFUNCTION("REGEXREPLACE(G1652, ""[^0-9a-zA-Z .'Ã]"","""")"),"Jon Hamm")</f>
        <v>Jon Hamm</v>
      </c>
      <c r="I1652" s="11" t="s">
        <v>5694</v>
      </c>
      <c r="J1652" s="9">
        <v>138661.0</v>
      </c>
      <c r="K1652" s="9" t="s">
        <v>5695</v>
      </c>
      <c r="L1652" s="9">
        <v>173.0</v>
      </c>
      <c r="M1652" s="9" t="s">
        <v>24</v>
      </c>
      <c r="N1652" s="9" t="s">
        <v>25</v>
      </c>
      <c r="O1652" s="10">
        <v>1.65E8</v>
      </c>
      <c r="P1652" s="10">
        <f t="shared" si="2"/>
        <v>73371987</v>
      </c>
      <c r="Q1652" s="12">
        <f t="shared" si="3"/>
        <v>0</v>
      </c>
      <c r="R1652" s="9">
        <v>2010.0</v>
      </c>
      <c r="S1652" s="9">
        <v>6.4</v>
      </c>
    </row>
    <row r="1653" ht="15.75" customHeight="1">
      <c r="A1653" s="17" t="s">
        <v>1582</v>
      </c>
      <c r="B1653" s="8" t="str">
        <f>IFERROR(__xludf.DUMMYFUNCTION("REGEXREPLACE(A1653, ""[^0-9a-zA-Z .'Ã]"","""")"),"Zach Braff")</f>
        <v>Zach Braff</v>
      </c>
      <c r="C1653" s="18">
        <v>205.0</v>
      </c>
      <c r="D1653" s="19">
        <v>2.6781723E7</v>
      </c>
      <c r="E1653" s="18" t="s">
        <v>159</v>
      </c>
      <c r="F1653" s="9">
        <f t="shared" si="1"/>
        <v>3</v>
      </c>
      <c r="G1653" s="18" t="s">
        <v>5696</v>
      </c>
      <c r="H1653" s="11" t="str">
        <f>IFERROR(__xludf.DUMMYFUNCTION("REGEXREPLACE(G1653, ""[^0-9a-zA-Z .'Ã]"","""")"),"Armando Riesco")</f>
        <v>Armando Riesco</v>
      </c>
      <c r="I1653" s="20" t="s">
        <v>5697</v>
      </c>
      <c r="J1653" s="18">
        <v>187595.0</v>
      </c>
      <c r="K1653" s="18" t="s">
        <v>5698</v>
      </c>
      <c r="L1653" s="18">
        <v>978.0</v>
      </c>
      <c r="M1653" s="18" t="s">
        <v>24</v>
      </c>
      <c r="N1653" s="18" t="s">
        <v>25</v>
      </c>
      <c r="O1653" s="19">
        <v>2500000.0</v>
      </c>
      <c r="P1653" s="10">
        <f t="shared" si="2"/>
        <v>24281723</v>
      </c>
      <c r="Q1653" s="12">
        <f t="shared" si="3"/>
        <v>0</v>
      </c>
      <c r="R1653" s="18">
        <v>2004.0</v>
      </c>
      <c r="S1653" s="18">
        <v>7.6</v>
      </c>
    </row>
    <row r="1654" ht="15.75" customHeight="1">
      <c r="A1654" s="7" t="s">
        <v>564</v>
      </c>
      <c r="B1654" s="8" t="str">
        <f>IFERROR(__xludf.DUMMYFUNCTION("REGEXREPLACE(A1654, ""[^0-9a-zA-Z .'Ã]"","""")"),"Scott Derrickson")</f>
        <v>Scott Derrickson</v>
      </c>
      <c r="C1654" s="9">
        <v>242.0</v>
      </c>
      <c r="D1654" s="10">
        <v>3.0523568E7</v>
      </c>
      <c r="E1654" s="9" t="s">
        <v>94</v>
      </c>
      <c r="F1654" s="9">
        <f t="shared" si="1"/>
        <v>3</v>
      </c>
      <c r="G1654" s="9" t="s">
        <v>5699</v>
      </c>
      <c r="H1654" s="11" t="str">
        <f>IFERROR(__xludf.DUMMYFUNCTION("REGEXREPLACE(G1654, ""[^0-9a-zA-Z .'Ã]"","""")"),"Olivia Munn")</f>
        <v>Olivia Munn</v>
      </c>
      <c r="I1654" s="11" t="s">
        <v>5700</v>
      </c>
      <c r="J1654" s="9">
        <v>54447.0</v>
      </c>
      <c r="K1654" s="9" t="s">
        <v>5701</v>
      </c>
      <c r="L1654" s="9">
        <v>201.0</v>
      </c>
      <c r="M1654" s="9" t="s">
        <v>24</v>
      </c>
      <c r="N1654" s="9" t="s">
        <v>25</v>
      </c>
      <c r="O1654" s="10">
        <v>3.0E7</v>
      </c>
      <c r="P1654" s="10">
        <f t="shared" si="2"/>
        <v>523568</v>
      </c>
      <c r="Q1654" s="12">
        <f t="shared" si="3"/>
        <v>0</v>
      </c>
      <c r="R1654" s="9">
        <v>2014.0</v>
      </c>
      <c r="S1654" s="9">
        <v>6.2</v>
      </c>
    </row>
    <row r="1655" ht="15.75" customHeight="1">
      <c r="A1655" s="7" t="s">
        <v>5702</v>
      </c>
      <c r="B1655" s="8" t="str">
        <f>IFERROR(__xludf.DUMMYFUNCTION("REGEXREPLACE(A1655, ""[^0-9a-zA-Z .'Ã]"","""")"),"Jerry Zucker")</f>
        <v>Jerry Zucker</v>
      </c>
      <c r="C1655" s="9">
        <v>103.0</v>
      </c>
      <c r="D1655" s="10">
        <v>5.6607223E7</v>
      </c>
      <c r="E1655" s="9" t="s">
        <v>693</v>
      </c>
      <c r="F1655" s="9">
        <f t="shared" si="1"/>
        <v>2</v>
      </c>
      <c r="G1655" s="9" t="s">
        <v>5703</v>
      </c>
      <c r="H1655" s="11" t="str">
        <f>IFERROR(__xludf.DUMMYFUNCTION("REGEXREPLACE(G1655, ""[^0-9a-zA-Z .'Ã]"","""")"),"Corinna Harney")</f>
        <v>Corinna Harney</v>
      </c>
      <c r="I1655" s="11" t="s">
        <v>5704</v>
      </c>
      <c r="J1655" s="9">
        <v>93367.0</v>
      </c>
      <c r="K1655" s="9" t="s">
        <v>5705</v>
      </c>
      <c r="L1655" s="9">
        <v>497.0</v>
      </c>
      <c r="M1655" s="9" t="s">
        <v>24</v>
      </c>
      <c r="N1655" s="9" t="s">
        <v>624</v>
      </c>
      <c r="O1655" s="10">
        <v>4.8E7</v>
      </c>
      <c r="P1655" s="10">
        <f t="shared" si="2"/>
        <v>8607223</v>
      </c>
      <c r="Q1655" s="12">
        <f t="shared" si="3"/>
        <v>0</v>
      </c>
      <c r="R1655" s="9">
        <v>2001.0</v>
      </c>
      <c r="S1655" s="9">
        <v>6.4</v>
      </c>
    </row>
    <row r="1656" ht="15.75" customHeight="1">
      <c r="A1656" s="7" t="s">
        <v>5706</v>
      </c>
      <c r="B1656" s="8" t="str">
        <f>IFERROR(__xludf.DUMMYFUNCTION("REGEXREPLACE(A1656, ""[^0-9a-zA-Z .'Ã]"","""")"),"Tom Gormican")</f>
        <v>Tom Gormican</v>
      </c>
      <c r="C1656" s="9">
        <v>164.0</v>
      </c>
      <c r="D1656" s="10">
        <v>2.6049082E7</v>
      </c>
      <c r="E1656" s="9" t="s">
        <v>89</v>
      </c>
      <c r="F1656" s="9">
        <f t="shared" si="1"/>
        <v>2</v>
      </c>
      <c r="G1656" s="9" t="s">
        <v>5707</v>
      </c>
      <c r="H1656" s="11" t="str">
        <f>IFERROR(__xludf.DUMMYFUNCTION("REGEXREPLACE(G1656, ""[^0-9a-zA-Z .'Ã]"","""")"),"Mackenzie Davis")</f>
        <v>Mackenzie Davis</v>
      </c>
      <c r="I1656" s="11" t="s">
        <v>5708</v>
      </c>
      <c r="J1656" s="9">
        <v>76791.0</v>
      </c>
      <c r="K1656" s="9" t="s">
        <v>5709</v>
      </c>
      <c r="L1656" s="9">
        <v>100.0</v>
      </c>
      <c r="M1656" s="9" t="s">
        <v>24</v>
      </c>
      <c r="N1656" s="9" t="s">
        <v>25</v>
      </c>
      <c r="O1656" s="10">
        <v>8000000.0</v>
      </c>
      <c r="P1656" s="10">
        <f t="shared" si="2"/>
        <v>18049082</v>
      </c>
      <c r="Q1656" s="12">
        <f t="shared" si="3"/>
        <v>0</v>
      </c>
      <c r="R1656" s="9">
        <v>2014.0</v>
      </c>
      <c r="S1656" s="9">
        <v>6.1</v>
      </c>
    </row>
    <row r="1657" ht="15.75" customHeight="1">
      <c r="A1657" s="17" t="s">
        <v>2599</v>
      </c>
      <c r="B1657" s="8" t="str">
        <f>IFERROR(__xludf.DUMMYFUNCTION("REGEXREPLACE(A1657, ""[^0-9a-zA-Z .'Ã]"","""")"),"Richard Linklater")</f>
        <v>Richard Linklater</v>
      </c>
      <c r="C1657" s="18">
        <v>63.0</v>
      </c>
      <c r="D1657" s="19">
        <v>1.0297897E7</v>
      </c>
      <c r="E1657" s="18" t="s">
        <v>5710</v>
      </c>
      <c r="F1657" s="9">
        <f t="shared" si="1"/>
        <v>5</v>
      </c>
      <c r="G1657" s="18" t="s">
        <v>80</v>
      </c>
      <c r="H1657" s="11" t="str">
        <f>IFERROR(__xludf.DUMMYFUNCTION("REGEXREPLACE(G1657, ""[^0-9a-zA-Z .'Ã]"","""")"),"Matthew McConaughey")</f>
        <v>Matthew McConaughey</v>
      </c>
      <c r="I1657" s="20" t="s">
        <v>5711</v>
      </c>
      <c r="J1657" s="18">
        <v>8309.0</v>
      </c>
      <c r="K1657" s="18" t="s">
        <v>5712</v>
      </c>
      <c r="L1657" s="18">
        <v>39.0</v>
      </c>
      <c r="M1657" s="18" t="s">
        <v>24</v>
      </c>
      <c r="N1657" s="18" t="s">
        <v>25</v>
      </c>
      <c r="O1657" s="19">
        <v>2.7E7</v>
      </c>
      <c r="P1657" s="10">
        <f t="shared" si="2"/>
        <v>0</v>
      </c>
      <c r="Q1657" s="12">
        <f t="shared" si="3"/>
        <v>16702103</v>
      </c>
      <c r="R1657" s="18">
        <v>1998.0</v>
      </c>
      <c r="S1657" s="18">
        <v>6.0</v>
      </c>
    </row>
    <row r="1658" ht="15.75" customHeight="1">
      <c r="A1658" s="13" t="s">
        <v>5713</v>
      </c>
      <c r="B1658" s="8" t="str">
        <f>IFERROR(__xludf.DUMMYFUNCTION("REGEXREPLACE(A1658, ""[^0-9a-zA-Z .'Ã]"","""")"),"Damon Santostefano")</f>
        <v>Damon Santostefano</v>
      </c>
      <c r="C1658" s="14">
        <v>81.0</v>
      </c>
      <c r="D1658" s="15">
        <v>1.0544143E7</v>
      </c>
      <c r="E1658" s="14" t="s">
        <v>89</v>
      </c>
      <c r="F1658" s="9">
        <f t="shared" si="1"/>
        <v>2</v>
      </c>
      <c r="G1658" s="14" t="s">
        <v>5714</v>
      </c>
      <c r="H1658" s="11" t="str">
        <f>IFERROR(__xludf.DUMMYFUNCTION("REGEXREPLACE(G1658, ""[^0-9a-zA-Z .'Ã]"","""")"),"Matthew Perry")</f>
        <v>Matthew Perry</v>
      </c>
      <c r="I1658" s="16" t="s">
        <v>5715</v>
      </c>
      <c r="J1658" s="14">
        <v>16372.0</v>
      </c>
      <c r="K1658" s="14" t="s">
        <v>5716</v>
      </c>
      <c r="L1658" s="14">
        <v>121.0</v>
      </c>
      <c r="M1658" s="14" t="s">
        <v>24</v>
      </c>
      <c r="N1658" s="14" t="s">
        <v>146</v>
      </c>
      <c r="O1658" s="15">
        <v>2.0E7</v>
      </c>
      <c r="P1658" s="10">
        <f t="shared" si="2"/>
        <v>0</v>
      </c>
      <c r="Q1658" s="12">
        <f t="shared" si="3"/>
        <v>9455857</v>
      </c>
      <c r="R1658" s="14">
        <v>1999.0</v>
      </c>
      <c r="S1658" s="14">
        <v>6.1</v>
      </c>
    </row>
    <row r="1659" ht="15.75" customHeight="1">
      <c r="A1659" s="21" t="s">
        <v>5717</v>
      </c>
      <c r="B1659" s="8" t="str">
        <f>IFERROR(__xludf.DUMMYFUNCTION("REGEXREPLACE(A1659, ""[^0-9a-zA-Z .'Ã]"","""")"),"Steve Beck")</f>
        <v>Steve Beck</v>
      </c>
      <c r="C1659" s="22">
        <v>156.0</v>
      </c>
      <c r="D1659" s="23">
        <v>3.0079316E7</v>
      </c>
      <c r="E1659" s="22" t="s">
        <v>148</v>
      </c>
      <c r="F1659" s="9">
        <f t="shared" si="1"/>
        <v>1</v>
      </c>
      <c r="G1659" s="22" t="s">
        <v>5718</v>
      </c>
      <c r="H1659" s="11" t="str">
        <f>IFERROR(__xludf.DUMMYFUNCTION("REGEXREPLACE(G1659, ""[^0-9a-zA-Z .'Ã]"","""")"),"Isaiah Washington")</f>
        <v>Isaiah Washington</v>
      </c>
      <c r="I1659" s="24" t="s">
        <v>5719</v>
      </c>
      <c r="J1659" s="22">
        <v>75920.0</v>
      </c>
      <c r="K1659" s="22" t="s">
        <v>5720</v>
      </c>
      <c r="L1659" s="22">
        <v>474.0</v>
      </c>
      <c r="M1659" s="22" t="s">
        <v>24</v>
      </c>
      <c r="N1659" s="22" t="s">
        <v>25</v>
      </c>
      <c r="O1659" s="23">
        <v>3.5E7</v>
      </c>
      <c r="P1659" s="10">
        <f t="shared" si="2"/>
        <v>0</v>
      </c>
      <c r="Q1659" s="12">
        <f t="shared" si="3"/>
        <v>4920684</v>
      </c>
      <c r="R1659" s="22">
        <v>2002.0</v>
      </c>
      <c r="S1659" s="22">
        <v>5.5</v>
      </c>
    </row>
    <row r="1660" ht="15.75" customHeight="1">
      <c r="A1660" s="7" t="s">
        <v>1554</v>
      </c>
      <c r="B1660" s="8" t="str">
        <f>IFERROR(__xludf.DUMMYFUNCTION("REGEXREPLACE(A1660, ""[^0-9a-zA-Z .'Ã]"","""")"),"Andrzej Bartkowiak")</f>
        <v>Andrzej Bartkowiak</v>
      </c>
      <c r="C1660" s="9">
        <v>70.0</v>
      </c>
      <c r="D1660" s="10">
        <v>5.5973336E7</v>
      </c>
      <c r="E1660" s="9" t="s">
        <v>152</v>
      </c>
      <c r="F1660" s="9">
        <f t="shared" si="1"/>
        <v>3</v>
      </c>
      <c r="G1660" s="9" t="s">
        <v>1555</v>
      </c>
      <c r="H1660" s="11" t="str">
        <f>IFERROR(__xludf.DUMMYFUNCTION("REGEXREPLACE(G1660, ""[^0-9a-zA-Z .'Ã]"","""")"),"Jet Li")</f>
        <v>Jet Li</v>
      </c>
      <c r="I1660" s="11" t="s">
        <v>5721</v>
      </c>
      <c r="J1660" s="9">
        <v>57040.0</v>
      </c>
      <c r="K1660" s="9" t="s">
        <v>5722</v>
      </c>
      <c r="L1660" s="9">
        <v>365.0</v>
      </c>
      <c r="M1660" s="9" t="s">
        <v>24</v>
      </c>
      <c r="N1660" s="9" t="s">
        <v>25</v>
      </c>
      <c r="O1660" s="10">
        <v>2.5E7</v>
      </c>
      <c r="P1660" s="10">
        <f t="shared" si="2"/>
        <v>30973336</v>
      </c>
      <c r="Q1660" s="12">
        <f t="shared" si="3"/>
        <v>0</v>
      </c>
      <c r="R1660" s="9">
        <v>2000.0</v>
      </c>
      <c r="S1660" s="9">
        <v>6.1</v>
      </c>
    </row>
    <row r="1661" ht="15.75" customHeight="1">
      <c r="A1661" s="17" t="s">
        <v>5723</v>
      </c>
      <c r="B1661" s="8" t="str">
        <f>IFERROR(__xludf.DUMMYFUNCTION("REGEXREPLACE(A1661, ""[^0-9a-zA-Z .'Ã]"","""")"),"Pete Jones")</f>
        <v>Pete Jones</v>
      </c>
      <c r="C1661" s="18">
        <v>31.0</v>
      </c>
      <c r="D1661" s="19">
        <v>119841.0</v>
      </c>
      <c r="E1661" s="18" t="s">
        <v>103</v>
      </c>
      <c r="F1661" s="9">
        <f t="shared" si="1"/>
        <v>1</v>
      </c>
      <c r="G1661" s="18" t="s">
        <v>399</v>
      </c>
      <c r="H1661" s="11" t="str">
        <f>IFERROR(__xludf.DUMMYFUNCTION("REGEXREPLACE(G1661, ""[^0-9a-zA-Z .'Ã]"","""")"),"Brian Dennehy")</f>
        <v>Brian Dennehy</v>
      </c>
      <c r="I1661" s="20" t="s">
        <v>5724</v>
      </c>
      <c r="J1661" s="18">
        <v>2419.0</v>
      </c>
      <c r="K1661" s="18" t="s">
        <v>5725</v>
      </c>
      <c r="L1661" s="18">
        <v>55.0</v>
      </c>
      <c r="M1661" s="18" t="s">
        <v>24</v>
      </c>
      <c r="N1661" s="18" t="s">
        <v>25</v>
      </c>
      <c r="O1661" s="19">
        <v>1500000.0</v>
      </c>
      <c r="P1661" s="10">
        <f t="shared" si="2"/>
        <v>0</v>
      </c>
      <c r="Q1661" s="12">
        <f t="shared" si="3"/>
        <v>1380159</v>
      </c>
      <c r="R1661" s="18">
        <v>2002.0</v>
      </c>
      <c r="S1661" s="18">
        <v>6.5</v>
      </c>
    </row>
    <row r="1662" ht="15.75" customHeight="1">
      <c r="A1662" s="25" t="s">
        <v>5726</v>
      </c>
      <c r="B1662" s="8" t="str">
        <f>IFERROR(__xludf.DUMMYFUNCTION("REGEXREPLACE(A1662, ""[^0-9a-zA-Z .'Ã]"","""")"),"Joseph Ruben")</f>
        <v>Joseph Ruben</v>
      </c>
      <c r="C1662" s="26">
        <v>40.0</v>
      </c>
      <c r="D1662" s="27">
        <v>3.5324232E7</v>
      </c>
      <c r="E1662" s="26" t="s">
        <v>2177</v>
      </c>
      <c r="F1662" s="9">
        <f t="shared" si="1"/>
        <v>5</v>
      </c>
      <c r="G1662" s="26" t="s">
        <v>5727</v>
      </c>
      <c r="H1662" s="11" t="str">
        <f>IFERROR(__xludf.DUMMYFUNCTION("REGEXREPLACE(G1662, ""[^0-9a-zA-Z .'Ã]"","""")"),"Vincent Pastore")</f>
        <v>Vincent Pastore</v>
      </c>
      <c r="I1662" s="28" t="s">
        <v>5728</v>
      </c>
      <c r="J1662" s="26">
        <v>32224.0</v>
      </c>
      <c r="K1662" s="26" t="s">
        <v>5729</v>
      </c>
      <c r="L1662" s="26">
        <v>62.0</v>
      </c>
      <c r="M1662" s="26" t="s">
        <v>24</v>
      </c>
      <c r="N1662" s="26" t="s">
        <v>25</v>
      </c>
      <c r="O1662" s="27">
        <v>6.8E7</v>
      </c>
      <c r="P1662" s="10">
        <f t="shared" si="2"/>
        <v>0</v>
      </c>
      <c r="Q1662" s="12">
        <f t="shared" si="3"/>
        <v>32675768</v>
      </c>
      <c r="R1662" s="26">
        <v>1995.0</v>
      </c>
      <c r="S1662" s="26">
        <v>5.6</v>
      </c>
    </row>
    <row r="1663" ht="15.75" customHeight="1">
      <c r="A1663" s="17" t="s">
        <v>760</v>
      </c>
      <c r="B1663" s="8" t="str">
        <f>IFERROR(__xludf.DUMMYFUNCTION("REGEXREPLACE(A1663, ""[^0-9a-zA-Z .'Ã]"","""")"),"Martin Scorsese")</f>
        <v>Martin Scorsese</v>
      </c>
      <c r="C1663" s="18">
        <v>59.0</v>
      </c>
      <c r="D1663" s="19">
        <v>5.2293982E7</v>
      </c>
      <c r="E1663" s="18" t="s">
        <v>132</v>
      </c>
      <c r="F1663" s="9">
        <f t="shared" si="1"/>
        <v>2</v>
      </c>
      <c r="G1663" s="18" t="s">
        <v>220</v>
      </c>
      <c r="H1663" s="11" t="str">
        <f>IFERROR(__xludf.DUMMYFUNCTION("REGEXREPLACE(G1663, ""[^0-9a-zA-Z .'Ã]"","""")"),"Tom Cruise")</f>
        <v>Tom Cruise</v>
      </c>
      <c r="I1663" s="20" t="s">
        <v>5730</v>
      </c>
      <c r="J1663" s="18">
        <v>57831.0</v>
      </c>
      <c r="K1663" s="18" t="s">
        <v>5731</v>
      </c>
      <c r="L1663" s="18">
        <v>115.0</v>
      </c>
      <c r="M1663" s="18" t="s">
        <v>24</v>
      </c>
      <c r="N1663" s="18" t="s">
        <v>25</v>
      </c>
      <c r="O1663" s="19">
        <v>1.38E7</v>
      </c>
      <c r="P1663" s="10">
        <f t="shared" si="2"/>
        <v>38493982</v>
      </c>
      <c r="Q1663" s="12">
        <f t="shared" si="3"/>
        <v>0</v>
      </c>
      <c r="R1663" s="18">
        <v>1986.0</v>
      </c>
      <c r="S1663" s="18">
        <v>7.0</v>
      </c>
    </row>
    <row r="1664" ht="15.75" customHeight="1">
      <c r="A1664" s="17" t="s">
        <v>4273</v>
      </c>
      <c r="B1664" s="8" t="str">
        <f>IFERROR(__xludf.DUMMYFUNCTION("REGEXREPLACE(A1664, ""[^0-9a-zA-Z .'Ã]"","""")"),"Peyton Reed")</f>
        <v>Peyton Reed</v>
      </c>
      <c r="C1664" s="18">
        <v>190.0</v>
      </c>
      <c r="D1664" s="19">
        <v>9.7680195E7</v>
      </c>
      <c r="E1664" s="18" t="s">
        <v>89</v>
      </c>
      <c r="F1664" s="9">
        <f t="shared" si="1"/>
        <v>2</v>
      </c>
      <c r="G1664" s="18" t="s">
        <v>1903</v>
      </c>
      <c r="H1664" s="11" t="str">
        <f>IFERROR(__xludf.DUMMYFUNCTION("REGEXREPLACE(G1664, ""[^0-9a-zA-Z .'Ã]"","""")"),"Bradley Cooper")</f>
        <v>Bradley Cooper</v>
      </c>
      <c r="I1664" s="20" t="s">
        <v>5732</v>
      </c>
      <c r="J1664" s="18">
        <v>271691.0</v>
      </c>
      <c r="K1664" s="18" t="s">
        <v>5733</v>
      </c>
      <c r="L1664" s="18">
        <v>243.0</v>
      </c>
      <c r="M1664" s="18" t="s">
        <v>24</v>
      </c>
      <c r="N1664" s="18" t="s">
        <v>25</v>
      </c>
      <c r="O1664" s="19">
        <v>7.0E7</v>
      </c>
      <c r="P1664" s="10">
        <f t="shared" si="2"/>
        <v>27680195</v>
      </c>
      <c r="Q1664" s="12">
        <f t="shared" si="3"/>
        <v>0</v>
      </c>
      <c r="R1664" s="18">
        <v>2008.0</v>
      </c>
      <c r="S1664" s="18">
        <v>6.8</v>
      </c>
    </row>
    <row r="1665" ht="15.75" customHeight="1">
      <c r="A1665" s="7" t="s">
        <v>2759</v>
      </c>
      <c r="B1665" s="8" t="str">
        <f>IFERROR(__xludf.DUMMYFUNCTION("REGEXREPLACE(A1665, ""[^0-9a-zA-Z .'Ã]"","""")"),"Rick Famuyiwa")</f>
        <v>Rick Famuyiwa</v>
      </c>
      <c r="C1665" s="9">
        <v>71.0</v>
      </c>
      <c r="D1665" s="10">
        <v>2.0246959E7</v>
      </c>
      <c r="E1665" s="9" t="s">
        <v>89</v>
      </c>
      <c r="F1665" s="9">
        <f t="shared" si="1"/>
        <v>2</v>
      </c>
      <c r="G1665" s="9" t="s">
        <v>5405</v>
      </c>
      <c r="H1665" s="11" t="str">
        <f>IFERROR(__xludf.DUMMYFUNCTION("REGEXREPLACE(G1665, ""[^0-9a-zA-Z .'Ã]"","""")"),"America Ferrera")</f>
        <v>America Ferrera</v>
      </c>
      <c r="I1665" s="11" t="s">
        <v>5734</v>
      </c>
      <c r="J1665" s="9">
        <v>5721.0</v>
      </c>
      <c r="K1665" s="9" t="s">
        <v>5735</v>
      </c>
      <c r="L1665" s="9">
        <v>20.0</v>
      </c>
      <c r="M1665" s="9" t="s">
        <v>24</v>
      </c>
      <c r="N1665" s="9" t="s">
        <v>25</v>
      </c>
      <c r="O1665" s="10">
        <v>1.4E7</v>
      </c>
      <c r="P1665" s="10">
        <f t="shared" si="2"/>
        <v>6246959</v>
      </c>
      <c r="Q1665" s="12">
        <f t="shared" si="3"/>
        <v>0</v>
      </c>
      <c r="R1665" s="9">
        <v>2010.0</v>
      </c>
      <c r="S1665" s="9">
        <v>4.9</v>
      </c>
    </row>
    <row r="1666" ht="15.75" customHeight="1">
      <c r="A1666" s="25" t="s">
        <v>4508</v>
      </c>
      <c r="B1666" s="8" t="str">
        <f>IFERROR(__xludf.DUMMYFUNCTION("REGEXREPLACE(A1666, ""[^0-9a-zA-Z .'Ã]"","""")"),"Milos Forman")</f>
        <v>Milos Forman</v>
      </c>
      <c r="C1666" s="26">
        <v>140.0</v>
      </c>
      <c r="D1666" s="27">
        <v>3.4580635E7</v>
      </c>
      <c r="E1666" s="26" t="s">
        <v>1920</v>
      </c>
      <c r="F1666" s="9">
        <f t="shared" si="1"/>
        <v>3</v>
      </c>
      <c r="G1666" s="26" t="s">
        <v>5736</v>
      </c>
      <c r="H1666" s="11" t="str">
        <f>IFERROR(__xludf.DUMMYFUNCTION("REGEXREPLACE(G1666, ""[^0-9a-zA-Z .'Ã]"","""")"),"Matt Price")</f>
        <v>Matt Price</v>
      </c>
      <c r="I1666" s="28" t="s">
        <v>5737</v>
      </c>
      <c r="J1666" s="26">
        <v>100743.0</v>
      </c>
      <c r="K1666" s="26" t="s">
        <v>5738</v>
      </c>
      <c r="L1666" s="26">
        <v>549.0</v>
      </c>
      <c r="M1666" s="26" t="s">
        <v>24</v>
      </c>
      <c r="N1666" s="26" t="s">
        <v>130</v>
      </c>
      <c r="O1666" s="27">
        <v>5.2E7</v>
      </c>
      <c r="P1666" s="10">
        <f t="shared" si="2"/>
        <v>0</v>
      </c>
      <c r="Q1666" s="12">
        <f t="shared" si="3"/>
        <v>17419365</v>
      </c>
      <c r="R1666" s="26">
        <v>1999.0</v>
      </c>
      <c r="S1666" s="26">
        <v>7.4</v>
      </c>
    </row>
    <row r="1667" ht="15.75" customHeight="1">
      <c r="A1667" s="17" t="s">
        <v>5739</v>
      </c>
      <c r="B1667" s="8" t="str">
        <f>IFERROR(__xludf.DUMMYFUNCTION("REGEXREPLACE(A1667, ""[^0-9a-zA-Z .'Ã]"","""")"),"Clay Kaytis")</f>
        <v>Clay Kaytis</v>
      </c>
      <c r="C1667" s="18">
        <v>141.0</v>
      </c>
      <c r="D1667" s="19">
        <v>1.07225164E8</v>
      </c>
      <c r="E1667" s="18" t="s">
        <v>5740</v>
      </c>
      <c r="F1667" s="9">
        <f t="shared" si="1"/>
        <v>4</v>
      </c>
      <c r="G1667" s="18" t="s">
        <v>349</v>
      </c>
      <c r="H1667" s="11" t="str">
        <f>IFERROR(__xludf.DUMMYFUNCTION("REGEXREPLACE(G1667, ""[^0-9a-zA-Z .'Ã]"","""")"),"Peter Dinklage")</f>
        <v>Peter Dinklage</v>
      </c>
      <c r="I1667" s="20" t="s">
        <v>5741</v>
      </c>
      <c r="J1667" s="18">
        <v>27130.0</v>
      </c>
      <c r="K1667" s="18" t="s">
        <v>5742</v>
      </c>
      <c r="L1667" s="18">
        <v>126.0</v>
      </c>
      <c r="M1667" s="18" t="s">
        <v>24</v>
      </c>
      <c r="N1667" s="18" t="s">
        <v>25</v>
      </c>
      <c r="O1667" s="19">
        <v>7.3E7</v>
      </c>
      <c r="P1667" s="10">
        <f t="shared" si="2"/>
        <v>34225164</v>
      </c>
      <c r="Q1667" s="12">
        <f t="shared" si="3"/>
        <v>0</v>
      </c>
      <c r="R1667" s="18">
        <v>2016.0</v>
      </c>
      <c r="S1667" s="18">
        <v>6.3</v>
      </c>
    </row>
    <row r="1668" ht="15.75" customHeight="1">
      <c r="A1668" s="7" t="s">
        <v>5743</v>
      </c>
      <c r="B1668" s="8" t="str">
        <f>IFERROR(__xludf.DUMMYFUNCTION("REGEXREPLACE(A1668, ""[^0-9a-zA-Z .'Ã]"","""")"),"Grant Heslov")</f>
        <v>Grant Heslov</v>
      </c>
      <c r="C1668" s="9">
        <v>271.0</v>
      </c>
      <c r="D1668" s="10">
        <v>3.2416109E7</v>
      </c>
      <c r="E1668" s="9" t="s">
        <v>5744</v>
      </c>
      <c r="F1668" s="9">
        <f t="shared" si="1"/>
        <v>2</v>
      </c>
      <c r="G1668" s="9" t="s">
        <v>483</v>
      </c>
      <c r="H1668" s="11" t="str">
        <f>IFERROR(__xludf.DUMMYFUNCTION("REGEXREPLACE(G1668, ""[^0-9a-zA-Z .'Ã]"","""")"),"Kevin Spacey")</f>
        <v>Kevin Spacey</v>
      </c>
      <c r="I1668" s="11" t="s">
        <v>5745</v>
      </c>
      <c r="J1668" s="9">
        <v>109620.0</v>
      </c>
      <c r="K1668" s="9" t="s">
        <v>5746</v>
      </c>
      <c r="L1668" s="9">
        <v>268.0</v>
      </c>
      <c r="M1668" s="9" t="s">
        <v>24</v>
      </c>
      <c r="N1668" s="9" t="s">
        <v>25</v>
      </c>
      <c r="O1668" s="10">
        <v>2.5E7</v>
      </c>
      <c r="P1668" s="10">
        <f t="shared" si="2"/>
        <v>7416109</v>
      </c>
      <c r="Q1668" s="12">
        <f t="shared" si="3"/>
        <v>0</v>
      </c>
      <c r="R1668" s="9">
        <v>2009.0</v>
      </c>
      <c r="S1668" s="9">
        <v>6.2</v>
      </c>
    </row>
    <row r="1669" ht="15.75" customHeight="1">
      <c r="A1669" s="7" t="s">
        <v>426</v>
      </c>
      <c r="B1669" s="8" t="str">
        <f>IFERROR(__xludf.DUMMYFUNCTION("REGEXREPLACE(A1669, ""[^0-9a-zA-Z .'Ã]"","""")"),"Martin Campbell")</f>
        <v>Martin Campbell</v>
      </c>
      <c r="C1669" s="9">
        <v>54.0</v>
      </c>
      <c r="D1669" s="10">
        <v>4426297.0</v>
      </c>
      <c r="E1669" s="9" t="s">
        <v>570</v>
      </c>
      <c r="F1669" s="9">
        <f t="shared" si="1"/>
        <v>4</v>
      </c>
      <c r="G1669" s="9" t="s">
        <v>844</v>
      </c>
      <c r="H1669" s="11" t="str">
        <f>IFERROR(__xludf.DUMMYFUNCTION("REGEXREPLACE(G1669, ""[^0-9a-zA-Z .'Ã]"","""")"),"Angelina Jolie Pitt")</f>
        <v>Angelina Jolie Pitt</v>
      </c>
      <c r="I1669" s="11" t="s">
        <v>5747</v>
      </c>
      <c r="J1669" s="9">
        <v>22570.0</v>
      </c>
      <c r="K1669" s="9" t="s">
        <v>5748</v>
      </c>
      <c r="L1669" s="9">
        <v>156.0</v>
      </c>
      <c r="M1669" s="9" t="s">
        <v>24</v>
      </c>
      <c r="N1669" s="9" t="s">
        <v>25</v>
      </c>
      <c r="O1669" s="10">
        <v>3.5E7</v>
      </c>
      <c r="P1669" s="10">
        <f t="shared" si="2"/>
        <v>0</v>
      </c>
      <c r="Q1669" s="12">
        <f t="shared" si="3"/>
        <v>30573703</v>
      </c>
      <c r="R1669" s="9">
        <v>2003.0</v>
      </c>
      <c r="S1669" s="9">
        <v>6.5</v>
      </c>
    </row>
    <row r="1670" ht="15.75" customHeight="1">
      <c r="A1670" s="21" t="s">
        <v>5749</v>
      </c>
      <c r="B1670" s="8" t="str">
        <f>IFERROR(__xludf.DUMMYFUNCTION("REGEXREPLACE(A1670, ""[^0-9a-zA-Z .'Ã]"","""")"),"Anthony Hickox")</f>
        <v>Anthony Hickox</v>
      </c>
      <c r="C1670" s="22">
        <v>22.0</v>
      </c>
      <c r="D1670" s="23">
        <v>3902679.0</v>
      </c>
      <c r="E1670" s="22" t="s">
        <v>1235</v>
      </c>
      <c r="F1670" s="9">
        <f t="shared" si="1"/>
        <v>2</v>
      </c>
      <c r="G1670" s="22" t="s">
        <v>1034</v>
      </c>
      <c r="H1670" s="11" t="str">
        <f>IFERROR(__xludf.DUMMYFUNCTION("REGEXREPLACE(G1670, ""[^0-9a-zA-Z .'Ã]"","""")"),"Julian Sands")</f>
        <v>Julian Sands</v>
      </c>
      <c r="I1670" s="24" t="s">
        <v>5750</v>
      </c>
      <c r="J1670" s="22">
        <v>3943.0</v>
      </c>
      <c r="K1670" s="22" t="s">
        <v>5751</v>
      </c>
      <c r="L1670" s="22">
        <v>49.0</v>
      </c>
      <c r="M1670" s="22" t="s">
        <v>24</v>
      </c>
      <c r="N1670" s="22" t="s">
        <v>25</v>
      </c>
      <c r="O1670" s="23">
        <v>3000000.0</v>
      </c>
      <c r="P1670" s="10">
        <f t="shared" si="2"/>
        <v>902679</v>
      </c>
      <c r="Q1670" s="12">
        <f t="shared" si="3"/>
        <v>0</v>
      </c>
      <c r="R1670" s="22">
        <v>1993.0</v>
      </c>
      <c r="S1670" s="22">
        <v>5.3</v>
      </c>
    </row>
    <row r="1671" ht="15.75" customHeight="1">
      <c r="A1671" s="21" t="s">
        <v>932</v>
      </c>
      <c r="B1671" s="8" t="str">
        <f>IFERROR(__xludf.DUMMYFUNCTION("REGEXREPLACE(A1671, ""[^0-9a-zA-Z .'Ã]"","""")"),"Sofia Coppola")</f>
        <v>Sofia Coppola</v>
      </c>
      <c r="C1671" s="22">
        <v>301.0</v>
      </c>
      <c r="D1671" s="23">
        <v>1768416.0</v>
      </c>
      <c r="E1671" s="22" t="s">
        <v>454</v>
      </c>
      <c r="F1671" s="9">
        <f t="shared" si="1"/>
        <v>2</v>
      </c>
      <c r="G1671" s="22" t="s">
        <v>5752</v>
      </c>
      <c r="H1671" s="11" t="str">
        <f>IFERROR(__xludf.DUMMYFUNCTION("REGEXREPLACE(G1671, ""[^0-9a-zA-Z .'Ã]"","""")"),"Nathalie Fay")</f>
        <v>Nathalie Fay</v>
      </c>
      <c r="I1671" s="24" t="s">
        <v>5753</v>
      </c>
      <c r="J1671" s="22">
        <v>35848.0</v>
      </c>
      <c r="K1671" s="22" t="s">
        <v>5754</v>
      </c>
      <c r="L1671" s="22">
        <v>198.0</v>
      </c>
      <c r="M1671" s="22" t="s">
        <v>24</v>
      </c>
      <c r="N1671" s="22" t="s">
        <v>25</v>
      </c>
      <c r="O1671" s="23">
        <v>7000000.0</v>
      </c>
      <c r="P1671" s="10">
        <f t="shared" si="2"/>
        <v>0</v>
      </c>
      <c r="Q1671" s="12">
        <f t="shared" si="3"/>
        <v>5231584</v>
      </c>
      <c r="R1671" s="22">
        <v>2010.0</v>
      </c>
      <c r="S1671" s="22">
        <v>6.3</v>
      </c>
    </row>
    <row r="1672" ht="15.75" customHeight="1">
      <c r="A1672" s="7" t="s">
        <v>5755</v>
      </c>
      <c r="B1672" s="8" t="str">
        <f>IFERROR(__xludf.DUMMYFUNCTION("REGEXREPLACE(A1672, ""[^0-9a-zA-Z .'Ã]"","""")"),"Philip Kaufman")</f>
        <v>Philip Kaufman</v>
      </c>
      <c r="C1672" s="9">
        <v>80.0</v>
      </c>
      <c r="D1672" s="10">
        <v>2.15E7</v>
      </c>
      <c r="E1672" s="9" t="s">
        <v>5756</v>
      </c>
      <c r="F1672" s="9">
        <f t="shared" si="1"/>
        <v>3</v>
      </c>
      <c r="G1672" s="9" t="s">
        <v>45</v>
      </c>
      <c r="H1672" s="11" t="str">
        <f>IFERROR(__xludf.DUMMYFUNCTION("REGEXREPLACE(G1672, ""[^0-9a-zA-Z .'Ã]"","""")"),"Dennis Quaid")</f>
        <v>Dennis Quaid</v>
      </c>
      <c r="I1672" s="11" t="s">
        <v>5757</v>
      </c>
      <c r="J1672" s="9">
        <v>45271.0</v>
      </c>
      <c r="K1672" s="9" t="s">
        <v>5758</v>
      </c>
      <c r="L1672" s="9">
        <v>170.0</v>
      </c>
      <c r="M1672" s="9" t="s">
        <v>24</v>
      </c>
      <c r="N1672" s="9" t="s">
        <v>25</v>
      </c>
      <c r="O1672" s="10">
        <v>2.7E7</v>
      </c>
      <c r="P1672" s="10">
        <f t="shared" si="2"/>
        <v>0</v>
      </c>
      <c r="Q1672" s="12">
        <f t="shared" si="3"/>
        <v>5500000</v>
      </c>
      <c r="R1672" s="9">
        <v>1983.0</v>
      </c>
      <c r="S1672" s="9">
        <v>7.9</v>
      </c>
    </row>
    <row r="1673" ht="15.75" customHeight="1">
      <c r="A1673" s="13" t="s">
        <v>723</v>
      </c>
      <c r="B1673" s="8" t="str">
        <f>IFERROR(__xludf.DUMMYFUNCTION("REGEXREPLACE(A1673, ""[^0-9a-zA-Z .'Ã]"","""")"),"Robert Rodriguez")</f>
        <v>Robert Rodriguez</v>
      </c>
      <c r="C1673" s="14">
        <v>122.0</v>
      </c>
      <c r="D1673" s="15">
        <v>1.12692062E8</v>
      </c>
      <c r="E1673" s="14" t="s">
        <v>3305</v>
      </c>
      <c r="F1673" s="9">
        <f t="shared" si="1"/>
        <v>5</v>
      </c>
      <c r="G1673" s="14" t="s">
        <v>2380</v>
      </c>
      <c r="H1673" s="11" t="str">
        <f>IFERROR(__xludf.DUMMYFUNCTION("REGEXREPLACE(G1673, ""[^0-9a-zA-Z .'Ã]"","""")"),"Alexa PenaVega")</f>
        <v>Alexa PenaVega</v>
      </c>
      <c r="I1673" s="16" t="s">
        <v>5759</v>
      </c>
      <c r="J1673" s="14">
        <v>84325.0</v>
      </c>
      <c r="K1673" s="14" t="s">
        <v>5760</v>
      </c>
      <c r="L1673" s="14">
        <v>205.0</v>
      </c>
      <c r="M1673" s="14" t="s">
        <v>24</v>
      </c>
      <c r="N1673" s="14" t="s">
        <v>25</v>
      </c>
      <c r="O1673" s="15">
        <v>3.5E7</v>
      </c>
      <c r="P1673" s="10">
        <f t="shared" si="2"/>
        <v>77692062</v>
      </c>
      <c r="Q1673" s="12">
        <f t="shared" si="3"/>
        <v>0</v>
      </c>
      <c r="R1673" s="14">
        <v>2001.0</v>
      </c>
      <c r="S1673" s="14">
        <v>5.4</v>
      </c>
    </row>
    <row r="1674" ht="15.75" customHeight="1">
      <c r="A1674" s="25" t="s">
        <v>723</v>
      </c>
      <c r="B1674" s="8" t="str">
        <f>IFERROR(__xludf.DUMMYFUNCTION("REGEXREPLACE(A1674, ""[^0-9a-zA-Z .'Ã]"","""")"),"Robert Rodriguez")</f>
        <v>Robert Rodriguez</v>
      </c>
      <c r="C1674" s="26">
        <v>103.0</v>
      </c>
      <c r="D1674" s="27">
        <v>2.0916309E7</v>
      </c>
      <c r="E1674" s="26" t="s">
        <v>514</v>
      </c>
      <c r="F1674" s="9">
        <f t="shared" si="1"/>
        <v>3</v>
      </c>
      <c r="G1674" s="26" t="s">
        <v>466</v>
      </c>
      <c r="H1674" s="11" t="str">
        <f>IFERROR(__xludf.DUMMYFUNCTION("REGEXREPLACE(G1674, ""[^0-9a-zA-Z .'Ã]"","""")"),"Jimmy Bennett")</f>
        <v>Jimmy Bennett</v>
      </c>
      <c r="I1674" s="28" t="s">
        <v>5761</v>
      </c>
      <c r="J1674" s="26">
        <v>5332.0</v>
      </c>
      <c r="K1674" s="26" t="s">
        <v>5762</v>
      </c>
      <c r="L1674" s="26">
        <v>37.0</v>
      </c>
      <c r="M1674" s="26" t="s">
        <v>24</v>
      </c>
      <c r="N1674" s="26" t="s">
        <v>25</v>
      </c>
      <c r="O1674" s="27">
        <v>4.0E7</v>
      </c>
      <c r="P1674" s="10">
        <f t="shared" si="2"/>
        <v>0</v>
      </c>
      <c r="Q1674" s="12">
        <f t="shared" si="3"/>
        <v>19083691</v>
      </c>
      <c r="R1674" s="26">
        <v>2009.0</v>
      </c>
      <c r="S1674" s="26">
        <v>4.9</v>
      </c>
    </row>
    <row r="1675" ht="15.75" customHeight="1">
      <c r="A1675" s="17" t="s">
        <v>5763</v>
      </c>
      <c r="B1675" s="8" t="str">
        <f>IFERROR(__xludf.DUMMYFUNCTION("REGEXREPLACE(A1675, ""[^0-9a-zA-Z .'Ã]"","""")"),"Danny Steinmann")</f>
        <v>Danny Steinmann</v>
      </c>
      <c r="C1675" s="18">
        <v>160.0</v>
      </c>
      <c r="D1675" s="19">
        <v>2.13E7</v>
      </c>
      <c r="E1675" s="18" t="s">
        <v>94</v>
      </c>
      <c r="F1675" s="9">
        <f t="shared" si="1"/>
        <v>3</v>
      </c>
      <c r="G1675" s="18" t="s">
        <v>5764</v>
      </c>
      <c r="H1675" s="11" t="str">
        <f>IFERROR(__xludf.DUMMYFUNCTION("REGEXREPLACE(G1675, ""[^0-9a-zA-Z .'Ã]"","""")"),"Tiffany Helm")</f>
        <v>Tiffany Helm</v>
      </c>
      <c r="I1675" s="20" t="s">
        <v>5765</v>
      </c>
      <c r="J1675" s="18">
        <v>22521.0</v>
      </c>
      <c r="K1675" s="18" t="s">
        <v>5766</v>
      </c>
      <c r="L1675" s="18">
        <v>342.0</v>
      </c>
      <c r="M1675" s="18" t="s">
        <v>24</v>
      </c>
      <c r="N1675" s="18" t="s">
        <v>25</v>
      </c>
      <c r="O1675" s="19">
        <v>2200000.0</v>
      </c>
      <c r="P1675" s="10">
        <f t="shared" si="2"/>
        <v>19100000</v>
      </c>
      <c r="Q1675" s="12">
        <f t="shared" si="3"/>
        <v>0</v>
      </c>
      <c r="R1675" s="18">
        <v>1985.0</v>
      </c>
      <c r="S1675" s="18">
        <v>4.7</v>
      </c>
    </row>
    <row r="1676" ht="15.75" customHeight="1">
      <c r="A1676" s="21" t="s">
        <v>107</v>
      </c>
      <c r="B1676" s="8" t="str">
        <f>IFERROR(__xludf.DUMMYFUNCTION("REGEXREPLACE(A1676, ""[^0-9a-zA-Z .'Ã]"","""")"),"Steve Miner")</f>
        <v>Steve Miner</v>
      </c>
      <c r="C1676" s="22">
        <v>235.0</v>
      </c>
      <c r="D1676" s="23">
        <v>3.62E7</v>
      </c>
      <c r="E1676" s="22" t="s">
        <v>306</v>
      </c>
      <c r="F1676" s="9">
        <f t="shared" si="1"/>
        <v>2</v>
      </c>
      <c r="G1676" s="22" t="s">
        <v>5767</v>
      </c>
      <c r="H1676" s="11" t="str">
        <f>IFERROR(__xludf.DUMMYFUNCTION("REGEXREPLACE(G1676, ""[^0-9a-zA-Z .'Ã]"","""")"),"Richard Brooker")</f>
        <v>Richard Brooker</v>
      </c>
      <c r="I1676" s="24" t="s">
        <v>5768</v>
      </c>
      <c r="J1676" s="22">
        <v>31952.0</v>
      </c>
      <c r="K1676" s="22" t="s">
        <v>5769</v>
      </c>
      <c r="L1676" s="22">
        <v>372.0</v>
      </c>
      <c r="M1676" s="22" t="s">
        <v>24</v>
      </c>
      <c r="N1676" s="22" t="s">
        <v>25</v>
      </c>
      <c r="O1676" s="23">
        <v>4000000.0</v>
      </c>
      <c r="P1676" s="10">
        <f t="shared" si="2"/>
        <v>32200000</v>
      </c>
      <c r="Q1676" s="12">
        <f t="shared" si="3"/>
        <v>0</v>
      </c>
      <c r="R1676" s="22">
        <v>1982.0</v>
      </c>
      <c r="S1676" s="22">
        <v>5.7</v>
      </c>
    </row>
    <row r="1677" ht="15.75" customHeight="1">
      <c r="A1677" s="17" t="s">
        <v>1558</v>
      </c>
      <c r="B1677" s="8" t="str">
        <f>IFERROR(__xludf.DUMMYFUNCTION("REGEXREPLACE(A1677, ""[^0-9a-zA-Z .'Ã]"","""")"),"McG")</f>
        <v>McG</v>
      </c>
      <c r="C1677" s="18">
        <v>211.0</v>
      </c>
      <c r="D1677" s="19">
        <v>3.0688364E7</v>
      </c>
      <c r="E1677" s="18" t="s">
        <v>175</v>
      </c>
      <c r="F1677" s="9">
        <f t="shared" si="1"/>
        <v>3</v>
      </c>
      <c r="G1677" s="18" t="s">
        <v>2421</v>
      </c>
      <c r="H1677" s="11" t="str">
        <f>IFERROR(__xludf.DUMMYFUNCTION("REGEXREPLACE(G1677, ""[^0-9a-zA-Z .'Ã]"","""")"),"Connie Nielsen")</f>
        <v>Connie Nielsen</v>
      </c>
      <c r="I1677" s="20" t="s">
        <v>5770</v>
      </c>
      <c r="J1677" s="18">
        <v>69355.0</v>
      </c>
      <c r="K1677" s="18" t="s">
        <v>5771</v>
      </c>
      <c r="L1677" s="18">
        <v>211.0</v>
      </c>
      <c r="M1677" s="18" t="s">
        <v>24</v>
      </c>
      <c r="N1677" s="18" t="s">
        <v>25</v>
      </c>
      <c r="O1677" s="19">
        <v>2.8E7</v>
      </c>
      <c r="P1677" s="10">
        <f t="shared" si="2"/>
        <v>2688364</v>
      </c>
      <c r="Q1677" s="12">
        <f t="shared" si="3"/>
        <v>0</v>
      </c>
      <c r="R1677" s="18">
        <v>2014.0</v>
      </c>
      <c r="S1677" s="18">
        <v>6.2</v>
      </c>
    </row>
    <row r="1678" ht="15.75" customHeight="1">
      <c r="A1678" s="21" t="s">
        <v>5772</v>
      </c>
      <c r="B1678" s="8" t="str">
        <f>IFERROR(__xludf.DUMMYFUNCTION("REGEXREPLACE(A1678, ""[^0-9a-zA-Z .'Ã]"","""")"),"Karan Johar")</f>
        <v>Karan Johar</v>
      </c>
      <c r="C1678" s="22">
        <v>20.0</v>
      </c>
      <c r="D1678" s="23">
        <v>3275443.0</v>
      </c>
      <c r="E1678" s="22" t="s">
        <v>103</v>
      </c>
      <c r="F1678" s="9">
        <f t="shared" si="1"/>
        <v>1</v>
      </c>
      <c r="G1678" s="22" t="s">
        <v>667</v>
      </c>
      <c r="H1678" s="11" t="str">
        <f>IFERROR(__xludf.DUMMYFUNCTION("REGEXREPLACE(G1678, ""[^0-9a-zA-Z .'Ã]"","""")"),"Shah Rukh Khan")</f>
        <v>Shah Rukh Khan</v>
      </c>
      <c r="I1678" s="24" t="s">
        <v>5773</v>
      </c>
      <c r="J1678" s="22">
        <v>13998.0</v>
      </c>
      <c r="K1678" s="22" t="s">
        <v>5774</v>
      </c>
      <c r="L1678" s="22">
        <v>264.0</v>
      </c>
      <c r="M1678" s="22" t="s">
        <v>670</v>
      </c>
      <c r="N1678" s="22" t="s">
        <v>671</v>
      </c>
      <c r="O1678" s="23">
        <v>7.0E8</v>
      </c>
      <c r="P1678" s="10">
        <f t="shared" si="2"/>
        <v>0</v>
      </c>
      <c r="Q1678" s="12">
        <f t="shared" si="3"/>
        <v>696724557</v>
      </c>
      <c r="R1678" s="22">
        <v>2006.0</v>
      </c>
      <c r="S1678" s="22">
        <v>6.0</v>
      </c>
    </row>
    <row r="1679" ht="15.75" customHeight="1">
      <c r="A1679" s="7" t="s">
        <v>3807</v>
      </c>
      <c r="B1679" s="8" t="str">
        <f>IFERROR(__xludf.DUMMYFUNCTION("REGEXREPLACE(A1679, ""[^0-9a-zA-Z .'Ã]"","""")"),"Ronny Yu")</f>
        <v>Ronny Yu</v>
      </c>
      <c r="C1679" s="9">
        <v>95.0</v>
      </c>
      <c r="D1679" s="10">
        <v>5204007.0</v>
      </c>
      <c r="E1679" s="9" t="s">
        <v>790</v>
      </c>
      <c r="F1679" s="9">
        <f t="shared" si="1"/>
        <v>4</v>
      </c>
      <c r="G1679" s="9" t="s">
        <v>5650</v>
      </c>
      <c r="H1679" s="11" t="str">
        <f>IFERROR(__xludf.DUMMYFUNCTION("REGEXREPLACE(G1679, ""[^0-9a-zA-Z .'Ã]"","""")"),"Meat Loaf")</f>
        <v>Meat Loaf</v>
      </c>
      <c r="I1679" s="11" t="s">
        <v>5775</v>
      </c>
      <c r="J1679" s="9">
        <v>42876.0</v>
      </c>
      <c r="K1679" s="9" t="s">
        <v>5776</v>
      </c>
      <c r="L1679" s="9">
        <v>167.0</v>
      </c>
      <c r="M1679" s="9" t="s">
        <v>24</v>
      </c>
      <c r="N1679" s="9" t="s">
        <v>130</v>
      </c>
      <c r="O1679" s="10">
        <v>2.8E7</v>
      </c>
      <c r="P1679" s="10">
        <f t="shared" si="2"/>
        <v>0</v>
      </c>
      <c r="Q1679" s="12">
        <f t="shared" si="3"/>
        <v>22795993</v>
      </c>
      <c r="R1679" s="9">
        <v>2001.0</v>
      </c>
      <c r="S1679" s="9">
        <v>6.3</v>
      </c>
    </row>
    <row r="1680" ht="15.75" customHeight="1">
      <c r="A1680" s="7" t="s">
        <v>5777</v>
      </c>
      <c r="B1680" s="8" t="str">
        <f>IFERROR(__xludf.DUMMYFUNCTION("REGEXREPLACE(A1680, ""[^0-9a-zA-Z .'Ã]"","""")"),"David Boyd")</f>
        <v>David Boyd</v>
      </c>
      <c r="C1680" s="9">
        <v>10.0</v>
      </c>
      <c r="D1680" s="10">
        <v>2859955.0</v>
      </c>
      <c r="E1680" s="9" t="s">
        <v>132</v>
      </c>
      <c r="F1680" s="9">
        <f t="shared" si="1"/>
        <v>2</v>
      </c>
      <c r="G1680" s="9" t="s">
        <v>165</v>
      </c>
      <c r="H1680" s="11" t="str">
        <f>IFERROR(__xludf.DUMMYFUNCTION("REGEXREPLACE(G1680, ""[^0-9a-zA-Z .'Ã]"","""")"),"Vivica A. Fox")</f>
        <v>Vivica A. Fox</v>
      </c>
      <c r="I1680" s="11" t="s">
        <v>5778</v>
      </c>
      <c r="J1680" s="9">
        <v>2417.0</v>
      </c>
      <c r="K1680" s="9" t="s">
        <v>5779</v>
      </c>
      <c r="L1680" s="9">
        <v>32.0</v>
      </c>
      <c r="M1680" s="9" t="s">
        <v>24</v>
      </c>
      <c r="N1680" s="9" t="s">
        <v>25</v>
      </c>
      <c r="O1680" s="10">
        <v>1200000.0</v>
      </c>
      <c r="P1680" s="10">
        <f t="shared" si="2"/>
        <v>1659955</v>
      </c>
      <c r="Q1680" s="12">
        <f t="shared" si="3"/>
        <v>0</v>
      </c>
      <c r="R1680" s="9">
        <v>2013.0</v>
      </c>
      <c r="S1680" s="9">
        <v>6.0</v>
      </c>
    </row>
    <row r="1681" ht="15.75" customHeight="1">
      <c r="A1681" s="7" t="s">
        <v>1314</v>
      </c>
      <c r="B1681" s="8" t="str">
        <f>IFERROR(__xludf.DUMMYFUNCTION("REGEXREPLACE(A1681, ""[^0-9a-zA-Z .'Ã]"","""")"),"Bryan Singer")</f>
        <v>Bryan Singer</v>
      </c>
      <c r="C1681" s="9">
        <v>396.0</v>
      </c>
      <c r="D1681" s="10">
        <v>1.54985087E8</v>
      </c>
      <c r="E1681" s="9" t="s">
        <v>185</v>
      </c>
      <c r="F1681" s="9">
        <f t="shared" si="1"/>
        <v>3</v>
      </c>
      <c r="G1681" s="9" t="s">
        <v>1494</v>
      </c>
      <c r="H1681" s="11" t="str">
        <f>IFERROR(__xludf.DUMMYFUNCTION("REGEXREPLACE(G1681, ""[^0-9a-zA-Z .'Ã]"","""")"),"Jennifer Lawrence")</f>
        <v>Jennifer Lawrence</v>
      </c>
      <c r="I1681" s="11" t="s">
        <v>5780</v>
      </c>
      <c r="J1681" s="9">
        <v>148379.0</v>
      </c>
      <c r="K1681" s="9" t="s">
        <v>5781</v>
      </c>
      <c r="L1681" s="9">
        <v>622.0</v>
      </c>
      <c r="M1681" s="9" t="s">
        <v>24</v>
      </c>
      <c r="N1681" s="9" t="s">
        <v>25</v>
      </c>
      <c r="O1681" s="10">
        <v>1.78E8</v>
      </c>
      <c r="P1681" s="10">
        <f t="shared" si="2"/>
        <v>0</v>
      </c>
      <c r="Q1681" s="12">
        <f t="shared" si="3"/>
        <v>23014913</v>
      </c>
      <c r="R1681" s="9">
        <v>2016.0</v>
      </c>
      <c r="S1681" s="9">
        <v>7.3</v>
      </c>
    </row>
    <row r="1682" ht="15.75" customHeight="1">
      <c r="A1682" s="7" t="s">
        <v>5782</v>
      </c>
      <c r="B1682" s="8" t="str">
        <f>IFERROR(__xludf.DUMMYFUNCTION("REGEXREPLACE(A1682, ""[^0-9a-zA-Z .'Ã]"","""")"),"Warren Beatty")</f>
        <v>Warren Beatty</v>
      </c>
      <c r="C1682" s="9">
        <v>72.0</v>
      </c>
      <c r="D1682" s="10">
        <v>1.03738726E8</v>
      </c>
      <c r="E1682" s="9" t="s">
        <v>5783</v>
      </c>
      <c r="F1682" s="9">
        <f t="shared" si="1"/>
        <v>6</v>
      </c>
      <c r="G1682" s="9" t="s">
        <v>5784</v>
      </c>
      <c r="H1682" s="11" t="str">
        <f>IFERROR(__xludf.DUMMYFUNCTION("REGEXREPLACE(G1682, ""[^0-9a-zA-Z .'Ã]"","""")"),"Charlie Korsmo")</f>
        <v>Charlie Korsmo</v>
      </c>
      <c r="I1682" s="11" t="s">
        <v>5785</v>
      </c>
      <c r="J1682" s="9">
        <v>47819.0</v>
      </c>
      <c r="K1682" s="9" t="s">
        <v>5786</v>
      </c>
      <c r="L1682" s="9">
        <v>164.0</v>
      </c>
      <c r="M1682" s="9" t="s">
        <v>24</v>
      </c>
      <c r="N1682" s="9" t="s">
        <v>25</v>
      </c>
      <c r="O1682" s="10">
        <v>1.0E8</v>
      </c>
      <c r="P1682" s="10">
        <f t="shared" si="2"/>
        <v>3738726</v>
      </c>
      <c r="Q1682" s="12">
        <f t="shared" si="3"/>
        <v>0</v>
      </c>
      <c r="R1682" s="9">
        <v>1990.0</v>
      </c>
      <c r="S1682" s="9">
        <v>6.1</v>
      </c>
    </row>
    <row r="1683" ht="15.75" customHeight="1">
      <c r="A1683" s="7" t="s">
        <v>3916</v>
      </c>
      <c r="B1683" s="8" t="str">
        <f>IFERROR(__xludf.DUMMYFUNCTION("REGEXREPLACE(A1683, ""[^0-9a-zA-Z .'Ã]"","""")"),"Brad Bird")</f>
        <v>Brad Bird</v>
      </c>
      <c r="C1683" s="9">
        <v>443.0</v>
      </c>
      <c r="D1683" s="10">
        <v>9.3417865E7</v>
      </c>
      <c r="E1683" s="9" t="s">
        <v>5787</v>
      </c>
      <c r="F1683" s="9">
        <f t="shared" si="1"/>
        <v>5</v>
      </c>
      <c r="G1683" s="9" t="s">
        <v>642</v>
      </c>
      <c r="H1683" s="11" t="str">
        <f>IFERROR(__xludf.DUMMYFUNCTION("REGEXREPLACE(G1683, ""[^0-9a-zA-Z .'Ã]"","""")"),"Judy Greer")</f>
        <v>Judy Greer</v>
      </c>
      <c r="I1683" s="11" t="s">
        <v>5788</v>
      </c>
      <c r="J1683" s="9">
        <v>128306.0</v>
      </c>
      <c r="K1683" s="9" t="s">
        <v>5789</v>
      </c>
      <c r="L1683" s="9">
        <v>497.0</v>
      </c>
      <c r="M1683" s="9" t="s">
        <v>24</v>
      </c>
      <c r="N1683" s="9" t="s">
        <v>25</v>
      </c>
      <c r="O1683" s="10">
        <v>1.9E8</v>
      </c>
      <c r="P1683" s="10">
        <f t="shared" si="2"/>
        <v>0</v>
      </c>
      <c r="Q1683" s="12">
        <f t="shared" si="3"/>
        <v>96582135</v>
      </c>
      <c r="R1683" s="9">
        <v>2015.0</v>
      </c>
      <c r="S1683" s="9">
        <v>6.5</v>
      </c>
    </row>
    <row r="1684" ht="15.75" customHeight="1">
      <c r="A1684" s="17" t="s">
        <v>5790</v>
      </c>
      <c r="B1684" s="8" t="str">
        <f>IFERROR(__xludf.DUMMYFUNCTION("REGEXREPLACE(A1684, ""[^0-9a-zA-Z -.'Ã]"","""")"),"Mark A.Z. DippÃ")</f>
        <v>Mark A.Z. DippÃ</v>
      </c>
      <c r="C1684" s="18">
        <v>70.0</v>
      </c>
      <c r="D1684" s="19">
        <v>5.4967359E7</v>
      </c>
      <c r="E1684" s="18" t="s">
        <v>5791</v>
      </c>
      <c r="F1684" s="9">
        <f t="shared" si="1"/>
        <v>2</v>
      </c>
      <c r="G1684" s="18" t="s">
        <v>2107</v>
      </c>
      <c r="H1684" s="11" t="str">
        <f>IFERROR(__xludf.DUMMYFUNCTION("REGEXREPLACE(G1684, ""[^0-9a-zA-Z .'Ã]"","""")"),"Michael Jai White")</f>
        <v>Michael Jai White</v>
      </c>
      <c r="I1684" s="20" t="s">
        <v>5792</v>
      </c>
      <c r="J1684" s="18">
        <v>52805.0</v>
      </c>
      <c r="K1684" s="18" t="s">
        <v>5793</v>
      </c>
      <c r="L1684" s="18">
        <v>209.0</v>
      </c>
      <c r="M1684" s="18" t="s">
        <v>24</v>
      </c>
      <c r="N1684" s="18" t="s">
        <v>25</v>
      </c>
      <c r="O1684" s="19">
        <v>4.0E7</v>
      </c>
      <c r="P1684" s="10">
        <f t="shared" si="2"/>
        <v>14967359</v>
      </c>
      <c r="Q1684" s="12">
        <f t="shared" si="3"/>
        <v>0</v>
      </c>
      <c r="R1684" s="18">
        <v>1997.0</v>
      </c>
      <c r="S1684" s="18">
        <v>5.2</v>
      </c>
    </row>
    <row r="1685" ht="15.75" customHeight="1">
      <c r="A1685" s="25" t="s">
        <v>5794</v>
      </c>
      <c r="B1685" s="8" t="str">
        <f>IFERROR(__xludf.DUMMYFUNCTION("REGEXREPLACE(A1685, ""[^0-9a-zA-Z .'Ã]"","""")"),"Richard Curtis")</f>
        <v>Richard Curtis</v>
      </c>
      <c r="C1685" s="26">
        <v>274.0</v>
      </c>
      <c r="D1685" s="27">
        <v>1.5294553E7</v>
      </c>
      <c r="E1685" s="26" t="s">
        <v>3253</v>
      </c>
      <c r="F1685" s="9">
        <f t="shared" si="1"/>
        <v>3</v>
      </c>
      <c r="G1685" s="26" t="s">
        <v>5795</v>
      </c>
      <c r="H1685" s="11" t="str">
        <f>IFERROR(__xludf.DUMMYFUNCTION("REGEXREPLACE(G1685, ""[^0-9a-zA-Z .'Ã]"","""")"),"Tom Hughes")</f>
        <v>Tom Hughes</v>
      </c>
      <c r="I1685" s="28" t="s">
        <v>5796</v>
      </c>
      <c r="J1685" s="26">
        <v>202341.0</v>
      </c>
      <c r="K1685" s="26" t="s">
        <v>5797</v>
      </c>
      <c r="L1685" s="26">
        <v>391.0</v>
      </c>
      <c r="M1685" s="26" t="s">
        <v>24</v>
      </c>
      <c r="N1685" s="26" t="s">
        <v>130</v>
      </c>
      <c r="O1685" s="27">
        <v>1.2E7</v>
      </c>
      <c r="P1685" s="10">
        <f t="shared" si="2"/>
        <v>3294553</v>
      </c>
      <c r="Q1685" s="12">
        <f t="shared" si="3"/>
        <v>0</v>
      </c>
      <c r="R1685" s="26">
        <v>2013.0</v>
      </c>
      <c r="S1685" s="26">
        <v>7.8</v>
      </c>
    </row>
    <row r="1686" ht="15.75" customHeight="1">
      <c r="A1686" s="25" t="s">
        <v>5798</v>
      </c>
      <c r="B1686" s="8" t="str">
        <f>IFERROR(__xludf.DUMMYFUNCTION("REGEXREPLACE(A1686, ""[^0-9a-zA-Z .'Ã]"","""")"),"Simon Curtis")</f>
        <v>Simon Curtis</v>
      </c>
      <c r="C1686" s="26">
        <v>203.0</v>
      </c>
      <c r="D1686" s="27">
        <v>3.3305037E7</v>
      </c>
      <c r="E1686" s="26" t="s">
        <v>620</v>
      </c>
      <c r="F1686" s="9">
        <f t="shared" si="1"/>
        <v>3</v>
      </c>
      <c r="G1686" s="26" t="s">
        <v>2451</v>
      </c>
      <c r="H1686" s="11" t="str">
        <f>IFERROR(__xludf.DUMMYFUNCTION("REGEXREPLACE(G1686, ""[^0-9a-zA-Z .'Ã]"","""")"),"Ryan Reynolds")</f>
        <v>Ryan Reynolds</v>
      </c>
      <c r="I1686" s="28" t="s">
        <v>5799</v>
      </c>
      <c r="J1686" s="26">
        <v>33856.0</v>
      </c>
      <c r="K1686" s="26" t="s">
        <v>5800</v>
      </c>
      <c r="L1686" s="26">
        <v>147.0</v>
      </c>
      <c r="M1686" s="26" t="s">
        <v>24</v>
      </c>
      <c r="N1686" s="26" t="s">
        <v>130</v>
      </c>
      <c r="O1686" s="27">
        <v>1.1E7</v>
      </c>
      <c r="P1686" s="10">
        <f t="shared" si="2"/>
        <v>22305037</v>
      </c>
      <c r="Q1686" s="12">
        <f t="shared" si="3"/>
        <v>0</v>
      </c>
      <c r="R1686" s="26">
        <v>2015.0</v>
      </c>
      <c r="S1686" s="26">
        <v>7.3</v>
      </c>
    </row>
    <row r="1687" ht="15.75" customHeight="1">
      <c r="A1687" s="7" t="s">
        <v>5801</v>
      </c>
      <c r="B1687" s="8" t="str">
        <f>IFERROR(__xludf.DUMMYFUNCTION("REGEXREPLACE(A1687, ""[^0-9a-zA-Z .'Ã]"","""")"),"Troy Miller")</f>
        <v>Troy Miller</v>
      </c>
      <c r="C1687" s="9">
        <v>85.0</v>
      </c>
      <c r="D1687" s="10">
        <v>2.6096584E7</v>
      </c>
      <c r="E1687" s="9" t="s">
        <v>137</v>
      </c>
      <c r="F1687" s="9">
        <f t="shared" si="1"/>
        <v>1</v>
      </c>
      <c r="G1687" s="9" t="s">
        <v>5802</v>
      </c>
      <c r="H1687" s="11" t="str">
        <f>IFERROR(__xludf.DUMMYFUNCTION("REGEXREPLACE(G1687, ""[^0-9a-zA-Z .'Ã]"","""")"),"Elden Henson")</f>
        <v>Elden Henson</v>
      </c>
      <c r="I1687" s="11" t="s">
        <v>5803</v>
      </c>
      <c r="J1687" s="9">
        <v>30651.0</v>
      </c>
      <c r="K1687" s="9" t="s">
        <v>5804</v>
      </c>
      <c r="L1687" s="9">
        <v>267.0</v>
      </c>
      <c r="M1687" s="9" t="s">
        <v>24</v>
      </c>
      <c r="N1687" s="9" t="s">
        <v>25</v>
      </c>
      <c r="O1687" s="10">
        <v>1.9E7</v>
      </c>
      <c r="P1687" s="10">
        <f t="shared" si="2"/>
        <v>7096584</v>
      </c>
      <c r="Q1687" s="12">
        <f t="shared" si="3"/>
        <v>0</v>
      </c>
      <c r="R1687" s="9">
        <v>2003.0</v>
      </c>
      <c r="S1687" s="9">
        <v>3.4</v>
      </c>
    </row>
    <row r="1688" ht="15.75" customHeight="1">
      <c r="A1688" s="25" t="s">
        <v>73</v>
      </c>
      <c r="B1688" s="8" t="str">
        <f>IFERROR(__xludf.DUMMYFUNCTION("REGEXREPLACE(A1688, ""[^0-9a-zA-Z .'Ã]"","""")"),"Ridley Scott")</f>
        <v>Ridley Scott</v>
      </c>
      <c r="C1688" s="26">
        <v>343.0</v>
      </c>
      <c r="D1688" s="27">
        <v>1.05219735E8</v>
      </c>
      <c r="E1688" s="26" t="s">
        <v>4402</v>
      </c>
      <c r="F1688" s="9">
        <f t="shared" si="1"/>
        <v>4</v>
      </c>
      <c r="G1688" s="26" t="s">
        <v>4624</v>
      </c>
      <c r="H1688" s="11" t="str">
        <f>IFERROR(__xludf.DUMMYFUNCTION("REGEXREPLACE(G1688, ""[^0-9a-zA-Z .'Ã]"","""")"),"Mark Addy")</f>
        <v>Mark Addy</v>
      </c>
      <c r="I1688" s="28" t="s">
        <v>5805</v>
      </c>
      <c r="J1688" s="26">
        <v>211765.0</v>
      </c>
      <c r="K1688" s="26" t="s">
        <v>5806</v>
      </c>
      <c r="L1688" s="26">
        <v>546.0</v>
      </c>
      <c r="M1688" s="26" t="s">
        <v>24</v>
      </c>
      <c r="N1688" s="26" t="s">
        <v>25</v>
      </c>
      <c r="O1688" s="27">
        <v>2.0E8</v>
      </c>
      <c r="P1688" s="10">
        <f t="shared" si="2"/>
        <v>0</v>
      </c>
      <c r="Q1688" s="12">
        <f t="shared" si="3"/>
        <v>94780265</v>
      </c>
      <c r="R1688" s="26">
        <v>2010.0</v>
      </c>
      <c r="S1688" s="26">
        <v>6.7</v>
      </c>
    </row>
    <row r="1689" ht="15.75" customHeight="1">
      <c r="A1689" s="17" t="s">
        <v>5807</v>
      </c>
      <c r="B1689" s="8" t="str">
        <f>IFERROR(__xludf.DUMMYFUNCTION("REGEXREPLACE(A1689, ""[^0-9a-zA-Z .'Ã]"","""")"),"Steven Seagal")</f>
        <v>Steven Seagal</v>
      </c>
      <c r="C1689" s="18">
        <v>47.0</v>
      </c>
      <c r="D1689" s="19">
        <v>3.85905E7</v>
      </c>
      <c r="E1689" s="18" t="s">
        <v>474</v>
      </c>
      <c r="F1689" s="9">
        <f t="shared" si="1"/>
        <v>3</v>
      </c>
      <c r="G1689" s="18" t="s">
        <v>3323</v>
      </c>
      <c r="H1689" s="11" t="str">
        <f>IFERROR(__xludf.DUMMYFUNCTION("REGEXREPLACE(G1689, ""[^0-9a-zA-Z .'Ã]"","""")"),"Mike Starr")</f>
        <v>Mike Starr</v>
      </c>
      <c r="I1689" s="20" t="s">
        <v>5808</v>
      </c>
      <c r="J1689" s="18">
        <v>17997.0</v>
      </c>
      <c r="K1689" s="18" t="s">
        <v>5809</v>
      </c>
      <c r="L1689" s="18">
        <v>140.0</v>
      </c>
      <c r="M1689" s="18" t="s">
        <v>24</v>
      </c>
      <c r="N1689" s="18" t="s">
        <v>25</v>
      </c>
      <c r="O1689" s="19">
        <v>5.0E7</v>
      </c>
      <c r="P1689" s="10">
        <f t="shared" si="2"/>
        <v>0</v>
      </c>
      <c r="Q1689" s="12">
        <f t="shared" si="3"/>
        <v>11409500</v>
      </c>
      <c r="R1689" s="18">
        <v>1994.0</v>
      </c>
      <c r="S1689" s="18">
        <v>4.4</v>
      </c>
    </row>
    <row r="1690" ht="15.75" customHeight="1">
      <c r="A1690" s="7" t="s">
        <v>5810</v>
      </c>
      <c r="B1690" s="8" t="str">
        <f>IFERROR(__xludf.DUMMYFUNCTION("REGEXREPLACE(A1690, ""[^0-9a-zA-Z .'Ã]"","""")"),"RZA")</f>
        <v>RZA</v>
      </c>
      <c r="C1690" s="9">
        <v>208.0</v>
      </c>
      <c r="D1690" s="10">
        <v>1.5608545E7</v>
      </c>
      <c r="E1690" s="9" t="s">
        <v>180</v>
      </c>
      <c r="F1690" s="9">
        <f t="shared" si="1"/>
        <v>1</v>
      </c>
      <c r="G1690" s="9" t="s">
        <v>5811</v>
      </c>
      <c r="H1690" s="11" t="str">
        <f>IFERROR(__xludf.DUMMYFUNCTION("REGEXREPLACE(G1690, ""[^0-9a-zA-Z .'Ã]"","""")"),"Rick Yune")</f>
        <v>Rick Yune</v>
      </c>
      <c r="I1690" s="11" t="s">
        <v>5812</v>
      </c>
      <c r="J1690" s="9">
        <v>53471.0</v>
      </c>
      <c r="K1690" s="9" t="s">
        <v>5813</v>
      </c>
      <c r="L1690" s="9">
        <v>224.0</v>
      </c>
      <c r="M1690" s="9" t="s">
        <v>24</v>
      </c>
      <c r="N1690" s="9" t="s">
        <v>25</v>
      </c>
      <c r="O1690" s="10">
        <v>1.5E7</v>
      </c>
      <c r="P1690" s="10">
        <f t="shared" si="2"/>
        <v>608545</v>
      </c>
      <c r="Q1690" s="12">
        <f t="shared" si="3"/>
        <v>0</v>
      </c>
      <c r="R1690" s="9">
        <v>2012.0</v>
      </c>
      <c r="S1690" s="9">
        <v>5.4</v>
      </c>
    </row>
    <row r="1691" ht="15.75" customHeight="1">
      <c r="A1691" s="13" t="s">
        <v>5782</v>
      </c>
      <c r="B1691" s="8" t="str">
        <f>IFERROR(__xludf.DUMMYFUNCTION("REGEXREPLACE(A1691, ""[^0-9a-zA-Z .'Ã]"","""")"),"Warren Beatty")</f>
        <v>Warren Beatty</v>
      </c>
      <c r="C1691" s="14">
        <v>110.0</v>
      </c>
      <c r="D1691" s="15">
        <v>2.6525834E7</v>
      </c>
      <c r="E1691" s="14" t="s">
        <v>159</v>
      </c>
      <c r="F1691" s="9">
        <f t="shared" si="1"/>
        <v>3</v>
      </c>
      <c r="G1691" s="14" t="s">
        <v>5782</v>
      </c>
      <c r="H1691" s="11" t="str">
        <f>IFERROR(__xludf.DUMMYFUNCTION("REGEXREPLACE(G1691, ""[^0-9a-zA-Z .'Ã]"","""")"),"Warren Beatty")</f>
        <v>Warren Beatty</v>
      </c>
      <c r="I1691" s="16" t="s">
        <v>5814</v>
      </c>
      <c r="J1691" s="14">
        <v>21998.0</v>
      </c>
      <c r="K1691" s="14" t="s">
        <v>5815</v>
      </c>
      <c r="L1691" s="14">
        <v>227.0</v>
      </c>
      <c r="M1691" s="14" t="s">
        <v>24</v>
      </c>
      <c r="N1691" s="14" t="s">
        <v>25</v>
      </c>
      <c r="O1691" s="15">
        <v>3.0E7</v>
      </c>
      <c r="P1691" s="10">
        <f t="shared" si="2"/>
        <v>0</v>
      </c>
      <c r="Q1691" s="12">
        <f t="shared" si="3"/>
        <v>3474166</v>
      </c>
      <c r="R1691" s="14">
        <v>1998.0</v>
      </c>
      <c r="S1691" s="14">
        <v>6.8</v>
      </c>
    </row>
    <row r="1692" ht="15.75" customHeight="1">
      <c r="A1692" s="21" t="s">
        <v>2338</v>
      </c>
      <c r="B1692" s="8" t="str">
        <f>IFERROR(__xludf.DUMMYFUNCTION("REGEXREPLACE(A1692, ""[^0-9a-zA-Z .'Ã]"","""")"),"Jonathan Frakes")</f>
        <v>Jonathan Frakes</v>
      </c>
      <c r="C1692" s="22">
        <v>76.0</v>
      </c>
      <c r="D1692" s="23">
        <v>6768055.0</v>
      </c>
      <c r="E1692" s="22" t="s">
        <v>3305</v>
      </c>
      <c r="F1692" s="9">
        <f t="shared" si="1"/>
        <v>5</v>
      </c>
      <c r="G1692" s="22" t="s">
        <v>200</v>
      </c>
      <c r="H1692" s="11" t="str">
        <f>IFERROR(__xludf.DUMMYFUNCTION("REGEXREPLACE(G1692, ""[^0-9a-zA-Z .'Ã]"","""")"),"Sophia Myles")</f>
        <v>Sophia Myles</v>
      </c>
      <c r="I1692" s="24" t="s">
        <v>5816</v>
      </c>
      <c r="J1692" s="22">
        <v>11148.0</v>
      </c>
      <c r="K1692" s="22" t="s">
        <v>5817</v>
      </c>
      <c r="L1692" s="22">
        <v>229.0</v>
      </c>
      <c r="M1692" s="22" t="s">
        <v>24</v>
      </c>
      <c r="N1692" s="22" t="s">
        <v>130</v>
      </c>
      <c r="O1692" s="23">
        <v>5.7E7</v>
      </c>
      <c r="P1692" s="10">
        <f t="shared" si="2"/>
        <v>0</v>
      </c>
      <c r="Q1692" s="12">
        <f t="shared" si="3"/>
        <v>50231945</v>
      </c>
      <c r="R1692" s="22">
        <v>2004.0</v>
      </c>
      <c r="S1692" s="22">
        <v>4.2</v>
      </c>
    </row>
    <row r="1693" ht="15.75" customHeight="1">
      <c r="A1693" s="13" t="s">
        <v>3036</v>
      </c>
      <c r="B1693" s="8" t="str">
        <f>IFERROR(__xludf.DUMMYFUNCTION("REGEXREPLACE(A1693, ""[^0-9a-zA-Z .'Ã]"","""")"),"John Schultz")</f>
        <v>John Schultz</v>
      </c>
      <c r="C1693" s="14">
        <v>39.0</v>
      </c>
      <c r="D1693" s="15">
        <v>5.1432423E7</v>
      </c>
      <c r="E1693" s="14" t="s">
        <v>5818</v>
      </c>
      <c r="F1693" s="9">
        <f t="shared" si="1"/>
        <v>4</v>
      </c>
      <c r="G1693" s="14" t="s">
        <v>5819</v>
      </c>
      <c r="H1693" s="11" t="str">
        <f>IFERROR(__xludf.DUMMYFUNCTION("REGEXREPLACE(G1693, ""[^0-9a-zA-Z .'Ã]"","""")"),"Brenda Song")</f>
        <v>Brenda Song</v>
      </c>
      <c r="I1693" s="16" t="s">
        <v>5820</v>
      </c>
      <c r="J1693" s="14">
        <v>15074.0</v>
      </c>
      <c r="K1693" s="14" t="s">
        <v>5821</v>
      </c>
      <c r="L1693" s="14">
        <v>72.0</v>
      </c>
      <c r="M1693" s="14" t="s">
        <v>24</v>
      </c>
      <c r="N1693" s="14" t="s">
        <v>25</v>
      </c>
      <c r="O1693" s="15">
        <v>3.0E7</v>
      </c>
      <c r="P1693" s="10">
        <f t="shared" si="2"/>
        <v>21432423</v>
      </c>
      <c r="Q1693" s="12">
        <f t="shared" si="3"/>
        <v>0</v>
      </c>
      <c r="R1693" s="14">
        <v>2002.0</v>
      </c>
      <c r="S1693" s="14">
        <v>5.1</v>
      </c>
    </row>
    <row r="1694" ht="15.75" customHeight="1">
      <c r="A1694" s="21" t="s">
        <v>5822</v>
      </c>
      <c r="B1694" s="8" t="str">
        <f>IFERROR(__xludf.DUMMYFUNCTION("REGEXREPLACE(A1694, ""[^0-9a-zA-Z .'Ã]"","""")"),"Russ Meyer")</f>
        <v>Russ Meyer</v>
      </c>
      <c r="C1694" s="22">
        <v>101.0</v>
      </c>
      <c r="D1694" s="23">
        <v>9000000.0</v>
      </c>
      <c r="E1694" s="22" t="s">
        <v>462</v>
      </c>
      <c r="F1694" s="9">
        <f t="shared" si="1"/>
        <v>3</v>
      </c>
      <c r="G1694" s="22" t="s">
        <v>5823</v>
      </c>
      <c r="H1694" s="11" t="str">
        <f>IFERROR(__xludf.DUMMYFUNCTION("REGEXREPLACE(G1694, ""[^0-9a-zA-Z .'Ã]"","""")"),"Charles Napier")</f>
        <v>Charles Napier</v>
      </c>
      <c r="I1694" s="24" t="s">
        <v>5824</v>
      </c>
      <c r="J1694" s="22">
        <v>7584.0</v>
      </c>
      <c r="K1694" s="22" t="s">
        <v>5825</v>
      </c>
      <c r="L1694" s="22">
        <v>137.0</v>
      </c>
      <c r="M1694" s="22" t="s">
        <v>24</v>
      </c>
      <c r="N1694" s="22" t="s">
        <v>25</v>
      </c>
      <c r="O1694" s="23">
        <v>900000.0</v>
      </c>
      <c r="P1694" s="10">
        <f t="shared" si="2"/>
        <v>8100000</v>
      </c>
      <c r="Q1694" s="12">
        <f t="shared" si="3"/>
        <v>0</v>
      </c>
      <c r="R1694" s="22">
        <v>1970.0</v>
      </c>
      <c r="S1694" s="22">
        <v>6.2</v>
      </c>
    </row>
    <row r="1695" ht="15.75" customHeight="1">
      <c r="A1695" s="7" t="s">
        <v>5826</v>
      </c>
      <c r="B1695" s="8" t="str">
        <f>IFERROR(__xludf.DUMMYFUNCTION("REGEXREPLACE(A1695, ""[^0-9a-zA-Z .'Ã]"","""")"),"Davis Guggenheim")</f>
        <v>Davis Guggenheim</v>
      </c>
      <c r="C1695" s="9">
        <v>65.0</v>
      </c>
      <c r="D1695" s="10">
        <v>2955039.0</v>
      </c>
      <c r="E1695" s="9" t="s">
        <v>1124</v>
      </c>
      <c r="F1695" s="9">
        <f t="shared" si="1"/>
        <v>3</v>
      </c>
      <c r="G1695" s="9" t="s">
        <v>5294</v>
      </c>
      <c r="H1695" s="11" t="str">
        <f>IFERROR(__xludf.DUMMYFUNCTION("REGEXREPLACE(G1695, ""[^0-9a-zA-Z .'Ã]"","""")"),"Emma Bell")</f>
        <v>Emma Bell</v>
      </c>
      <c r="I1695" s="11" t="s">
        <v>5827</v>
      </c>
      <c r="J1695" s="9">
        <v>3624.0</v>
      </c>
      <c r="K1695" s="9" t="s">
        <v>5828</v>
      </c>
      <c r="L1695" s="9">
        <v>27.0</v>
      </c>
      <c r="M1695" s="9" t="s">
        <v>24</v>
      </c>
      <c r="N1695" s="9" t="s">
        <v>25</v>
      </c>
      <c r="O1695" s="10">
        <v>9000000.0</v>
      </c>
      <c r="P1695" s="10">
        <f t="shared" si="2"/>
        <v>0</v>
      </c>
      <c r="Q1695" s="12">
        <f t="shared" si="3"/>
        <v>6044961</v>
      </c>
      <c r="R1695" s="9">
        <v>2007.0</v>
      </c>
      <c r="S1695" s="9">
        <v>6.2</v>
      </c>
    </row>
    <row r="1696" ht="15.75" customHeight="1">
      <c r="A1696" s="7" t="s">
        <v>635</v>
      </c>
      <c r="B1696" s="8" t="str">
        <f>IFERROR(__xludf.DUMMYFUNCTION("REGEXREPLACE(A1696, ""[^0-9a-zA-Z .'Ã]"","""")"),"Steven Spielberg")</f>
        <v>Steven Spielberg</v>
      </c>
      <c r="C1696" s="9">
        <v>215.0</v>
      </c>
      <c r="D1696" s="10">
        <v>4.34949459E8</v>
      </c>
      <c r="E1696" s="9" t="s">
        <v>5829</v>
      </c>
      <c r="F1696" s="9">
        <f t="shared" si="1"/>
        <v>2</v>
      </c>
      <c r="G1696" s="9" t="s">
        <v>3207</v>
      </c>
      <c r="H1696" s="11" t="str">
        <f>IFERROR(__xludf.DUMMYFUNCTION("REGEXREPLACE(G1696, ""[^0-9a-zA-Z .'Ã]"","""")"),"Henry Thomas")</f>
        <v>Henry Thomas</v>
      </c>
      <c r="I1696" s="11" t="s">
        <v>5830</v>
      </c>
      <c r="J1696" s="9">
        <v>281842.0</v>
      </c>
      <c r="K1696" s="9" t="s">
        <v>5831</v>
      </c>
      <c r="L1696" s="9">
        <v>515.0</v>
      </c>
      <c r="M1696" s="9" t="s">
        <v>24</v>
      </c>
      <c r="N1696" s="9" t="s">
        <v>25</v>
      </c>
      <c r="O1696" s="10">
        <v>1.05E7</v>
      </c>
      <c r="P1696" s="10">
        <f t="shared" si="2"/>
        <v>424449459</v>
      </c>
      <c r="Q1696" s="12">
        <f t="shared" si="3"/>
        <v>0</v>
      </c>
      <c r="R1696" s="9">
        <v>1982.0</v>
      </c>
      <c r="S1696" s="9">
        <v>7.9</v>
      </c>
    </row>
    <row r="1697" ht="15.75" customHeight="1">
      <c r="A1697" s="7" t="s">
        <v>1649</v>
      </c>
      <c r="B1697" s="8" t="str">
        <f>IFERROR(__xludf.DUMMYFUNCTION("REGEXREPLACE(A1697, ""[^0-9a-zA-Z -.'Ã]"","""")"),"Brian Trenchard-Smith")</f>
        <v>Brian Trenchard-Smith</v>
      </c>
      <c r="C1697" s="9">
        <v>18.0</v>
      </c>
      <c r="D1697" s="10">
        <v>5974653.0</v>
      </c>
      <c r="E1697" s="9" t="s">
        <v>449</v>
      </c>
      <c r="F1697" s="9">
        <f t="shared" si="1"/>
        <v>5</v>
      </c>
      <c r="G1697" s="9" t="s">
        <v>186</v>
      </c>
      <c r="H1697" s="11" t="str">
        <f>IFERROR(__xludf.DUMMYFUNCTION("REGEXREPLACE(G1697, ""[^0-9a-zA-Z .'Ã]"","""")"),"Michael Biehn")</f>
        <v>Michael Biehn</v>
      </c>
      <c r="I1697" s="11" t="s">
        <v>5832</v>
      </c>
      <c r="J1697" s="9">
        <v>2253.0</v>
      </c>
      <c r="K1697" s="9" t="s">
        <v>5833</v>
      </c>
      <c r="L1697" s="9">
        <v>111.0</v>
      </c>
      <c r="M1697" s="9" t="s">
        <v>24</v>
      </c>
      <c r="N1697" s="9" t="s">
        <v>25</v>
      </c>
      <c r="O1697" s="10">
        <v>2.2E7</v>
      </c>
      <c r="P1697" s="10">
        <f t="shared" si="2"/>
        <v>0</v>
      </c>
      <c r="Q1697" s="12">
        <f t="shared" si="3"/>
        <v>16025347</v>
      </c>
      <c r="R1697" s="9">
        <v>2001.0</v>
      </c>
      <c r="S1697" s="9">
        <v>4.1</v>
      </c>
    </row>
    <row r="1698" ht="15.75" customHeight="1">
      <c r="A1698" s="21" t="s">
        <v>896</v>
      </c>
      <c r="B1698" s="8" t="str">
        <f>IFERROR(__xludf.DUMMYFUNCTION("REGEXREPLACE(A1698, ""[^0-9a-zA-Z .'Ã]"","""")"),"Kevin Smith")</f>
        <v>Kevin Smith</v>
      </c>
      <c r="C1698" s="22">
        <v>203.0</v>
      </c>
      <c r="D1698" s="23">
        <v>4.4867349E7</v>
      </c>
      <c r="E1698" s="22" t="s">
        <v>265</v>
      </c>
      <c r="F1698" s="9">
        <f t="shared" si="1"/>
        <v>3</v>
      </c>
      <c r="G1698" s="22" t="s">
        <v>55</v>
      </c>
      <c r="H1698" s="11" t="str">
        <f>IFERROR(__xludf.DUMMYFUNCTION("REGEXREPLACE(G1698, ""[^0-9a-zA-Z .'Ã]"","""")"),"Bruce Willis")</f>
        <v>Bruce Willis</v>
      </c>
      <c r="I1698" s="24" t="s">
        <v>5834</v>
      </c>
      <c r="J1698" s="22">
        <v>75347.0</v>
      </c>
      <c r="K1698" s="22" t="s">
        <v>5835</v>
      </c>
      <c r="L1698" s="22">
        <v>176.0</v>
      </c>
      <c r="M1698" s="22" t="s">
        <v>24</v>
      </c>
      <c r="N1698" s="22" t="s">
        <v>25</v>
      </c>
      <c r="O1698" s="23">
        <v>3.7E7</v>
      </c>
      <c r="P1698" s="10">
        <f t="shared" si="2"/>
        <v>7867349</v>
      </c>
      <c r="Q1698" s="12">
        <f t="shared" si="3"/>
        <v>0</v>
      </c>
      <c r="R1698" s="22">
        <v>2010.0</v>
      </c>
      <c r="S1698" s="22">
        <v>5.6</v>
      </c>
    </row>
    <row r="1699" ht="15.75" customHeight="1">
      <c r="A1699" s="21" t="s">
        <v>5836</v>
      </c>
      <c r="B1699" s="8" t="str">
        <f>IFERROR(__xludf.DUMMYFUNCTION("REGEXREPLACE(A1699, ""[^0-9a-zA-Z .'Ã]"","""")"),"Dan Harris")</f>
        <v>Dan Harris</v>
      </c>
      <c r="C1699" s="22">
        <v>73.0</v>
      </c>
      <c r="D1699" s="23">
        <v>228524.0</v>
      </c>
      <c r="E1699" s="22" t="s">
        <v>454</v>
      </c>
      <c r="F1699" s="9">
        <f t="shared" si="1"/>
        <v>2</v>
      </c>
      <c r="G1699" s="22" t="s">
        <v>5837</v>
      </c>
      <c r="H1699" s="11" t="str">
        <f>IFERROR(__xludf.DUMMYFUNCTION("REGEXREPLACE(G1699, ""[^0-9a-zA-Z .'Ã]"","""")"),"Kip Pardue")</f>
        <v>Kip Pardue</v>
      </c>
      <c r="I1699" s="24" t="s">
        <v>5838</v>
      </c>
      <c r="J1699" s="22">
        <v>8708.0</v>
      </c>
      <c r="K1699" s="22" t="s">
        <v>5839</v>
      </c>
      <c r="L1699" s="22">
        <v>56.0</v>
      </c>
      <c r="M1699" s="22" t="s">
        <v>24</v>
      </c>
      <c r="N1699" s="22" t="s">
        <v>25</v>
      </c>
      <c r="O1699" s="23">
        <v>4000000.0</v>
      </c>
      <c r="P1699" s="10">
        <f t="shared" si="2"/>
        <v>0</v>
      </c>
      <c r="Q1699" s="12">
        <f t="shared" si="3"/>
        <v>3771476</v>
      </c>
      <c r="R1699" s="22">
        <v>2004.0</v>
      </c>
      <c r="S1699" s="22">
        <v>7.3</v>
      </c>
    </row>
    <row r="1700" ht="15.75" customHeight="1">
      <c r="A1700" s="7" t="s">
        <v>3820</v>
      </c>
      <c r="B1700" s="8" t="str">
        <f>IFERROR(__xludf.DUMMYFUNCTION("REGEXREPLACE(A1700, ""[^0-9a-zA-Z .'Ã]"","""")"),"Baz Luhrmann")</f>
        <v>Baz Luhrmann</v>
      </c>
      <c r="C1700" s="9">
        <v>490.0</v>
      </c>
      <c r="D1700" s="10">
        <v>1.44812796E8</v>
      </c>
      <c r="E1700" s="9" t="s">
        <v>232</v>
      </c>
      <c r="F1700" s="9">
        <f t="shared" si="1"/>
        <v>2</v>
      </c>
      <c r="G1700" s="9" t="s">
        <v>1351</v>
      </c>
      <c r="H1700" s="11" t="str">
        <f>IFERROR(__xludf.DUMMYFUNCTION("REGEXREPLACE(G1700, ""[^0-9a-zA-Z .'Ã]"","""")"),"Leonardo DiCaprio")</f>
        <v>Leonardo DiCaprio</v>
      </c>
      <c r="I1700" s="11" t="s">
        <v>5840</v>
      </c>
      <c r="J1700" s="9">
        <v>362912.0</v>
      </c>
      <c r="K1700" s="9" t="s">
        <v>5841</v>
      </c>
      <c r="L1700" s="9">
        <v>753.0</v>
      </c>
      <c r="M1700" s="9" t="s">
        <v>24</v>
      </c>
      <c r="N1700" s="9" t="s">
        <v>146</v>
      </c>
      <c r="O1700" s="10">
        <v>1.05E8</v>
      </c>
      <c r="P1700" s="10">
        <f t="shared" si="2"/>
        <v>39812796</v>
      </c>
      <c r="Q1700" s="12">
        <f t="shared" si="3"/>
        <v>0</v>
      </c>
      <c r="R1700" s="9">
        <v>2013.0</v>
      </c>
      <c r="S1700" s="9">
        <v>7.3</v>
      </c>
    </row>
    <row r="1701" ht="15.75" customHeight="1">
      <c r="A1701" s="7" t="s">
        <v>5842</v>
      </c>
      <c r="B1701" s="8" t="str">
        <f>IFERROR(__xludf.DUMMYFUNCTION("REGEXREPLACE(A1701, ""[^0-9a-zA-Z .'Ã]"","""")"),"Peter R. Hunt")</f>
        <v>Peter R. Hunt</v>
      </c>
      <c r="C1701" s="9">
        <v>143.0</v>
      </c>
      <c r="D1701" s="10">
        <v>2.28E7</v>
      </c>
      <c r="E1701" s="9" t="s">
        <v>474</v>
      </c>
      <c r="F1701" s="9">
        <f t="shared" si="1"/>
        <v>3</v>
      </c>
      <c r="G1701" s="9" t="s">
        <v>5843</v>
      </c>
      <c r="H1701" s="11" t="str">
        <f>IFERROR(__xludf.DUMMYFUNCTION("REGEXREPLACE(G1701, ""[^0-9a-zA-Z .'Ã]"","""")"),"Telly Savalas")</f>
        <v>Telly Savalas</v>
      </c>
      <c r="I1701" s="11" t="s">
        <v>5844</v>
      </c>
      <c r="J1701" s="9">
        <v>59941.0</v>
      </c>
      <c r="K1701" s="9" t="s">
        <v>5845</v>
      </c>
      <c r="L1701" s="9">
        <v>452.0</v>
      </c>
      <c r="M1701" s="9" t="s">
        <v>24</v>
      </c>
      <c r="N1701" s="9" t="s">
        <v>130</v>
      </c>
      <c r="O1701" s="10">
        <v>7000000.0</v>
      </c>
      <c r="P1701" s="10">
        <f t="shared" si="2"/>
        <v>15800000</v>
      </c>
      <c r="Q1701" s="12">
        <f t="shared" si="3"/>
        <v>0</v>
      </c>
      <c r="R1701" s="9">
        <v>1969.0</v>
      </c>
      <c r="S1701" s="9">
        <v>6.8</v>
      </c>
    </row>
    <row r="1702" ht="15.75" customHeight="1">
      <c r="A1702" s="17" t="s">
        <v>5846</v>
      </c>
      <c r="B1702" s="8" t="str">
        <f>IFERROR(__xludf.DUMMYFUNCTION("REGEXREPLACE(A1702, ""[^0-9a-zA-Z .'Ã]"","""")"),"John Landis")</f>
        <v>John Landis</v>
      </c>
      <c r="C1702" s="18">
        <v>36.0</v>
      </c>
      <c r="D1702" s="19">
        <v>4.261E7</v>
      </c>
      <c r="E1702" s="18" t="s">
        <v>790</v>
      </c>
      <c r="F1702" s="9">
        <f t="shared" si="1"/>
        <v>4</v>
      </c>
      <c r="G1702" s="18" t="s">
        <v>1221</v>
      </c>
      <c r="H1702" s="11" t="str">
        <f>IFERROR(__xludf.DUMMYFUNCTION("REGEXREPLACE(G1702, ""[^0-9a-zA-Z .'Ã]"","""")"),"Louis Lombardi")</f>
        <v>Louis Lombardi</v>
      </c>
      <c r="I1702" s="20" t="s">
        <v>5847</v>
      </c>
      <c r="J1702" s="18">
        <v>60293.0</v>
      </c>
      <c r="K1702" s="18" t="s">
        <v>5848</v>
      </c>
      <c r="L1702" s="18">
        <v>114.0</v>
      </c>
      <c r="M1702" s="18" t="s">
        <v>24</v>
      </c>
      <c r="N1702" s="18" t="s">
        <v>25</v>
      </c>
      <c r="O1702" s="19">
        <v>5.5E7</v>
      </c>
      <c r="P1702" s="10">
        <f t="shared" si="2"/>
        <v>0</v>
      </c>
      <c r="Q1702" s="12">
        <f t="shared" si="3"/>
        <v>12390000</v>
      </c>
      <c r="R1702" s="18">
        <v>1994.0</v>
      </c>
      <c r="S1702" s="18">
        <v>5.5</v>
      </c>
    </row>
    <row r="1703" ht="15.75" customHeight="1">
      <c r="A1703" s="7" t="s">
        <v>5849</v>
      </c>
      <c r="B1703" s="8" t="str">
        <f>IFERROR(__xludf.DUMMYFUNCTION("REGEXREPLACE(A1703, ""[^0-9a-zA-Z .'Ã]"","""")"),"Terrence Malick")</f>
        <v>Terrence Malick</v>
      </c>
      <c r="C1703" s="9">
        <v>156.0</v>
      </c>
      <c r="D1703" s="10">
        <v>3.6385763E7</v>
      </c>
      <c r="E1703" s="9" t="s">
        <v>679</v>
      </c>
      <c r="F1703" s="9">
        <f t="shared" si="1"/>
        <v>2</v>
      </c>
      <c r="G1703" s="9" t="s">
        <v>2605</v>
      </c>
      <c r="H1703" s="11" t="str">
        <f>IFERROR(__xludf.DUMMYFUNCTION("REGEXREPLACE(G1703, ""[^0-9a-zA-Z .'Ã]"","""")"),"Nick Stahl")</f>
        <v>Nick Stahl</v>
      </c>
      <c r="I1703" s="11" t="s">
        <v>5850</v>
      </c>
      <c r="J1703" s="9">
        <v>138941.0</v>
      </c>
      <c r="K1703" s="9" t="s">
        <v>5851</v>
      </c>
      <c r="L1703" s="9">
        <v>1448.0</v>
      </c>
      <c r="M1703" s="9" t="s">
        <v>24</v>
      </c>
      <c r="N1703" s="9" t="s">
        <v>25</v>
      </c>
      <c r="O1703" s="10">
        <v>5.2E7</v>
      </c>
      <c r="P1703" s="10">
        <f t="shared" si="2"/>
        <v>0</v>
      </c>
      <c r="Q1703" s="12">
        <f t="shared" si="3"/>
        <v>15614237</v>
      </c>
      <c r="R1703" s="9">
        <v>1998.0</v>
      </c>
      <c r="S1703" s="9">
        <v>7.6</v>
      </c>
    </row>
    <row r="1704" ht="15.75" customHeight="1">
      <c r="A1704" s="17" t="s">
        <v>342</v>
      </c>
      <c r="B1704" s="8" t="str">
        <f>IFERROR(__xludf.DUMMYFUNCTION("REGEXREPLACE(A1704, ""[^0-9a-zA-Z .'Ã]"","""")"),"Peter Chelsom")</f>
        <v>Peter Chelsom</v>
      </c>
      <c r="C1704" s="18">
        <v>122.0</v>
      </c>
      <c r="D1704" s="19">
        <v>4.9968653E7</v>
      </c>
      <c r="E1704" s="18" t="s">
        <v>89</v>
      </c>
      <c r="F1704" s="9">
        <f t="shared" si="1"/>
        <v>2</v>
      </c>
      <c r="G1704" s="18" t="s">
        <v>5852</v>
      </c>
      <c r="H1704" s="11" t="str">
        <f>IFERROR(__xludf.DUMMYFUNCTION("REGEXREPLACE(G1704, ""[^0-9a-zA-Z .'Ã]"","""")"),"Lilli Lavine")</f>
        <v>Lilli Lavine</v>
      </c>
      <c r="I1704" s="20" t="s">
        <v>5853</v>
      </c>
      <c r="J1704" s="18">
        <v>85423.0</v>
      </c>
      <c r="K1704" s="18" t="s">
        <v>5854</v>
      </c>
      <c r="L1704" s="18">
        <v>374.0</v>
      </c>
      <c r="M1704" s="18" t="s">
        <v>24</v>
      </c>
      <c r="N1704" s="18" t="s">
        <v>25</v>
      </c>
      <c r="O1704" s="19">
        <v>2.8E7</v>
      </c>
      <c r="P1704" s="10">
        <f t="shared" si="2"/>
        <v>21968653</v>
      </c>
      <c r="Q1704" s="12">
        <f t="shared" si="3"/>
        <v>0</v>
      </c>
      <c r="R1704" s="18">
        <v>2001.0</v>
      </c>
      <c r="S1704" s="18">
        <v>6.9</v>
      </c>
    </row>
    <row r="1705" ht="15.75" customHeight="1">
      <c r="A1705" s="7" t="s">
        <v>284</v>
      </c>
      <c r="B1705" s="8" t="str">
        <f>IFERROR(__xludf.DUMMYFUNCTION("REGEXREPLACE(A1705, ""[^0-9a-zA-Z .'Ã]"","""")"),"William Brent Bell")</f>
        <v>William Brent Bell</v>
      </c>
      <c r="C1705" s="9">
        <v>112.0</v>
      </c>
      <c r="D1705" s="10">
        <v>2.3078294E7</v>
      </c>
      <c r="E1705" s="9" t="s">
        <v>306</v>
      </c>
      <c r="F1705" s="9">
        <f t="shared" si="1"/>
        <v>2</v>
      </c>
      <c r="G1705" s="9" t="s">
        <v>786</v>
      </c>
      <c r="H1705" s="11" t="str">
        <f>IFERROR(__xludf.DUMMYFUNCTION("REGEXREPLACE(G1705, ""[^0-9a-zA-Z .'Ã]"","""")"),"Adam Goldberg")</f>
        <v>Adam Goldberg</v>
      </c>
      <c r="I1705" s="11" t="s">
        <v>5855</v>
      </c>
      <c r="J1705" s="9">
        <v>25870.0</v>
      </c>
      <c r="K1705" s="9" t="s">
        <v>5856</v>
      </c>
      <c r="L1705" s="9">
        <v>281.0</v>
      </c>
      <c r="M1705" s="9" t="s">
        <v>24</v>
      </c>
      <c r="N1705" s="9" t="s">
        <v>25</v>
      </c>
      <c r="O1705" s="10">
        <v>9000000.0</v>
      </c>
      <c r="P1705" s="10">
        <f t="shared" si="2"/>
        <v>14078294</v>
      </c>
      <c r="Q1705" s="12">
        <f t="shared" si="3"/>
        <v>0</v>
      </c>
      <c r="R1705" s="9">
        <v>2006.0</v>
      </c>
      <c r="S1705" s="9">
        <v>5.1</v>
      </c>
    </row>
    <row r="1706" ht="15.75" customHeight="1">
      <c r="A1706" s="29" t="s">
        <v>521</v>
      </c>
      <c r="B1706" s="8" t="str">
        <f>IFERROR(__xludf.DUMMYFUNCTION("REGEXREPLACE(A1706, ""[^0-9a-zA-Z .'Ã]"","""")"),"Phillip Noyce")</f>
        <v>Phillip Noyce</v>
      </c>
      <c r="C1706" s="30">
        <v>75.0</v>
      </c>
      <c r="D1706" s="31">
        <v>6.648809E7</v>
      </c>
      <c r="E1706" s="30" t="s">
        <v>435</v>
      </c>
      <c r="F1706" s="9">
        <f t="shared" si="1"/>
        <v>4</v>
      </c>
      <c r="G1706" s="30" t="s">
        <v>70</v>
      </c>
      <c r="H1706" s="11" t="str">
        <f>IFERROR(__xludf.DUMMYFUNCTION("REGEXREPLACE(G1706, ""[^0-9a-zA-Z .'Ã]"","""")"),"Denzel Washington")</f>
        <v>Denzel Washington</v>
      </c>
      <c r="I1706" s="32" t="s">
        <v>5857</v>
      </c>
      <c r="J1706" s="30">
        <v>120202.0</v>
      </c>
      <c r="K1706" s="30" t="s">
        <v>5858</v>
      </c>
      <c r="L1706" s="30">
        <v>397.0</v>
      </c>
      <c r="M1706" s="30" t="s">
        <v>24</v>
      </c>
      <c r="N1706" s="30" t="s">
        <v>25</v>
      </c>
      <c r="O1706" s="31">
        <v>4.8E7</v>
      </c>
      <c r="P1706" s="10">
        <f t="shared" si="2"/>
        <v>18488090</v>
      </c>
      <c r="Q1706" s="12">
        <f t="shared" si="3"/>
        <v>0</v>
      </c>
      <c r="R1706" s="30">
        <v>1999.0</v>
      </c>
      <c r="S1706" s="30">
        <v>6.7</v>
      </c>
    </row>
    <row r="1707" ht="15.75" customHeight="1">
      <c r="A1707" s="29" t="s">
        <v>5859</v>
      </c>
      <c r="B1707" s="8" t="str">
        <f>IFERROR(__xludf.DUMMYFUNCTION("REGEXREPLACE(A1707, ""[^0-9a-zA-Z .'Ã]"","""")"),"Brian Baugh")</f>
        <v>Brian Baugh</v>
      </c>
      <c r="C1707" s="30">
        <v>20.0</v>
      </c>
      <c r="D1707" s="31">
        <v>3773863.0</v>
      </c>
      <c r="E1707" s="30" t="s">
        <v>103</v>
      </c>
      <c r="F1707" s="9">
        <f t="shared" si="1"/>
        <v>1</v>
      </c>
      <c r="G1707" s="30" t="s">
        <v>5860</v>
      </c>
      <c r="H1707" s="11" t="str">
        <f>IFERROR(__xludf.DUMMYFUNCTION("REGEXREPLACE(G1707, ""[^0-9a-zA-Z .'Ã]"","""")"),"Randy Wayne")</f>
        <v>Randy Wayne</v>
      </c>
      <c r="I1707" s="32" t="s">
        <v>5861</v>
      </c>
      <c r="J1707" s="30">
        <v>4583.0</v>
      </c>
      <c r="K1707" s="30" t="s">
        <v>5862</v>
      </c>
      <c r="L1707" s="30">
        <v>55.0</v>
      </c>
      <c r="M1707" s="30" t="s">
        <v>24</v>
      </c>
      <c r="N1707" s="30" t="s">
        <v>25</v>
      </c>
      <c r="O1707" s="31">
        <v>1000000.0</v>
      </c>
      <c r="P1707" s="10">
        <f t="shared" si="2"/>
        <v>2773863</v>
      </c>
      <c r="Q1707" s="12">
        <f t="shared" si="3"/>
        <v>0</v>
      </c>
      <c r="R1707" s="30">
        <v>2009.0</v>
      </c>
      <c r="S1707" s="30">
        <v>7.1</v>
      </c>
    </row>
    <row r="1708" ht="15.75" customHeight="1">
      <c r="A1708" s="29" t="s">
        <v>31</v>
      </c>
      <c r="B1708" s="8" t="str">
        <f>IFERROR(__xludf.DUMMYFUNCTION("REGEXREPLACE(A1708, ""[^0-9a-zA-Z .'Ã]"","""")"),"Gavin O'Connor")</f>
        <v>Gavin O'Connor</v>
      </c>
      <c r="C1708" s="30">
        <v>64.0</v>
      </c>
      <c r="D1708" s="31">
        <v>1281176.0</v>
      </c>
      <c r="E1708" s="30" t="s">
        <v>454</v>
      </c>
      <c r="F1708" s="9">
        <f t="shared" si="1"/>
        <v>2</v>
      </c>
      <c r="G1708" s="30" t="s">
        <v>5863</v>
      </c>
      <c r="H1708" s="11" t="str">
        <f>IFERROR(__xludf.DUMMYFUNCTION("REGEXREPLACE(G1708, ""[^0-9a-zA-Z .'Ã]"","""")"),"Kimberly J. Brown")</f>
        <v>Kimberly J. Brown</v>
      </c>
      <c r="I1708" s="32" t="s">
        <v>5864</v>
      </c>
      <c r="J1708" s="30">
        <v>2932.0</v>
      </c>
      <c r="K1708" s="30" t="s">
        <v>5865</v>
      </c>
      <c r="L1708" s="30">
        <v>73.0</v>
      </c>
      <c r="M1708" s="30" t="s">
        <v>24</v>
      </c>
      <c r="N1708" s="30" t="s">
        <v>25</v>
      </c>
      <c r="O1708" s="31">
        <v>312000.0</v>
      </c>
      <c r="P1708" s="10">
        <f t="shared" si="2"/>
        <v>969176</v>
      </c>
      <c r="Q1708" s="12">
        <f t="shared" si="3"/>
        <v>0</v>
      </c>
      <c r="R1708" s="30">
        <v>1999.0</v>
      </c>
      <c r="S1708" s="30">
        <v>6.7</v>
      </c>
    </row>
    <row r="1709" ht="15.75" customHeight="1">
      <c r="A1709" s="13" t="s">
        <v>5625</v>
      </c>
      <c r="B1709" s="8" t="str">
        <f>IFERROR(__xludf.DUMMYFUNCTION("REGEXREPLACE(A1709, ""[^0-9a-zA-Z .'Ã]"","""")"),"Andy Fickman")</f>
        <v>Andy Fickman</v>
      </c>
      <c r="C1709" s="14">
        <v>166.0</v>
      </c>
      <c r="D1709" s="15">
        <v>6.7128202E7</v>
      </c>
      <c r="E1709" s="14" t="s">
        <v>5866</v>
      </c>
      <c r="F1709" s="9">
        <f t="shared" si="1"/>
        <v>6</v>
      </c>
      <c r="G1709" s="14" t="s">
        <v>50</v>
      </c>
      <c r="H1709" s="11" t="str">
        <f>IFERROR(__xludf.DUMMYFUNCTION("REGEXREPLACE(G1709, ""[^0-9a-zA-Z .'Ã]"","""")"),"Dwayne Johnson")</f>
        <v>Dwayne Johnson</v>
      </c>
      <c r="I1709" s="16" t="s">
        <v>5867</v>
      </c>
      <c r="J1709" s="14">
        <v>43328.0</v>
      </c>
      <c r="K1709" s="14" t="s">
        <v>5868</v>
      </c>
      <c r="L1709" s="14">
        <v>110.0</v>
      </c>
      <c r="M1709" s="14" t="s">
        <v>24</v>
      </c>
      <c r="N1709" s="14" t="s">
        <v>25</v>
      </c>
      <c r="O1709" s="15">
        <v>6.5E7</v>
      </c>
      <c r="P1709" s="10">
        <f t="shared" si="2"/>
        <v>2128202</v>
      </c>
      <c r="Q1709" s="12">
        <f t="shared" si="3"/>
        <v>0</v>
      </c>
      <c r="R1709" s="14">
        <v>2009.0</v>
      </c>
      <c r="S1709" s="14">
        <v>5.7</v>
      </c>
    </row>
    <row r="1710" ht="15.75" customHeight="1">
      <c r="A1710" s="29" t="s">
        <v>723</v>
      </c>
      <c r="B1710" s="8" t="str">
        <f>IFERROR(__xludf.DUMMYFUNCTION("REGEXREPLACE(A1710, ""[^0-9a-zA-Z .'Ã]"","""")"),"Robert Rodriguez")</f>
        <v>Robert Rodriguez</v>
      </c>
      <c r="C1710" s="30">
        <v>66.0</v>
      </c>
      <c r="D1710" s="31">
        <v>3.9177541E7</v>
      </c>
      <c r="E1710" s="30" t="s">
        <v>348</v>
      </c>
      <c r="F1710" s="9">
        <f t="shared" si="1"/>
        <v>4</v>
      </c>
      <c r="G1710" s="30" t="s">
        <v>5869</v>
      </c>
      <c r="H1710" s="11" t="str">
        <f>IFERROR(__xludf.DUMMYFUNCTION("REGEXREPLACE(G1710, ""[^0-9a-zA-Z .'Ã]"","""")"),"Taylor Lautner")</f>
        <v>Taylor Lautner</v>
      </c>
      <c r="I1710" s="32" t="s">
        <v>5870</v>
      </c>
      <c r="J1710" s="30">
        <v>20310.0</v>
      </c>
      <c r="K1710" s="30" t="s">
        <v>5871</v>
      </c>
      <c r="L1710" s="30">
        <v>177.0</v>
      </c>
      <c r="M1710" s="30" t="s">
        <v>24</v>
      </c>
      <c r="N1710" s="30" t="s">
        <v>25</v>
      </c>
      <c r="O1710" s="31">
        <v>5.0E7</v>
      </c>
      <c r="P1710" s="10">
        <f t="shared" si="2"/>
        <v>0</v>
      </c>
      <c r="Q1710" s="12">
        <f t="shared" si="3"/>
        <v>10822459</v>
      </c>
      <c r="R1710" s="30">
        <v>2005.0</v>
      </c>
      <c r="S1710" s="30">
        <v>3.5</v>
      </c>
    </row>
    <row r="1711" ht="15.75" customHeight="1">
      <c r="A1711" s="7" t="s">
        <v>277</v>
      </c>
      <c r="B1711" s="8" t="str">
        <f>IFERROR(__xludf.DUMMYFUNCTION("REGEXREPLACE(A1711, ""[^0-9a-zA-Z .'Ã]"","""")"),"Rob Cohen")</f>
        <v>Rob Cohen</v>
      </c>
      <c r="C1711" s="9">
        <v>211.0</v>
      </c>
      <c r="D1711" s="10">
        <v>2.5863915E7</v>
      </c>
      <c r="E1711" s="9" t="s">
        <v>1177</v>
      </c>
      <c r="F1711" s="9">
        <f t="shared" si="1"/>
        <v>4</v>
      </c>
      <c r="G1711" s="9" t="s">
        <v>2695</v>
      </c>
      <c r="H1711" s="11" t="str">
        <f>IFERROR(__xludf.DUMMYFUNCTION("REGEXREPLACE(G1711, ""[^0-9a-zA-Z .'Ã]"","""")"),"Cicely Tyson")</f>
        <v>Cicely Tyson</v>
      </c>
      <c r="I1711" s="11" t="s">
        <v>5872</v>
      </c>
      <c r="J1711" s="9">
        <v>28257.0</v>
      </c>
      <c r="K1711" s="9" t="s">
        <v>5873</v>
      </c>
      <c r="L1711" s="9">
        <v>151.0</v>
      </c>
      <c r="M1711" s="9" t="s">
        <v>24</v>
      </c>
      <c r="N1711" s="9" t="s">
        <v>25</v>
      </c>
      <c r="O1711" s="10">
        <v>3.5E7</v>
      </c>
      <c r="P1711" s="10">
        <f t="shared" si="2"/>
        <v>0</v>
      </c>
      <c r="Q1711" s="12">
        <f t="shared" si="3"/>
        <v>9136085</v>
      </c>
      <c r="R1711" s="9">
        <v>2012.0</v>
      </c>
      <c r="S1711" s="9">
        <v>5.1</v>
      </c>
    </row>
    <row r="1712" ht="15.75" customHeight="1">
      <c r="A1712" s="21" t="s">
        <v>5874</v>
      </c>
      <c r="B1712" s="8" t="str">
        <f>IFERROR(__xludf.DUMMYFUNCTION("REGEXREPLACE(A1712, ""[^0-9a-zA-Z .'Ã]"","""")"),"Hal Haberman")</f>
        <v>Hal Haberman</v>
      </c>
      <c r="C1712" s="22">
        <v>56.0</v>
      </c>
      <c r="D1712" s="23">
        <v>6387.0</v>
      </c>
      <c r="E1712" s="22" t="s">
        <v>2112</v>
      </c>
      <c r="F1712" s="9">
        <f t="shared" si="1"/>
        <v>3</v>
      </c>
      <c r="G1712" s="22" t="s">
        <v>2136</v>
      </c>
      <c r="H1712" s="11" t="str">
        <f>IFERROR(__xludf.DUMMYFUNCTION("REGEXREPLACE(G1712, ""[^0-9a-zA-Z .'Ã]"","""")"),"Michael Rapaport")</f>
        <v>Michael Rapaport</v>
      </c>
      <c r="I1712" s="24" t="s">
        <v>5875</v>
      </c>
      <c r="J1712" s="22">
        <v>4862.0</v>
      </c>
      <c r="K1712" s="22" t="s">
        <v>5876</v>
      </c>
      <c r="L1712" s="22">
        <v>37.0</v>
      </c>
      <c r="M1712" s="22" t="s">
        <v>24</v>
      </c>
      <c r="N1712" s="22" t="s">
        <v>25</v>
      </c>
      <c r="O1712" s="23">
        <v>1000000.0</v>
      </c>
      <c r="P1712" s="10">
        <f t="shared" si="2"/>
        <v>0</v>
      </c>
      <c r="Q1712" s="12">
        <f t="shared" si="3"/>
        <v>993613</v>
      </c>
      <c r="R1712" s="22">
        <v>2006.0</v>
      </c>
      <c r="S1712" s="22">
        <v>6.9</v>
      </c>
    </row>
    <row r="1713" ht="15.75" customHeight="1">
      <c r="A1713" s="17" t="s">
        <v>3977</v>
      </c>
      <c r="B1713" s="8" t="str">
        <f>IFERROR(__xludf.DUMMYFUNCTION("REGEXREPLACE(A1713, ""[^0-9a-zA-Z .'Ã]"","""")"),"David Lean")</f>
        <v>David Lean</v>
      </c>
      <c r="C1713" s="18">
        <v>52.0</v>
      </c>
      <c r="D1713" s="19">
        <v>2.64E7</v>
      </c>
      <c r="E1713" s="18" t="s">
        <v>5756</v>
      </c>
      <c r="F1713" s="9">
        <f t="shared" si="1"/>
        <v>3</v>
      </c>
      <c r="G1713" s="18" t="s">
        <v>5877</v>
      </c>
      <c r="H1713" s="11" t="str">
        <f>IFERROR(__xludf.DUMMYFUNCTION("REGEXREPLACE(G1713, ""[^0-9a-zA-Z .'Ã]"","""")"),"Richard Wilson")</f>
        <v>Richard Wilson</v>
      </c>
      <c r="I1713" s="20" t="s">
        <v>5878</v>
      </c>
      <c r="J1713" s="18">
        <v>12980.0</v>
      </c>
      <c r="K1713" s="18" t="s">
        <v>5879</v>
      </c>
      <c r="L1713" s="18">
        <v>89.0</v>
      </c>
      <c r="M1713" s="18" t="s">
        <v>24</v>
      </c>
      <c r="N1713" s="18" t="s">
        <v>130</v>
      </c>
      <c r="O1713" s="19">
        <v>1.6E7</v>
      </c>
      <c r="P1713" s="10">
        <f t="shared" si="2"/>
        <v>10400000</v>
      </c>
      <c r="Q1713" s="12">
        <f t="shared" si="3"/>
        <v>0</v>
      </c>
      <c r="R1713" s="18">
        <v>1984.0</v>
      </c>
      <c r="S1713" s="18">
        <v>7.4</v>
      </c>
    </row>
    <row r="1714" ht="15.75" customHeight="1">
      <c r="A1714" s="29" t="s">
        <v>5880</v>
      </c>
      <c r="B1714" s="8" t="str">
        <f>IFERROR(__xludf.DUMMYFUNCTION("REGEXREPLACE(A1714, ""[^0-9a-zA-Z .'Ã]"","""")"),"Drew Barrymore")</f>
        <v>Drew Barrymore</v>
      </c>
      <c r="C1714" s="30">
        <v>230.0</v>
      </c>
      <c r="D1714" s="31">
        <v>1.3034417E7</v>
      </c>
      <c r="E1714" s="30" t="s">
        <v>132</v>
      </c>
      <c r="F1714" s="9">
        <f t="shared" si="1"/>
        <v>2</v>
      </c>
      <c r="G1714" s="30" t="s">
        <v>5881</v>
      </c>
      <c r="H1714" s="11" t="str">
        <f>IFERROR(__xludf.DUMMYFUNCTION("REGEXREPLACE(G1714, ""[^0-9a-zA-Z .'Ã]"","""")"),"Daniel Stern")</f>
        <v>Daniel Stern</v>
      </c>
      <c r="I1714" s="32" t="s">
        <v>5882</v>
      </c>
      <c r="J1714" s="30">
        <v>55665.0</v>
      </c>
      <c r="K1714" s="30" t="s">
        <v>5883</v>
      </c>
      <c r="L1714" s="30">
        <v>118.0</v>
      </c>
      <c r="M1714" s="30" t="s">
        <v>24</v>
      </c>
      <c r="N1714" s="30" t="s">
        <v>25</v>
      </c>
      <c r="O1714" s="31">
        <v>1.5E7</v>
      </c>
      <c r="P1714" s="10">
        <f t="shared" si="2"/>
        <v>0</v>
      </c>
      <c r="Q1714" s="12">
        <f t="shared" si="3"/>
        <v>1965583</v>
      </c>
      <c r="R1714" s="30">
        <v>2009.0</v>
      </c>
      <c r="S1714" s="30">
        <v>6.9</v>
      </c>
    </row>
    <row r="1715" ht="15.75" customHeight="1">
      <c r="A1715" s="29" t="s">
        <v>5884</v>
      </c>
      <c r="B1715" s="8" t="str">
        <f>IFERROR(__xludf.DUMMYFUNCTION("REGEXREPLACE(A1715, ""[^0-9a-zA-Z .'Ã]"","""")"),"Nicole Holofcener")</f>
        <v>Nicole Holofcener</v>
      </c>
      <c r="C1715" s="30">
        <v>18.0</v>
      </c>
      <c r="D1715" s="31">
        <v>1277257.0</v>
      </c>
      <c r="E1715" s="30" t="s">
        <v>159</v>
      </c>
      <c r="F1715" s="9">
        <f t="shared" si="1"/>
        <v>3</v>
      </c>
      <c r="G1715" s="30" t="s">
        <v>5389</v>
      </c>
      <c r="H1715" s="11" t="str">
        <f>IFERROR(__xludf.DUMMYFUNCTION("REGEXREPLACE(G1715, ""[^0-9a-zA-Z .'Ã]"","""")"),"Kevin Corrigan")</f>
        <v>Kevin Corrigan</v>
      </c>
      <c r="I1715" s="32" t="s">
        <v>5885</v>
      </c>
      <c r="J1715" s="30">
        <v>2629.0</v>
      </c>
      <c r="K1715" s="30" t="s">
        <v>5886</v>
      </c>
      <c r="L1715" s="30">
        <v>32.0</v>
      </c>
      <c r="M1715" s="30" t="s">
        <v>24</v>
      </c>
      <c r="N1715" s="30" t="s">
        <v>130</v>
      </c>
      <c r="O1715" s="31">
        <v>1000000.0</v>
      </c>
      <c r="P1715" s="10">
        <f t="shared" si="2"/>
        <v>277257</v>
      </c>
      <c r="Q1715" s="12">
        <f t="shared" si="3"/>
        <v>0</v>
      </c>
      <c r="R1715" s="30">
        <v>1996.0</v>
      </c>
      <c r="S1715" s="30">
        <v>6.8</v>
      </c>
    </row>
    <row r="1716" ht="15.75" customHeight="1">
      <c r="A1716" s="7" t="s">
        <v>998</v>
      </c>
      <c r="B1716" s="8" t="str">
        <f>IFERROR(__xludf.DUMMYFUNCTION("REGEXREPLACE(A1716, ""[^0-9a-zA-Z .'Ã]"","""")"),"Peter Jackson")</f>
        <v>Peter Jackson</v>
      </c>
      <c r="C1716" s="9">
        <v>328.0</v>
      </c>
      <c r="D1716" s="10">
        <v>3.77019252E8</v>
      </c>
      <c r="E1716" s="9" t="s">
        <v>1029</v>
      </c>
      <c r="F1716" s="9">
        <f t="shared" si="1"/>
        <v>4</v>
      </c>
      <c r="G1716" s="9" t="s">
        <v>553</v>
      </c>
      <c r="H1716" s="11" t="str">
        <f>IFERROR(__xludf.DUMMYFUNCTION("REGEXREPLACE(G1716, ""[^0-9a-zA-Z .'Ã]"","""")"),"Orlando Bloom")</f>
        <v>Orlando Bloom</v>
      </c>
      <c r="I1716" s="11" t="s">
        <v>5887</v>
      </c>
      <c r="J1716" s="9">
        <v>1215718.0</v>
      </c>
      <c r="K1716" s="9" t="s">
        <v>5888</v>
      </c>
      <c r="L1716" s="9">
        <v>3189.0</v>
      </c>
      <c r="M1716" s="9" t="s">
        <v>24</v>
      </c>
      <c r="N1716" s="9" t="s">
        <v>25</v>
      </c>
      <c r="O1716" s="10">
        <v>9.4E7</v>
      </c>
      <c r="P1716" s="10">
        <f t="shared" si="2"/>
        <v>283019252</v>
      </c>
      <c r="Q1716" s="12">
        <f t="shared" si="3"/>
        <v>0</v>
      </c>
      <c r="R1716" s="9">
        <v>2003.0</v>
      </c>
      <c r="S1716" s="9">
        <v>8.9</v>
      </c>
    </row>
    <row r="1717" ht="15.75" customHeight="1">
      <c r="A1717" s="17" t="s">
        <v>2097</v>
      </c>
      <c r="B1717" s="8" t="str">
        <f>IFERROR(__xludf.DUMMYFUNCTION("REGEXREPLACE(A1717, ""[^0-9a-zA-Z .'Ã]"","""")"),"Dennis Dugan")</f>
        <v>Dennis Dugan</v>
      </c>
      <c r="C1717" s="18">
        <v>179.0</v>
      </c>
      <c r="D1717" s="19">
        <v>1.62001186E8</v>
      </c>
      <c r="E1717" s="18" t="s">
        <v>137</v>
      </c>
      <c r="F1717" s="9">
        <f t="shared" si="1"/>
        <v>1</v>
      </c>
      <c r="G1717" s="18" t="s">
        <v>453</v>
      </c>
      <c r="H1717" s="11" t="str">
        <f>IFERROR(__xludf.DUMMYFUNCTION("REGEXREPLACE(G1717, ""[^0-9a-zA-Z .'Ã]"","""")"),"Steve Buscemi")</f>
        <v>Steve Buscemi</v>
      </c>
      <c r="I1717" s="20" t="s">
        <v>5889</v>
      </c>
      <c r="J1717" s="18">
        <v>181443.0</v>
      </c>
      <c r="K1717" s="18" t="s">
        <v>5890</v>
      </c>
      <c r="L1717" s="18">
        <v>311.0</v>
      </c>
      <c r="M1717" s="18" t="s">
        <v>24</v>
      </c>
      <c r="N1717" s="18" t="s">
        <v>25</v>
      </c>
      <c r="O1717" s="19">
        <v>8.0E7</v>
      </c>
      <c r="P1717" s="10">
        <f t="shared" si="2"/>
        <v>82001186</v>
      </c>
      <c r="Q1717" s="12">
        <f t="shared" si="3"/>
        <v>0</v>
      </c>
      <c r="R1717" s="18">
        <v>2010.0</v>
      </c>
      <c r="S1717" s="18">
        <v>6.0</v>
      </c>
    </row>
    <row r="1718" ht="15.75" customHeight="1">
      <c r="A1718" s="7" t="s">
        <v>5891</v>
      </c>
      <c r="B1718" s="8" t="str">
        <f>IFERROR(__xludf.DUMMYFUNCTION("REGEXREPLACE(A1718, ""[^0-9a-zA-Z .'Ã]"","""")"),"Angela Robinson")</f>
        <v>Angela Robinson</v>
      </c>
      <c r="C1718" s="9">
        <v>50.0</v>
      </c>
      <c r="D1718" s="10">
        <v>96793.0</v>
      </c>
      <c r="E1718" s="9" t="s">
        <v>219</v>
      </c>
      <c r="F1718" s="9">
        <f t="shared" si="1"/>
        <v>3</v>
      </c>
      <c r="G1718" s="9" t="s">
        <v>725</v>
      </c>
      <c r="H1718" s="11" t="str">
        <f>IFERROR(__xludf.DUMMYFUNCTION("REGEXREPLACE(G1718, ""[^0-9a-zA-Z .'Ã]"","""")"),"Jordana Brewster")</f>
        <v>Jordana Brewster</v>
      </c>
      <c r="I1718" s="11" t="s">
        <v>5892</v>
      </c>
      <c r="J1718" s="9">
        <v>12188.0</v>
      </c>
      <c r="K1718" s="9" t="s">
        <v>5893</v>
      </c>
      <c r="L1718" s="9">
        <v>135.0</v>
      </c>
      <c r="M1718" s="9" t="s">
        <v>24</v>
      </c>
      <c r="N1718" s="9" t="s">
        <v>25</v>
      </c>
      <c r="O1718" s="10">
        <v>3500000.0</v>
      </c>
      <c r="P1718" s="10">
        <f t="shared" si="2"/>
        <v>0</v>
      </c>
      <c r="Q1718" s="12">
        <f t="shared" si="3"/>
        <v>3403207</v>
      </c>
      <c r="R1718" s="9">
        <v>2004.0</v>
      </c>
      <c r="S1718" s="9">
        <v>5.3</v>
      </c>
    </row>
    <row r="1719" ht="15.75" customHeight="1">
      <c r="A1719" s="7" t="s">
        <v>2505</v>
      </c>
      <c r="B1719" s="8" t="str">
        <f>IFERROR(__xludf.DUMMYFUNCTION("REGEXREPLACE(A1719, ""[^0-9a-zA-Z .'Ã]"","""")"),"Tony Scott")</f>
        <v>Tony Scott</v>
      </c>
      <c r="C1719" s="9">
        <v>50.0</v>
      </c>
      <c r="D1719" s="10">
        <v>1.53665036E8</v>
      </c>
      <c r="E1719" s="9" t="s">
        <v>790</v>
      </c>
      <c r="F1719" s="9">
        <f t="shared" si="1"/>
        <v>4</v>
      </c>
      <c r="G1719" s="9" t="s">
        <v>5894</v>
      </c>
      <c r="H1719" s="11" t="str">
        <f>IFERROR(__xludf.DUMMYFUNCTION("REGEXREPLACE(G1719, ""[^0-9a-zA-Z .'Ã]"","""")"),"Dean Stockwell")</f>
        <v>Dean Stockwell</v>
      </c>
      <c r="I1719" s="11" t="s">
        <v>5895</v>
      </c>
      <c r="J1719" s="9">
        <v>84824.0</v>
      </c>
      <c r="K1719" s="9" t="s">
        <v>5896</v>
      </c>
      <c r="L1719" s="9">
        <v>95.0</v>
      </c>
      <c r="M1719" s="9" t="s">
        <v>24</v>
      </c>
      <c r="N1719" s="9" t="s">
        <v>25</v>
      </c>
      <c r="O1719" s="10">
        <v>2.8E7</v>
      </c>
      <c r="P1719" s="10">
        <f t="shared" si="2"/>
        <v>125665036</v>
      </c>
      <c r="Q1719" s="12">
        <f t="shared" si="3"/>
        <v>0</v>
      </c>
      <c r="R1719" s="9">
        <v>1987.0</v>
      </c>
      <c r="S1719" s="9">
        <v>6.4</v>
      </c>
    </row>
    <row r="1720" ht="15.75" customHeight="1">
      <c r="A1720" s="7" t="s">
        <v>4606</v>
      </c>
      <c r="B1720" s="8" t="str">
        <f>IFERROR(__xludf.DUMMYFUNCTION("REGEXREPLACE(A1720, ""[^0-9a-zA-Z .'Ã]"","""")"),"Zack Snyder")</f>
        <v>Zack Snyder</v>
      </c>
      <c r="C1720" s="9">
        <v>673.0</v>
      </c>
      <c r="D1720" s="10">
        <v>3.30249062E8</v>
      </c>
      <c r="E1720" s="9" t="s">
        <v>185</v>
      </c>
      <c r="F1720" s="9">
        <f t="shared" si="1"/>
        <v>3</v>
      </c>
      <c r="G1720" s="9" t="s">
        <v>1307</v>
      </c>
      <c r="H1720" s="11" t="str">
        <f>IFERROR(__xludf.DUMMYFUNCTION("REGEXREPLACE(G1720, ""[^0-9a-zA-Z .'Ã]"","""")"),"Henry Cavill")</f>
        <v>Henry Cavill</v>
      </c>
      <c r="I1720" s="11" t="s">
        <v>5897</v>
      </c>
      <c r="J1720" s="9">
        <v>371639.0</v>
      </c>
      <c r="K1720" s="9" t="s">
        <v>5898</v>
      </c>
      <c r="L1720" s="9">
        <v>3018.0</v>
      </c>
      <c r="M1720" s="9" t="s">
        <v>24</v>
      </c>
      <c r="N1720" s="9" t="s">
        <v>25</v>
      </c>
      <c r="O1720" s="10">
        <v>2.5E8</v>
      </c>
      <c r="P1720" s="10">
        <f t="shared" si="2"/>
        <v>80249062</v>
      </c>
      <c r="Q1720" s="12">
        <f t="shared" si="3"/>
        <v>0</v>
      </c>
      <c r="R1720" s="9">
        <v>2016.0</v>
      </c>
      <c r="S1720" s="9">
        <v>6.9</v>
      </c>
    </row>
    <row r="1721" ht="15.75" customHeight="1">
      <c r="A1721" s="21" t="s">
        <v>5899</v>
      </c>
      <c r="B1721" s="8" t="str">
        <f>IFERROR(__xludf.DUMMYFUNCTION("REGEXREPLACE(A1721, ""[^0-9a-zA-Z .'Ã]"","""")"),"C. Jay Cox")</f>
        <v>C. Jay Cox</v>
      </c>
      <c r="C1721" s="22">
        <v>9.0</v>
      </c>
      <c r="D1721" s="23">
        <v>31937.0</v>
      </c>
      <c r="E1721" s="22" t="s">
        <v>89</v>
      </c>
      <c r="F1721" s="9">
        <f t="shared" si="1"/>
        <v>2</v>
      </c>
      <c r="G1721" s="22" t="s">
        <v>5900</v>
      </c>
      <c r="H1721" s="11" t="str">
        <f>IFERROR(__xludf.DUMMYFUNCTION("REGEXREPLACE(G1721, ""[^0-9a-zA-Z .'Ã]"","""")"),"Tori Spelling")</f>
        <v>Tori Spelling</v>
      </c>
      <c r="I1721" s="24" t="s">
        <v>5901</v>
      </c>
      <c r="J1721" s="22">
        <v>1358.0</v>
      </c>
      <c r="K1721" s="22" t="s">
        <v>5902</v>
      </c>
      <c r="L1721" s="22">
        <v>10.0</v>
      </c>
      <c r="M1721" s="22" t="s">
        <v>24</v>
      </c>
      <c r="N1721" s="22" t="s">
        <v>25</v>
      </c>
      <c r="O1721" s="23">
        <v>500000.0</v>
      </c>
      <c r="P1721" s="10">
        <f t="shared" si="2"/>
        <v>0</v>
      </c>
      <c r="Q1721" s="12">
        <f t="shared" si="3"/>
        <v>468063</v>
      </c>
      <c r="R1721" s="22">
        <v>2007.0</v>
      </c>
      <c r="S1721" s="22">
        <v>5.7</v>
      </c>
    </row>
    <row r="1722" ht="15.75" customHeight="1">
      <c r="A1722" s="21" t="s">
        <v>147</v>
      </c>
      <c r="B1722" s="8" t="str">
        <f>IFERROR(__xludf.DUMMYFUNCTION("REGEXREPLACE(A1722, ""[^0-9a-zA-Z .'Ã]"","""")"),"Wes Craven")</f>
        <v>Wes Craven</v>
      </c>
      <c r="C1722" s="22">
        <v>420.0</v>
      </c>
      <c r="D1722" s="23">
        <v>3.8176892E7</v>
      </c>
      <c r="E1722" s="22" t="s">
        <v>565</v>
      </c>
      <c r="F1722" s="9">
        <f t="shared" si="1"/>
        <v>2</v>
      </c>
      <c r="G1722" s="22" t="s">
        <v>5903</v>
      </c>
      <c r="H1722" s="11" t="str">
        <f>IFERROR(__xludf.DUMMYFUNCTION("REGEXREPLACE(G1722, ""[^0-9a-zA-Z .'Ã]"","""")"),"Alison Brie")</f>
        <v>Alison Brie</v>
      </c>
      <c r="I1722" s="24" t="s">
        <v>5904</v>
      </c>
      <c r="J1722" s="22">
        <v>104119.0</v>
      </c>
      <c r="K1722" s="22" t="s">
        <v>5905</v>
      </c>
      <c r="L1722" s="22">
        <v>518.0</v>
      </c>
      <c r="M1722" s="22" t="s">
        <v>24</v>
      </c>
      <c r="N1722" s="22" t="s">
        <v>25</v>
      </c>
      <c r="O1722" s="23">
        <v>4.0E7</v>
      </c>
      <c r="P1722" s="10">
        <f t="shared" si="2"/>
        <v>0</v>
      </c>
      <c r="Q1722" s="12">
        <f t="shared" si="3"/>
        <v>1823108</v>
      </c>
      <c r="R1722" s="22">
        <v>2011.0</v>
      </c>
      <c r="S1722" s="22">
        <v>6.2</v>
      </c>
    </row>
    <row r="1723" ht="15.75" customHeight="1">
      <c r="A1723" s="21" t="s">
        <v>676</v>
      </c>
      <c r="B1723" s="8" t="str">
        <f>IFERROR(__xludf.DUMMYFUNCTION("REGEXREPLACE(A1723, ""[^0-9a-zA-Z .'Ã]"","""")"),"Stephen Herek")</f>
        <v>Stephen Herek</v>
      </c>
      <c r="C1723" s="22">
        <v>81.0</v>
      </c>
      <c r="D1723" s="23">
        <v>4.0485039E7</v>
      </c>
      <c r="E1723" s="22" t="s">
        <v>5906</v>
      </c>
      <c r="F1723" s="9">
        <f t="shared" si="1"/>
        <v>4</v>
      </c>
      <c r="G1723" s="22" t="s">
        <v>1170</v>
      </c>
      <c r="H1723" s="11" t="str">
        <f>IFERROR(__xludf.DUMMYFUNCTION("REGEXREPLACE(G1723, ""[^0-9a-zA-Z .'Ã]"","""")"),"Keanu Reeves")</f>
        <v>Keanu Reeves</v>
      </c>
      <c r="I1723" s="24" t="s">
        <v>5907</v>
      </c>
      <c r="J1723" s="22">
        <v>85362.0</v>
      </c>
      <c r="K1723" s="22" t="s">
        <v>5908</v>
      </c>
      <c r="L1723" s="22">
        <v>181.0</v>
      </c>
      <c r="M1723" s="22" t="s">
        <v>24</v>
      </c>
      <c r="N1723" s="22" t="s">
        <v>25</v>
      </c>
      <c r="O1723" s="23">
        <v>1.0E7</v>
      </c>
      <c r="P1723" s="10">
        <f t="shared" si="2"/>
        <v>30485039</v>
      </c>
      <c r="Q1723" s="12">
        <f t="shared" si="3"/>
        <v>0</v>
      </c>
      <c r="R1723" s="22">
        <v>1989.0</v>
      </c>
      <c r="S1723" s="22">
        <v>6.9</v>
      </c>
    </row>
    <row r="1724" ht="15.75" customHeight="1">
      <c r="A1724" s="17" t="s">
        <v>2949</v>
      </c>
      <c r="B1724" s="8" t="str">
        <f>IFERROR(__xludf.DUMMYFUNCTION("REGEXREPLACE(A1724, ""[^0-9a-zA-Z .'Ã]"","""")"),"Judd Apatow")</f>
        <v>Judd Apatow</v>
      </c>
      <c r="C1724" s="18">
        <v>251.0</v>
      </c>
      <c r="D1724" s="19">
        <v>1.48734225E8</v>
      </c>
      <c r="E1724" s="18" t="s">
        <v>89</v>
      </c>
      <c r="F1724" s="9">
        <f t="shared" si="1"/>
        <v>2</v>
      </c>
      <c r="G1724" s="18" t="s">
        <v>1796</v>
      </c>
      <c r="H1724" s="11" t="str">
        <f>IFERROR(__xludf.DUMMYFUNCTION("REGEXREPLACE(G1724, ""[^0-9a-zA-Z .'Ã]"","""")"),"Harold Ramis")</f>
        <v>Harold Ramis</v>
      </c>
      <c r="I1724" s="20" t="s">
        <v>5909</v>
      </c>
      <c r="J1724" s="18">
        <v>298590.0</v>
      </c>
      <c r="K1724" s="18" t="s">
        <v>5910</v>
      </c>
      <c r="L1724" s="18">
        <v>559.0</v>
      </c>
      <c r="M1724" s="18" t="s">
        <v>24</v>
      </c>
      <c r="N1724" s="18" t="s">
        <v>25</v>
      </c>
      <c r="O1724" s="19">
        <v>3.0E7</v>
      </c>
      <c r="P1724" s="10">
        <f t="shared" si="2"/>
        <v>118734225</v>
      </c>
      <c r="Q1724" s="12">
        <f t="shared" si="3"/>
        <v>0</v>
      </c>
      <c r="R1724" s="18">
        <v>2007.0</v>
      </c>
      <c r="S1724" s="18">
        <v>7.0</v>
      </c>
    </row>
    <row r="1725" ht="15.75" customHeight="1">
      <c r="A1725" s="25" t="s">
        <v>2294</v>
      </c>
      <c r="B1725" s="8" t="str">
        <f>IFERROR(__xludf.DUMMYFUNCTION("REGEXREPLACE(A1725, ""[^0-9a-zA-Z .'Ã]"","""")"),"Larry Charles")</f>
        <v>Larry Charles</v>
      </c>
      <c r="C1725" s="26">
        <v>343.0</v>
      </c>
      <c r="D1725" s="27">
        <v>1.28505958E8</v>
      </c>
      <c r="E1725" s="26" t="s">
        <v>137</v>
      </c>
      <c r="F1725" s="9">
        <f t="shared" si="1"/>
        <v>1</v>
      </c>
      <c r="G1725" s="26" t="s">
        <v>5911</v>
      </c>
      <c r="H1725" s="11" t="str">
        <f>IFERROR(__xludf.DUMMYFUNCTION("REGEXREPLACE(G1725, ""[^0-9a-zA-Z .'Ã]"","""")"),"Luenell")</f>
        <v>Luenell</v>
      </c>
      <c r="I1725" s="28" t="s">
        <v>5912</v>
      </c>
      <c r="J1725" s="26">
        <v>297014.0</v>
      </c>
      <c r="K1725" s="26" t="s">
        <v>5913</v>
      </c>
      <c r="L1725" s="26">
        <v>1198.0</v>
      </c>
      <c r="M1725" s="26" t="s">
        <v>24</v>
      </c>
      <c r="N1725" s="26" t="s">
        <v>25</v>
      </c>
      <c r="O1725" s="27">
        <v>1.8E7</v>
      </c>
      <c r="P1725" s="10">
        <f t="shared" si="2"/>
        <v>110505958</v>
      </c>
      <c r="Q1725" s="12">
        <f t="shared" si="3"/>
        <v>0</v>
      </c>
      <c r="R1725" s="26">
        <v>2006.0</v>
      </c>
      <c r="S1725" s="26">
        <v>7.3</v>
      </c>
    </row>
    <row r="1726" ht="15.75" customHeight="1">
      <c r="A1726" s="7" t="s">
        <v>1940</v>
      </c>
      <c r="B1726" s="8" t="str">
        <f>IFERROR(__xludf.DUMMYFUNCTION("REGEXREPLACE(A1726, ""[^0-9a-zA-Z .'Ã]"","""")"),"Stephen Daldry")</f>
        <v>Stephen Daldry</v>
      </c>
      <c r="C1726" s="9">
        <v>299.0</v>
      </c>
      <c r="D1726" s="10">
        <v>3.4180954E7</v>
      </c>
      <c r="E1726" s="9" t="s">
        <v>232</v>
      </c>
      <c r="F1726" s="9">
        <f t="shared" si="1"/>
        <v>2</v>
      </c>
      <c r="G1726" s="9" t="s">
        <v>777</v>
      </c>
      <c r="H1726" s="11" t="str">
        <f>IFERROR(__xludf.DUMMYFUNCTION("REGEXREPLACE(G1726, ""[^0-9a-zA-Z .'Ã]"","""")"),"Kate Winslet")</f>
        <v>Kate Winslet</v>
      </c>
      <c r="I1726" s="11" t="s">
        <v>5914</v>
      </c>
      <c r="J1726" s="9">
        <v>189812.0</v>
      </c>
      <c r="K1726" s="9" t="s">
        <v>5915</v>
      </c>
      <c r="L1726" s="9">
        <v>370.0</v>
      </c>
      <c r="M1726" s="9" t="s">
        <v>24</v>
      </c>
      <c r="N1726" s="9" t="s">
        <v>25</v>
      </c>
      <c r="O1726" s="10">
        <v>3.2E7</v>
      </c>
      <c r="P1726" s="10">
        <f t="shared" si="2"/>
        <v>2180954</v>
      </c>
      <c r="Q1726" s="12">
        <f t="shared" si="3"/>
        <v>0</v>
      </c>
      <c r="R1726" s="9">
        <v>2008.0</v>
      </c>
      <c r="S1726" s="9">
        <v>7.6</v>
      </c>
    </row>
    <row r="1727" ht="15.75" customHeight="1">
      <c r="A1727" s="17" t="s">
        <v>4064</v>
      </c>
      <c r="B1727" s="8" t="str">
        <f>IFERROR(__xludf.DUMMYFUNCTION("REGEXREPLACE(A1727, ""[^0-9a-zA-Z .'Ã]"","""")"),"Edward Burns")</f>
        <v>Edward Burns</v>
      </c>
      <c r="C1727" s="18">
        <v>36.0</v>
      </c>
      <c r="D1727" s="19">
        <v>1.02466E7</v>
      </c>
      <c r="E1727" s="18" t="s">
        <v>159</v>
      </c>
      <c r="F1727" s="9">
        <f t="shared" si="1"/>
        <v>3</v>
      </c>
      <c r="G1727" s="18" t="s">
        <v>5916</v>
      </c>
      <c r="H1727" s="11" t="str">
        <f>IFERROR(__xludf.DUMMYFUNCTION("REGEXREPLACE(G1727, ""[^0-9a-zA-Z .'Ã]"","""")"),"Shari Albert")</f>
        <v>Shari Albert</v>
      </c>
      <c r="I1727" s="20" t="s">
        <v>5917</v>
      </c>
      <c r="J1727" s="18">
        <v>6375.0</v>
      </c>
      <c r="K1727" s="18" t="s">
        <v>5918</v>
      </c>
      <c r="L1727" s="18">
        <v>36.0</v>
      </c>
      <c r="M1727" s="18" t="s">
        <v>24</v>
      </c>
      <c r="N1727" s="18" t="s">
        <v>25</v>
      </c>
      <c r="O1727" s="19">
        <v>25000.0</v>
      </c>
      <c r="P1727" s="10">
        <f t="shared" si="2"/>
        <v>10221600</v>
      </c>
      <c r="Q1727" s="12">
        <f t="shared" si="3"/>
        <v>0</v>
      </c>
      <c r="R1727" s="18">
        <v>1995.0</v>
      </c>
      <c r="S1727" s="18">
        <v>6.6</v>
      </c>
    </row>
    <row r="1728" ht="15.75" customHeight="1">
      <c r="A1728" s="29" t="s">
        <v>2997</v>
      </c>
      <c r="B1728" s="8" t="str">
        <f>IFERROR(__xludf.DUMMYFUNCTION("REGEXREPLACE(A1728, ""[^0-9a-zA-Z .'Ã]"","""")"),"Chris Columbus")</f>
        <v>Chris Columbus</v>
      </c>
      <c r="C1728" s="30">
        <v>57.0</v>
      </c>
      <c r="D1728" s="31">
        <v>2.192E8</v>
      </c>
      <c r="E1728" s="30" t="s">
        <v>2079</v>
      </c>
      <c r="F1728" s="9">
        <f t="shared" si="1"/>
        <v>4</v>
      </c>
      <c r="G1728" s="30" t="s">
        <v>673</v>
      </c>
      <c r="H1728" s="11" t="str">
        <f>IFERROR(__xludf.DUMMYFUNCTION("REGEXREPLACE(G1728, ""[^0-9a-zA-Z .'Ã]"","""")"),"Robin Williams")</f>
        <v>Robin Williams</v>
      </c>
      <c r="I1728" s="32" t="s">
        <v>5919</v>
      </c>
      <c r="J1728" s="30">
        <v>181380.0</v>
      </c>
      <c r="K1728" s="30" t="s">
        <v>5920</v>
      </c>
      <c r="L1728" s="30">
        <v>223.0</v>
      </c>
      <c r="M1728" s="30" t="s">
        <v>24</v>
      </c>
      <c r="N1728" s="30" t="s">
        <v>25</v>
      </c>
      <c r="O1728" s="31">
        <v>2.5E7</v>
      </c>
      <c r="P1728" s="10">
        <f t="shared" si="2"/>
        <v>194200000</v>
      </c>
      <c r="Q1728" s="12">
        <f t="shared" si="3"/>
        <v>0</v>
      </c>
      <c r="R1728" s="30">
        <v>1993.0</v>
      </c>
      <c r="S1728" s="30">
        <v>6.9</v>
      </c>
    </row>
    <row r="1729" ht="15.75" customHeight="1">
      <c r="A1729" s="7" t="s">
        <v>5921</v>
      </c>
      <c r="B1729" s="8" t="str">
        <f>IFERROR(__xludf.DUMMYFUNCTION("REGEXREPLACE(A1729, ""[^0-9a-zA-Z .'Ã]"","""")"),"Oren Peli")</f>
        <v>Oren Peli</v>
      </c>
      <c r="C1729" s="9">
        <v>409.0</v>
      </c>
      <c r="D1729" s="10">
        <v>1.07917283E8</v>
      </c>
      <c r="E1729" s="9" t="s">
        <v>148</v>
      </c>
      <c r="F1729" s="9">
        <f t="shared" si="1"/>
        <v>1</v>
      </c>
      <c r="G1729" s="9" t="s">
        <v>5922</v>
      </c>
      <c r="H1729" s="11" t="str">
        <f>IFERROR(__xludf.DUMMYFUNCTION("REGEXREPLACE(G1729, ""[^0-9a-zA-Z .'Ã]"","""")"),"Micah Sloat")</f>
        <v>Micah Sloat</v>
      </c>
      <c r="I1729" s="11" t="s">
        <v>5923</v>
      </c>
      <c r="J1729" s="9">
        <v>184824.0</v>
      </c>
      <c r="K1729" s="9" t="s">
        <v>5924</v>
      </c>
      <c r="L1729" s="9">
        <v>1189.0</v>
      </c>
      <c r="M1729" s="9" t="s">
        <v>24</v>
      </c>
      <c r="N1729" s="9" t="s">
        <v>25</v>
      </c>
      <c r="O1729" s="10">
        <v>15000.0</v>
      </c>
      <c r="P1729" s="10">
        <f t="shared" si="2"/>
        <v>107902283</v>
      </c>
      <c r="Q1729" s="12">
        <f t="shared" si="3"/>
        <v>0</v>
      </c>
      <c r="R1729" s="9">
        <v>2007.0</v>
      </c>
      <c r="S1729" s="9">
        <v>6.3</v>
      </c>
    </row>
    <row r="1730" ht="15.75" customHeight="1">
      <c r="A1730" s="7" t="s">
        <v>5925</v>
      </c>
      <c r="B1730" s="8" t="str">
        <f>IFERROR(__xludf.DUMMYFUNCTION("REGEXREPLACE(A1730, ""[^0-9a-zA-Z .'Ã]"","""")"),"Daniel Stamm")</f>
        <v>Daniel Stamm</v>
      </c>
      <c r="C1730" s="9">
        <v>311.0</v>
      </c>
      <c r="D1730" s="10">
        <v>4.0990055E7</v>
      </c>
      <c r="E1730" s="9" t="s">
        <v>1840</v>
      </c>
      <c r="F1730" s="9">
        <f t="shared" si="1"/>
        <v>3</v>
      </c>
      <c r="G1730" s="9" t="s">
        <v>5926</v>
      </c>
      <c r="H1730" s="11" t="str">
        <f>IFERROR(__xludf.DUMMYFUNCTION("REGEXREPLACE(G1730, ""[^0-9a-zA-Z .'Ã]"","""")"),"Caleb Landry Jones")</f>
        <v>Caleb Landry Jones</v>
      </c>
      <c r="I1730" s="11" t="s">
        <v>5927</v>
      </c>
      <c r="J1730" s="9">
        <v>41509.0</v>
      </c>
      <c r="K1730" s="9" t="s">
        <v>5928</v>
      </c>
      <c r="L1730" s="9">
        <v>300.0</v>
      </c>
      <c r="M1730" s="9" t="s">
        <v>24</v>
      </c>
      <c r="N1730" s="9" t="s">
        <v>608</v>
      </c>
      <c r="O1730" s="10">
        <v>1800000.0</v>
      </c>
      <c r="P1730" s="10">
        <f t="shared" si="2"/>
        <v>39190055</v>
      </c>
      <c r="Q1730" s="12">
        <f t="shared" si="3"/>
        <v>0</v>
      </c>
      <c r="R1730" s="9">
        <v>2010.0</v>
      </c>
      <c r="S1730" s="9">
        <v>5.6</v>
      </c>
    </row>
    <row r="1731" ht="15.75" customHeight="1">
      <c r="A1731" s="7" t="s">
        <v>1091</v>
      </c>
      <c r="B1731" s="8" t="str">
        <f>IFERROR(__xludf.DUMMYFUNCTION("REGEXREPLACE(A1731, ""[^0-9a-zA-Z .'Ã]"","""")"),"Brian Levant")</f>
        <v>Brian Levant</v>
      </c>
      <c r="C1731" s="9">
        <v>75.0</v>
      </c>
      <c r="D1731" s="10">
        <v>8.2301521E7</v>
      </c>
      <c r="E1731" s="9" t="s">
        <v>5929</v>
      </c>
      <c r="F1731" s="9">
        <f t="shared" si="1"/>
        <v>4</v>
      </c>
      <c r="G1731" s="9" t="s">
        <v>1215</v>
      </c>
      <c r="H1731" s="11" t="str">
        <f>IFERROR(__xludf.DUMMYFUNCTION("REGEXREPLACE(G1731, ""[^0-9a-zA-Z .'Ã]"","""")"),"Nia Long")</f>
        <v>Nia Long</v>
      </c>
      <c r="I1731" s="11" t="s">
        <v>5930</v>
      </c>
      <c r="J1731" s="9">
        <v>22679.0</v>
      </c>
      <c r="K1731" s="9" t="s">
        <v>5931</v>
      </c>
      <c r="L1731" s="9">
        <v>149.0</v>
      </c>
      <c r="M1731" s="9" t="s">
        <v>24</v>
      </c>
      <c r="N1731" s="9" t="s">
        <v>25</v>
      </c>
      <c r="O1731" s="10">
        <v>3.2E7</v>
      </c>
      <c r="P1731" s="10">
        <f t="shared" si="2"/>
        <v>50301521</v>
      </c>
      <c r="Q1731" s="12">
        <f t="shared" si="3"/>
        <v>0</v>
      </c>
      <c r="R1731" s="9">
        <v>2005.0</v>
      </c>
      <c r="S1731" s="9">
        <v>4.6</v>
      </c>
    </row>
    <row r="1732" ht="15.75" customHeight="1">
      <c r="A1732" s="7" t="s">
        <v>5932</v>
      </c>
      <c r="B1732" s="8" t="str">
        <f>IFERROR(__xludf.DUMMYFUNCTION("REGEXREPLACE(A1732, ""[^0-9a-zA-Z .'Ã]"","""")"),"Joseph L. Mankiewicz")</f>
        <v>Joseph L. Mankiewicz</v>
      </c>
      <c r="C1732" s="9">
        <v>72.0</v>
      </c>
      <c r="D1732" s="10">
        <v>5.775E7</v>
      </c>
      <c r="E1732" s="9" t="s">
        <v>69</v>
      </c>
      <c r="F1732" s="9">
        <f t="shared" si="1"/>
        <v>4</v>
      </c>
      <c r="G1732" s="9" t="s">
        <v>3626</v>
      </c>
      <c r="H1732" s="11" t="str">
        <f>IFERROR(__xludf.DUMMYFUNCTION("REGEXREPLACE(G1732, ""[^0-9a-zA-Z .'Ã]"","""")"),"Martin Landau")</f>
        <v>Martin Landau</v>
      </c>
      <c r="I1732" s="11" t="s">
        <v>5933</v>
      </c>
      <c r="J1732" s="9">
        <v>21554.0</v>
      </c>
      <c r="K1732" s="9" t="s">
        <v>5934</v>
      </c>
      <c r="L1732" s="9">
        <v>192.0</v>
      </c>
      <c r="M1732" s="9" t="s">
        <v>24</v>
      </c>
      <c r="N1732" s="9" t="s">
        <v>130</v>
      </c>
      <c r="O1732" s="10">
        <v>3.1115E7</v>
      </c>
      <c r="P1732" s="10">
        <f t="shared" si="2"/>
        <v>26635000</v>
      </c>
      <c r="Q1732" s="12">
        <f t="shared" si="3"/>
        <v>0</v>
      </c>
      <c r="R1732" s="9">
        <v>1963.0</v>
      </c>
      <c r="S1732" s="9">
        <v>7.0</v>
      </c>
    </row>
    <row r="1733" ht="15.75" customHeight="1">
      <c r="A1733" s="17" t="s">
        <v>5935</v>
      </c>
      <c r="B1733" s="8" t="str">
        <f>IFERROR(__xludf.DUMMYFUNCTION("REGEXREPLACE(A1733, ""[^0-9a-zA-Z .'Ã]"","""")"),"John Wells")</f>
        <v>John Wells</v>
      </c>
      <c r="C1733" s="18">
        <v>322.0</v>
      </c>
      <c r="D1733" s="19">
        <v>3.77384E7</v>
      </c>
      <c r="E1733" s="18" t="s">
        <v>103</v>
      </c>
      <c r="F1733" s="9">
        <f t="shared" si="1"/>
        <v>1</v>
      </c>
      <c r="G1733" s="18" t="s">
        <v>558</v>
      </c>
      <c r="H1733" s="11" t="str">
        <f>IFERROR(__xludf.DUMMYFUNCTION("REGEXREPLACE(G1733, ""[^0-9a-zA-Z .'Ã]"","""")"),"Benedict Cumberbatch")</f>
        <v>Benedict Cumberbatch</v>
      </c>
      <c r="I1733" s="20" t="s">
        <v>5936</v>
      </c>
      <c r="J1733" s="18">
        <v>67797.0</v>
      </c>
      <c r="K1733" s="18" t="s">
        <v>5937</v>
      </c>
      <c r="L1733" s="18">
        <v>285.0</v>
      </c>
      <c r="M1733" s="18" t="s">
        <v>24</v>
      </c>
      <c r="N1733" s="18" t="s">
        <v>25</v>
      </c>
      <c r="O1733" s="19">
        <v>2.5E7</v>
      </c>
      <c r="P1733" s="10">
        <f t="shared" si="2"/>
        <v>12738400</v>
      </c>
      <c r="Q1733" s="12">
        <f t="shared" si="3"/>
        <v>0</v>
      </c>
      <c r="R1733" s="18">
        <v>2013.0</v>
      </c>
      <c r="S1733" s="18">
        <v>7.3</v>
      </c>
    </row>
    <row r="1734" ht="15.75" customHeight="1">
      <c r="A1734" s="21" t="s">
        <v>5938</v>
      </c>
      <c r="B1734" s="8" t="str">
        <f>IFERROR(__xludf.DUMMYFUNCTION("REGEXREPLACE(A1734, ""[^0-9a-zA-Z .'Ã]"","""")"),"Joseph Kosinski")</f>
        <v>Joseph Kosinski</v>
      </c>
      <c r="C1734" s="22">
        <v>469.0</v>
      </c>
      <c r="D1734" s="23">
        <v>1.72051787E8</v>
      </c>
      <c r="E1734" s="22" t="s">
        <v>185</v>
      </c>
      <c r="F1734" s="9">
        <f t="shared" si="1"/>
        <v>3</v>
      </c>
      <c r="G1734" s="22" t="s">
        <v>1400</v>
      </c>
      <c r="H1734" s="11" t="str">
        <f>IFERROR(__xludf.DUMMYFUNCTION("REGEXREPLACE(G1734, ""[^0-9a-zA-Z .'Ã]"","""")"),"Jeff Bridges")</f>
        <v>Jeff Bridges</v>
      </c>
      <c r="I1734" s="24" t="s">
        <v>5939</v>
      </c>
      <c r="J1734" s="22">
        <v>264186.0</v>
      </c>
      <c r="K1734" s="22" t="s">
        <v>5940</v>
      </c>
      <c r="L1734" s="22">
        <v>665.0</v>
      </c>
      <c r="M1734" s="22" t="s">
        <v>24</v>
      </c>
      <c r="N1734" s="22" t="s">
        <v>25</v>
      </c>
      <c r="O1734" s="23">
        <v>1.7E8</v>
      </c>
      <c r="P1734" s="10">
        <f t="shared" si="2"/>
        <v>2051787</v>
      </c>
      <c r="Q1734" s="12">
        <f t="shared" si="3"/>
        <v>0</v>
      </c>
      <c r="R1734" s="22">
        <v>2010.0</v>
      </c>
      <c r="S1734" s="22">
        <v>6.8</v>
      </c>
    </row>
    <row r="1735" ht="15.75" customHeight="1">
      <c r="A1735" s="17" t="s">
        <v>184</v>
      </c>
      <c r="B1735" s="8" t="str">
        <f>IFERROR(__xludf.DUMMYFUNCTION("REGEXREPLACE(A1735, ""[^0-9a-zA-Z .'Ã]"","""")"),"James Cameron")</f>
        <v>James Cameron</v>
      </c>
      <c r="C1735" s="18">
        <v>315.0</v>
      </c>
      <c r="D1735" s="19">
        <v>6.58672302E8</v>
      </c>
      <c r="E1735" s="18" t="s">
        <v>232</v>
      </c>
      <c r="F1735" s="9">
        <f t="shared" si="1"/>
        <v>2</v>
      </c>
      <c r="G1735" s="18" t="s">
        <v>1351</v>
      </c>
      <c r="H1735" s="11" t="str">
        <f>IFERROR(__xludf.DUMMYFUNCTION("REGEXREPLACE(G1735, ""[^0-9a-zA-Z .'Ã]"","""")"),"Leonardo DiCaprio")</f>
        <v>Leonardo DiCaprio</v>
      </c>
      <c r="I1735" s="20" t="s">
        <v>5941</v>
      </c>
      <c r="J1735" s="18">
        <v>793059.0</v>
      </c>
      <c r="K1735" s="18" t="s">
        <v>5942</v>
      </c>
      <c r="L1735" s="18">
        <v>2528.0</v>
      </c>
      <c r="M1735" s="18" t="s">
        <v>24</v>
      </c>
      <c r="N1735" s="18" t="s">
        <v>25</v>
      </c>
      <c r="O1735" s="19">
        <v>2.0E8</v>
      </c>
      <c r="P1735" s="10">
        <f t="shared" si="2"/>
        <v>458672302</v>
      </c>
      <c r="Q1735" s="12">
        <f t="shared" si="3"/>
        <v>0</v>
      </c>
      <c r="R1735" s="18">
        <v>1997.0</v>
      </c>
      <c r="S1735" s="18">
        <v>7.7</v>
      </c>
    </row>
    <row r="1736" ht="15.75" customHeight="1">
      <c r="A1736" s="21" t="s">
        <v>5943</v>
      </c>
      <c r="B1736" s="8" t="str">
        <f>IFERROR(__xludf.DUMMYFUNCTION("REGEXREPLACE(A1736, ""[^0-9a-zA-Z -.'Ã]"","""")"),"AndrÃs Muschietti")</f>
        <v>AndrÃs Muschietti</v>
      </c>
      <c r="C1736" s="22">
        <v>393.0</v>
      </c>
      <c r="D1736" s="23">
        <v>7.158822E7</v>
      </c>
      <c r="E1736" s="22" t="s">
        <v>1235</v>
      </c>
      <c r="F1736" s="9">
        <f t="shared" si="1"/>
        <v>2</v>
      </c>
      <c r="G1736" s="22" t="s">
        <v>5256</v>
      </c>
      <c r="H1736" s="11" t="str">
        <f>IFERROR(__xludf.DUMMYFUNCTION("REGEXREPLACE(G1736, ""[^0-9a-zA-Z .'Ã]"","""")"),"Javier Botet")</f>
        <v>Javier Botet</v>
      </c>
      <c r="I1736" s="24" t="s">
        <v>5944</v>
      </c>
      <c r="J1736" s="22">
        <v>134869.0</v>
      </c>
      <c r="K1736" s="22" t="s">
        <v>5945</v>
      </c>
      <c r="L1736" s="22">
        <v>304.0</v>
      </c>
      <c r="M1736" s="22" t="s">
        <v>24</v>
      </c>
      <c r="N1736" s="22" t="s">
        <v>624</v>
      </c>
      <c r="O1736" s="23">
        <v>2.0E7</v>
      </c>
      <c r="P1736" s="10">
        <f t="shared" si="2"/>
        <v>51588220</v>
      </c>
      <c r="Q1736" s="12">
        <f t="shared" si="3"/>
        <v>0</v>
      </c>
      <c r="R1736" s="22">
        <v>2013.0</v>
      </c>
      <c r="S1736" s="22">
        <v>6.2</v>
      </c>
    </row>
    <row r="1737" ht="15.75" customHeight="1">
      <c r="A1737" s="29" t="s">
        <v>5946</v>
      </c>
      <c r="B1737" s="8" t="str">
        <f>IFERROR(__xludf.DUMMYFUNCTION("REGEXREPLACE(A1737, ""[^0-9a-zA-Z .'Ã]"","""")"),"Henry Koster")</f>
        <v>Henry Koster</v>
      </c>
      <c r="C1737" s="30">
        <v>42.0</v>
      </c>
      <c r="D1737" s="31">
        <v>3.6E7</v>
      </c>
      <c r="E1737" s="30" t="s">
        <v>213</v>
      </c>
      <c r="F1737" s="9">
        <f t="shared" si="1"/>
        <v>2</v>
      </c>
      <c r="G1737" s="30" t="s">
        <v>5947</v>
      </c>
      <c r="H1737" s="11" t="str">
        <f>IFERROR(__xludf.DUMMYFUNCTION("REGEXREPLACE(G1737, ""[^0-9a-zA-Z .'Ã]"","""")"),"Richard Burton")</f>
        <v>Richard Burton</v>
      </c>
      <c r="I1737" s="32" t="s">
        <v>5948</v>
      </c>
      <c r="J1737" s="30">
        <v>6359.0</v>
      </c>
      <c r="K1737" s="30" t="s">
        <v>5949</v>
      </c>
      <c r="L1737" s="30">
        <v>69.0</v>
      </c>
      <c r="M1737" s="30" t="s">
        <v>24</v>
      </c>
      <c r="N1737" s="30" t="s">
        <v>25</v>
      </c>
      <c r="O1737" s="31">
        <v>5000000.0</v>
      </c>
      <c r="P1737" s="10">
        <f t="shared" si="2"/>
        <v>31000000</v>
      </c>
      <c r="Q1737" s="12">
        <f t="shared" si="3"/>
        <v>0</v>
      </c>
      <c r="R1737" s="30">
        <v>1953.0</v>
      </c>
      <c r="S1737" s="30">
        <v>6.8</v>
      </c>
    </row>
    <row r="1738" ht="15.75" customHeight="1">
      <c r="A1738" s="25" t="s">
        <v>179</v>
      </c>
      <c r="B1738" s="8" t="str">
        <f>IFERROR(__xludf.DUMMYFUNCTION("REGEXREPLACE(A1738, ""[^0-9a-zA-Z .'Ã]"","""")"),"Tim Burton")</f>
        <v>Tim Burton</v>
      </c>
      <c r="C1738" s="26">
        <v>370.0</v>
      </c>
      <c r="D1738" s="27">
        <v>3.5287788E7</v>
      </c>
      <c r="E1738" s="26" t="s">
        <v>5950</v>
      </c>
      <c r="F1738" s="9">
        <f t="shared" si="1"/>
        <v>5</v>
      </c>
      <c r="G1738" s="26" t="s">
        <v>3626</v>
      </c>
      <c r="H1738" s="11" t="str">
        <f>IFERROR(__xludf.DUMMYFUNCTION("REGEXREPLACE(G1738, ""[^0-9a-zA-Z .'Ã]"","""")"),"Martin Landau")</f>
        <v>Martin Landau</v>
      </c>
      <c r="I1738" s="28" t="s">
        <v>5951</v>
      </c>
      <c r="J1738" s="26">
        <v>73886.0</v>
      </c>
      <c r="K1738" s="26" t="s">
        <v>5952</v>
      </c>
      <c r="L1738" s="26">
        <v>165.0</v>
      </c>
      <c r="M1738" s="26" t="s">
        <v>24</v>
      </c>
      <c r="N1738" s="26" t="s">
        <v>25</v>
      </c>
      <c r="O1738" s="27">
        <v>3.9E7</v>
      </c>
      <c r="P1738" s="10">
        <f t="shared" si="2"/>
        <v>0</v>
      </c>
      <c r="Q1738" s="12">
        <f t="shared" si="3"/>
        <v>3712212</v>
      </c>
      <c r="R1738" s="26">
        <v>2012.0</v>
      </c>
      <c r="S1738" s="26">
        <v>7.0</v>
      </c>
    </row>
    <row r="1739" ht="15.75" customHeight="1">
      <c r="A1739" s="29" t="s">
        <v>5953</v>
      </c>
      <c r="B1739" s="8" t="str">
        <f>IFERROR(__xludf.DUMMYFUNCTION("REGEXREPLACE(A1739, ""[^0-9a-zA-Z .'Ã]"","""")"),"Ritesh Batra")</f>
        <v>Ritesh Batra</v>
      </c>
      <c r="C1739" s="30">
        <v>195.0</v>
      </c>
      <c r="D1739" s="31">
        <v>4231500.0</v>
      </c>
      <c r="E1739" s="30" t="s">
        <v>232</v>
      </c>
      <c r="F1739" s="9">
        <f t="shared" si="1"/>
        <v>2</v>
      </c>
      <c r="G1739" s="30" t="s">
        <v>5954</v>
      </c>
      <c r="H1739" s="11" t="str">
        <f>IFERROR(__xludf.DUMMYFUNCTION("REGEXREPLACE(G1739, ""[^0-9a-zA-Z .'Ã]"","""")"),"Nawazuddin Siddiqui")</f>
        <v>Nawazuddin Siddiqui</v>
      </c>
      <c r="I1739" s="32" t="s">
        <v>5955</v>
      </c>
      <c r="J1739" s="30">
        <v>30479.0</v>
      </c>
      <c r="K1739" s="30" t="s">
        <v>5956</v>
      </c>
      <c r="L1739" s="30">
        <v>162.0</v>
      </c>
      <c r="M1739" s="30" t="s">
        <v>670</v>
      </c>
      <c r="N1739" s="30" t="s">
        <v>671</v>
      </c>
      <c r="O1739" s="31">
        <v>1000000.0</v>
      </c>
      <c r="P1739" s="10">
        <f t="shared" si="2"/>
        <v>3231500</v>
      </c>
      <c r="Q1739" s="12">
        <f t="shared" si="3"/>
        <v>0</v>
      </c>
      <c r="R1739" s="30">
        <v>2013.0</v>
      </c>
      <c r="S1739" s="30">
        <v>7.8</v>
      </c>
    </row>
    <row r="1740" ht="15.75" customHeight="1">
      <c r="A1740" s="7" t="s">
        <v>5957</v>
      </c>
      <c r="B1740" s="8" t="str">
        <f>IFERROR(__xludf.DUMMYFUNCTION("REGEXREPLACE(A1740, ""[^0-9a-zA-Z .'Ã]"","""")"),"Mark Tarlov")</f>
        <v>Mark Tarlov</v>
      </c>
      <c r="C1740" s="9">
        <v>35.0</v>
      </c>
      <c r="D1740" s="10">
        <v>4394936.0</v>
      </c>
      <c r="E1740" s="9" t="s">
        <v>59</v>
      </c>
      <c r="F1740" s="9">
        <f t="shared" si="1"/>
        <v>4</v>
      </c>
      <c r="G1740" s="9" t="s">
        <v>3489</v>
      </c>
      <c r="H1740" s="11" t="str">
        <f>IFERROR(__xludf.DUMMYFUNCTION("REGEXREPLACE(G1740, ""[^0-9a-zA-Z .'Ã]"","""")"),"Sarah Michelle Gellar")</f>
        <v>Sarah Michelle Gellar</v>
      </c>
      <c r="I1740" s="11" t="s">
        <v>5958</v>
      </c>
      <c r="J1740" s="9">
        <v>11439.0</v>
      </c>
      <c r="K1740" s="9" t="s">
        <v>5959</v>
      </c>
      <c r="L1740" s="9">
        <v>190.0</v>
      </c>
      <c r="M1740" s="9" t="s">
        <v>24</v>
      </c>
      <c r="N1740" s="9" t="s">
        <v>173</v>
      </c>
      <c r="O1740" s="10">
        <v>6000000.0</v>
      </c>
      <c r="P1740" s="10">
        <f t="shared" si="2"/>
        <v>0</v>
      </c>
      <c r="Q1740" s="12">
        <f t="shared" si="3"/>
        <v>1605064</v>
      </c>
      <c r="R1740" s="9">
        <v>1999.0</v>
      </c>
      <c r="S1740" s="9">
        <v>5.3</v>
      </c>
    </row>
    <row r="1741" ht="15.75" customHeight="1">
      <c r="A1741" s="7" t="s">
        <v>136</v>
      </c>
      <c r="B1741" s="8" t="str">
        <f>IFERROR(__xludf.DUMMYFUNCTION("REGEXREPLACE(A1741, ""[^0-9a-zA-Z .'Ã]"","""")"),"Hugh Wilson")</f>
        <v>Hugh Wilson</v>
      </c>
      <c r="C1741" s="9">
        <v>50.0</v>
      </c>
      <c r="D1741" s="10">
        <v>1.05444419E8</v>
      </c>
      <c r="E1741" s="9" t="s">
        <v>137</v>
      </c>
      <c r="F1741" s="9">
        <f t="shared" si="1"/>
        <v>1</v>
      </c>
      <c r="G1741" s="9" t="s">
        <v>5960</v>
      </c>
      <c r="H1741" s="11" t="str">
        <f>IFERROR(__xludf.DUMMYFUNCTION("REGEXREPLACE(G1741, ""[^0-9a-zA-Z .'Ã]"","""")"),"Stockard Channing")</f>
        <v>Stockard Channing</v>
      </c>
      <c r="I1741" s="11" t="s">
        <v>5961</v>
      </c>
      <c r="J1741" s="9">
        <v>31817.0</v>
      </c>
      <c r="K1741" s="9" t="s">
        <v>5962</v>
      </c>
      <c r="L1741" s="9">
        <v>117.0</v>
      </c>
      <c r="M1741" s="9" t="s">
        <v>24</v>
      </c>
      <c r="N1741" s="9" t="s">
        <v>25</v>
      </c>
      <c r="O1741" s="10">
        <v>2.6E7</v>
      </c>
      <c r="P1741" s="10">
        <f t="shared" si="2"/>
        <v>79444419</v>
      </c>
      <c r="Q1741" s="12">
        <f t="shared" si="3"/>
        <v>0</v>
      </c>
      <c r="R1741" s="9">
        <v>1996.0</v>
      </c>
      <c r="S1741" s="9">
        <v>6.2</v>
      </c>
    </row>
    <row r="1742" ht="15.75" customHeight="1">
      <c r="A1742" s="7" t="s">
        <v>5963</v>
      </c>
      <c r="B1742" s="8" t="str">
        <f>IFERROR(__xludf.DUMMYFUNCTION("REGEXREPLACE(A1742, ""[^0-9a-zA-Z .'Ã]"","""")"),"Mark Pellington")</f>
        <v>Mark Pellington</v>
      </c>
      <c r="C1742" s="9">
        <v>155.0</v>
      </c>
      <c r="D1742" s="10">
        <v>2.4362501E7</v>
      </c>
      <c r="E1742" s="9" t="s">
        <v>113</v>
      </c>
      <c r="F1742" s="9">
        <f t="shared" si="1"/>
        <v>3</v>
      </c>
      <c r="G1742" s="9" t="s">
        <v>1400</v>
      </c>
      <c r="H1742" s="11" t="str">
        <f>IFERROR(__xludf.DUMMYFUNCTION("REGEXREPLACE(G1742, ""[^0-9a-zA-Z .'Ã]"","""")"),"Jeff Bridges")</f>
        <v>Jeff Bridges</v>
      </c>
      <c r="I1742" s="11" t="s">
        <v>5964</v>
      </c>
      <c r="J1742" s="9">
        <v>69980.0</v>
      </c>
      <c r="K1742" s="9" t="s">
        <v>5965</v>
      </c>
      <c r="L1742" s="9">
        <v>591.0</v>
      </c>
      <c r="M1742" s="9" t="s">
        <v>24</v>
      </c>
      <c r="N1742" s="9" t="s">
        <v>25</v>
      </c>
      <c r="O1742" s="10">
        <v>2.15E7</v>
      </c>
      <c r="P1742" s="10">
        <f t="shared" si="2"/>
        <v>2862501</v>
      </c>
      <c r="Q1742" s="12">
        <f t="shared" si="3"/>
        <v>0</v>
      </c>
      <c r="R1742" s="9">
        <v>1999.0</v>
      </c>
      <c r="S1742" s="9">
        <v>7.2</v>
      </c>
    </row>
    <row r="1743" ht="15.75" customHeight="1">
      <c r="A1743" s="17" t="s">
        <v>5966</v>
      </c>
      <c r="B1743" s="8" t="str">
        <f>IFERROR(__xludf.DUMMYFUNCTION("REGEXREPLACE(A1743, ""[^0-9a-zA-Z .'Ã]"","""")"),"Floyd Mutrux")</f>
        <v>Floyd Mutrux</v>
      </c>
      <c r="C1743" s="18">
        <v>5.0</v>
      </c>
      <c r="D1743" s="19">
        <v>125169.0</v>
      </c>
      <c r="E1743" s="18" t="s">
        <v>454</v>
      </c>
      <c r="F1743" s="9">
        <f t="shared" si="1"/>
        <v>2</v>
      </c>
      <c r="G1743" s="18" t="s">
        <v>5967</v>
      </c>
      <c r="H1743" s="11" t="str">
        <f>IFERROR(__xludf.DUMMYFUNCTION("REGEXREPLACE(G1743, ""[^0-9a-zA-Z .'Ã]"","""")"),"Ricky Schroder")</f>
        <v>Ricky Schroder</v>
      </c>
      <c r="I1743" s="20" t="s">
        <v>5968</v>
      </c>
      <c r="J1743" s="18">
        <v>859.0</v>
      </c>
      <c r="K1743" s="18" t="s">
        <v>5969</v>
      </c>
      <c r="L1743" s="18">
        <v>31.0</v>
      </c>
      <c r="M1743" s="18" t="s">
        <v>24</v>
      </c>
      <c r="N1743" s="18" t="s">
        <v>25</v>
      </c>
      <c r="O1743" s="19">
        <v>1.05E7</v>
      </c>
      <c r="P1743" s="10">
        <f t="shared" si="2"/>
        <v>0</v>
      </c>
      <c r="Q1743" s="12">
        <f t="shared" si="3"/>
        <v>10374831</v>
      </c>
      <c r="R1743" s="18">
        <v>1994.0</v>
      </c>
      <c r="S1743" s="18">
        <v>6.4</v>
      </c>
    </row>
    <row r="1744" ht="15.75" customHeight="1">
      <c r="A1744" s="7" t="s">
        <v>2862</v>
      </c>
      <c r="B1744" s="8" t="str">
        <f>IFERROR(__xludf.DUMMYFUNCTION("REGEXREPLACE(A1744, ""[^0-9a-zA-Z .'Ã]"","""")"),"Greg Mottola")</f>
        <v>Greg Mottola</v>
      </c>
      <c r="C1744" s="9">
        <v>256.0</v>
      </c>
      <c r="D1744" s="10">
        <v>1.21463226E8</v>
      </c>
      <c r="E1744" s="9" t="s">
        <v>137</v>
      </c>
      <c r="F1744" s="9">
        <f t="shared" si="1"/>
        <v>1</v>
      </c>
      <c r="G1744" s="9" t="s">
        <v>497</v>
      </c>
      <c r="H1744" s="11" t="str">
        <f>IFERROR(__xludf.DUMMYFUNCTION("REGEXREPLACE(G1744, ""[^0-9a-zA-Z .'Ã]"","""")"),"Emma Stone")</f>
        <v>Emma Stone</v>
      </c>
      <c r="I1744" s="11" t="s">
        <v>5970</v>
      </c>
      <c r="J1744" s="9">
        <v>422606.0</v>
      </c>
      <c r="K1744" s="9" t="s">
        <v>5971</v>
      </c>
      <c r="L1744" s="9">
        <v>555.0</v>
      </c>
      <c r="M1744" s="9" t="s">
        <v>24</v>
      </c>
      <c r="N1744" s="9" t="s">
        <v>25</v>
      </c>
      <c r="O1744" s="10">
        <v>2.0E7</v>
      </c>
      <c r="P1744" s="10">
        <f t="shared" si="2"/>
        <v>101463226</v>
      </c>
      <c r="Q1744" s="12">
        <f t="shared" si="3"/>
        <v>0</v>
      </c>
      <c r="R1744" s="9">
        <v>2007.0</v>
      </c>
      <c r="S1744" s="9">
        <v>7.6</v>
      </c>
    </row>
    <row r="1745" ht="15.75" customHeight="1">
      <c r="A1745" s="21" t="s">
        <v>5972</v>
      </c>
      <c r="B1745" s="8" t="str">
        <f>IFERROR(__xludf.DUMMYFUNCTION("REGEXREPLACE(A1745, ""[^0-9a-zA-Z .'Ã]"","""")"),"William Malone")</f>
        <v>William Malone</v>
      </c>
      <c r="C1745" s="22">
        <v>147.0</v>
      </c>
      <c r="D1745" s="23">
        <v>4.0846082E7</v>
      </c>
      <c r="E1745" s="22" t="s">
        <v>94</v>
      </c>
      <c r="F1745" s="9">
        <f t="shared" si="1"/>
        <v>3</v>
      </c>
      <c r="G1745" s="22" t="s">
        <v>5973</v>
      </c>
      <c r="H1745" s="11" t="str">
        <f>IFERROR(__xludf.DUMMYFUNCTION("REGEXREPLACE(G1745, ""[^0-9a-zA-Z .'Ã]"","""")"),"Jeffrey Combs")</f>
        <v>Jeffrey Combs</v>
      </c>
      <c r="I1745" s="24" t="s">
        <v>5974</v>
      </c>
      <c r="J1745" s="22">
        <v>45317.0</v>
      </c>
      <c r="K1745" s="22" t="s">
        <v>5975</v>
      </c>
      <c r="L1745" s="22">
        <v>536.0</v>
      </c>
      <c r="M1745" s="22" t="s">
        <v>24</v>
      </c>
      <c r="N1745" s="22" t="s">
        <v>25</v>
      </c>
      <c r="O1745" s="23">
        <v>1.9E7</v>
      </c>
      <c r="P1745" s="10">
        <f t="shared" si="2"/>
        <v>21846082</v>
      </c>
      <c r="Q1745" s="12">
        <f t="shared" si="3"/>
        <v>0</v>
      </c>
      <c r="R1745" s="22">
        <v>1999.0</v>
      </c>
      <c r="S1745" s="22">
        <v>5.6</v>
      </c>
    </row>
    <row r="1746" ht="15.75" customHeight="1">
      <c r="A1746" s="7" t="s">
        <v>5976</v>
      </c>
      <c r="B1746" s="8" t="str">
        <f>IFERROR(__xludf.DUMMYFUNCTION("REGEXREPLACE(A1746, ""[^0-9a-zA-Z .'Ã]"","""")"),"Mike Judge")</f>
        <v>Mike Judge</v>
      </c>
      <c r="C1746" s="9">
        <v>63.0</v>
      </c>
      <c r="D1746" s="10">
        <v>6.3071133E7</v>
      </c>
      <c r="E1746" s="9" t="s">
        <v>5977</v>
      </c>
      <c r="F1746" s="9">
        <f t="shared" si="1"/>
        <v>4</v>
      </c>
      <c r="G1746" s="9" t="s">
        <v>55</v>
      </c>
      <c r="H1746" s="11" t="str">
        <f>IFERROR(__xludf.DUMMYFUNCTION("REGEXREPLACE(G1746, ""[^0-9a-zA-Z .'Ã]"","""")"),"Bruce Willis")</f>
        <v>Bruce Willis</v>
      </c>
      <c r="I1746" s="11" t="s">
        <v>5978</v>
      </c>
      <c r="J1746" s="9">
        <v>42892.0</v>
      </c>
      <c r="K1746" s="9" t="s">
        <v>5979</v>
      </c>
      <c r="L1746" s="9">
        <v>154.0</v>
      </c>
      <c r="M1746" s="9" t="s">
        <v>24</v>
      </c>
      <c r="N1746" s="9" t="s">
        <v>25</v>
      </c>
      <c r="O1746" s="10">
        <v>1.2E7</v>
      </c>
      <c r="P1746" s="10">
        <f t="shared" si="2"/>
        <v>51071133</v>
      </c>
      <c r="Q1746" s="12">
        <f t="shared" si="3"/>
        <v>0</v>
      </c>
      <c r="R1746" s="9">
        <v>1996.0</v>
      </c>
      <c r="S1746" s="9">
        <v>6.8</v>
      </c>
    </row>
    <row r="1747" ht="15.75" customHeight="1">
      <c r="A1747" s="21" t="s">
        <v>1748</v>
      </c>
      <c r="B1747" s="8" t="str">
        <f>IFERROR(__xludf.DUMMYFUNCTION("REGEXREPLACE(A1747, ""[^0-9a-zA-Z .'Ã]"","""")"),"Richard Benjamin")</f>
        <v>Richard Benjamin</v>
      </c>
      <c r="C1747" s="22">
        <v>28.0</v>
      </c>
      <c r="D1747" s="23">
        <v>1646664.0</v>
      </c>
      <c r="E1747" s="22" t="s">
        <v>321</v>
      </c>
      <c r="F1747" s="9">
        <f t="shared" si="1"/>
        <v>2</v>
      </c>
      <c r="G1747" s="22" t="s">
        <v>5980</v>
      </c>
      <c r="H1747" s="11" t="str">
        <f>IFERROR(__xludf.DUMMYFUNCTION("REGEXREPLACE(G1747, ""[^0-9a-zA-Z .'Ã]"","""")"),"Damon Wayans")</f>
        <v>Damon Wayans</v>
      </c>
      <c r="I1747" s="24" t="s">
        <v>5981</v>
      </c>
      <c r="J1747" s="22">
        <v>4518.0</v>
      </c>
      <c r="K1747" s="22" t="s">
        <v>5982</v>
      </c>
      <c r="L1747" s="22">
        <v>66.0</v>
      </c>
      <c r="M1747" s="22" t="s">
        <v>24</v>
      </c>
      <c r="N1747" s="22" t="s">
        <v>25</v>
      </c>
      <c r="O1747" s="23">
        <v>2.0E7</v>
      </c>
      <c r="P1747" s="10">
        <f t="shared" si="2"/>
        <v>0</v>
      </c>
      <c r="Q1747" s="12">
        <f t="shared" si="3"/>
        <v>18353336</v>
      </c>
      <c r="R1747" s="22">
        <v>2003.0</v>
      </c>
      <c r="S1747" s="22">
        <v>2.8</v>
      </c>
    </row>
    <row r="1748" ht="15.75" customHeight="1">
      <c r="A1748" s="21" t="s">
        <v>856</v>
      </c>
      <c r="B1748" s="8" t="str">
        <f>IFERROR(__xludf.DUMMYFUNCTION("REGEXREPLACE(A1748, ""[^0-9a-zA-Z .'Ã]"","""")"),"Sean Anders")</f>
        <v>Sean Anders</v>
      </c>
      <c r="C1748" s="22">
        <v>196.0</v>
      </c>
      <c r="D1748" s="23">
        <v>5.4414716E7</v>
      </c>
      <c r="E1748" s="22" t="s">
        <v>440</v>
      </c>
      <c r="F1748" s="9">
        <f t="shared" si="1"/>
        <v>2</v>
      </c>
      <c r="G1748" s="22" t="s">
        <v>483</v>
      </c>
      <c r="H1748" s="11" t="str">
        <f>IFERROR(__xludf.DUMMYFUNCTION("REGEXREPLACE(G1748, ""[^0-9a-zA-Z .'Ã]"","""")"),"Kevin Spacey")</f>
        <v>Kevin Spacey</v>
      </c>
      <c r="I1748" s="24" t="s">
        <v>5983</v>
      </c>
      <c r="J1748" s="22">
        <v>114294.0</v>
      </c>
      <c r="K1748" s="22" t="s">
        <v>5984</v>
      </c>
      <c r="L1748" s="22">
        <v>187.0</v>
      </c>
      <c r="M1748" s="22" t="s">
        <v>24</v>
      </c>
      <c r="N1748" s="22" t="s">
        <v>25</v>
      </c>
      <c r="O1748" s="23">
        <v>4.2E7</v>
      </c>
      <c r="P1748" s="10">
        <f t="shared" si="2"/>
        <v>12414716</v>
      </c>
      <c r="Q1748" s="12">
        <f t="shared" si="3"/>
        <v>0</v>
      </c>
      <c r="R1748" s="22">
        <v>2014.0</v>
      </c>
      <c r="S1748" s="22">
        <v>6.3</v>
      </c>
    </row>
    <row r="1749" ht="15.75" customHeight="1">
      <c r="A1749" s="7" t="s">
        <v>5985</v>
      </c>
      <c r="B1749" s="8" t="str">
        <f>IFERROR(__xludf.DUMMYFUNCTION("REGEXREPLACE(A1749, ""[^0-9a-zA-Z .'Ã]"","""")"),"Amy Heckerling")</f>
        <v>Amy Heckerling</v>
      </c>
      <c r="C1749" s="9">
        <v>81.0</v>
      </c>
      <c r="D1749" s="10">
        <v>1.5464026E7</v>
      </c>
      <c r="E1749" s="9" t="s">
        <v>89</v>
      </c>
      <c r="F1749" s="9">
        <f t="shared" si="1"/>
        <v>2</v>
      </c>
      <c r="G1749" s="9" t="s">
        <v>5986</v>
      </c>
      <c r="H1749" s="11" t="str">
        <f>IFERROR(__xludf.DUMMYFUNCTION("REGEXREPLACE(G1749, ""[^0-9a-zA-Z .'Ã]"","""")"),"Andy Dick")</f>
        <v>Andy Dick</v>
      </c>
      <c r="I1749" s="11" t="s">
        <v>5987</v>
      </c>
      <c r="J1749" s="9">
        <v>23076.0</v>
      </c>
      <c r="K1749" s="9" t="s">
        <v>5988</v>
      </c>
      <c r="L1749" s="9">
        <v>158.0</v>
      </c>
      <c r="M1749" s="9" t="s">
        <v>24</v>
      </c>
      <c r="N1749" s="9" t="s">
        <v>25</v>
      </c>
      <c r="O1749" s="10">
        <v>2.0E7</v>
      </c>
      <c r="P1749" s="10">
        <f t="shared" si="2"/>
        <v>0</v>
      </c>
      <c r="Q1749" s="12">
        <f t="shared" si="3"/>
        <v>4535974</v>
      </c>
      <c r="R1749" s="9">
        <v>2000.0</v>
      </c>
      <c r="S1749" s="9">
        <v>5.3</v>
      </c>
    </row>
    <row r="1750" ht="15.75" customHeight="1">
      <c r="A1750" s="25" t="s">
        <v>756</v>
      </c>
      <c r="B1750" s="8" t="str">
        <f>IFERROR(__xludf.DUMMYFUNCTION("REGEXREPLACE(A1750, ""[^0-9a-zA-Z .'Ã]"","""")"),"Adam Shankman")</f>
        <v>Adam Shankman</v>
      </c>
      <c r="C1750" s="26">
        <v>144.0</v>
      </c>
      <c r="D1750" s="27">
        <v>1.09993847E8</v>
      </c>
      <c r="E1750" s="26" t="s">
        <v>4725</v>
      </c>
      <c r="F1750" s="9">
        <f t="shared" si="1"/>
        <v>4</v>
      </c>
      <c r="G1750" s="26" t="s">
        <v>616</v>
      </c>
      <c r="H1750" s="11" t="str">
        <f>IFERROR(__xludf.DUMMYFUNCTION("REGEXREPLACE(G1750, ""[^0-9a-zA-Z .'Ã]"","""")"),"Adam Sandler")</f>
        <v>Adam Sandler</v>
      </c>
      <c r="I1750" s="28" t="s">
        <v>5989</v>
      </c>
      <c r="J1750" s="26">
        <v>72326.0</v>
      </c>
      <c r="K1750" s="26" t="s">
        <v>5990</v>
      </c>
      <c r="L1750" s="26">
        <v>116.0</v>
      </c>
      <c r="M1750" s="26" t="s">
        <v>24</v>
      </c>
      <c r="N1750" s="26" t="s">
        <v>25</v>
      </c>
      <c r="O1750" s="27">
        <v>8.0E7</v>
      </c>
      <c r="P1750" s="10">
        <f t="shared" si="2"/>
        <v>29993847</v>
      </c>
      <c r="Q1750" s="12">
        <f t="shared" si="3"/>
        <v>0</v>
      </c>
      <c r="R1750" s="26">
        <v>2008.0</v>
      </c>
      <c r="S1750" s="26">
        <v>6.1</v>
      </c>
    </row>
    <row r="1751" ht="15.75" customHeight="1">
      <c r="A1751" s="7" t="s">
        <v>5991</v>
      </c>
      <c r="B1751" s="8" t="str">
        <f>IFERROR(__xludf.DUMMYFUNCTION("REGEXREPLACE(A1751, ""[^0-9a-zA-Z .'Ã]"","""")"),"Joey Lauren Adams")</f>
        <v>Joey Lauren Adams</v>
      </c>
      <c r="C1751" s="9">
        <v>36.0</v>
      </c>
      <c r="D1751" s="10">
        <v>117560.0</v>
      </c>
      <c r="E1751" s="9" t="s">
        <v>232</v>
      </c>
      <c r="F1751" s="9">
        <f t="shared" si="1"/>
        <v>2</v>
      </c>
      <c r="G1751" s="9" t="s">
        <v>1537</v>
      </c>
      <c r="H1751" s="11" t="str">
        <f>IFERROR(__xludf.DUMMYFUNCTION("REGEXREPLACE(G1751, ""[^0-9a-zA-Z .'Ã]"","""")"),"Tim Blake Nelson")</f>
        <v>Tim Blake Nelson</v>
      </c>
      <c r="I1751" s="11" t="s">
        <v>5992</v>
      </c>
      <c r="J1751" s="9">
        <v>2330.0</v>
      </c>
      <c r="K1751" s="9" t="s">
        <v>5993</v>
      </c>
      <c r="L1751" s="9">
        <v>29.0</v>
      </c>
      <c r="M1751" s="9" t="s">
        <v>24</v>
      </c>
      <c r="N1751" s="9" t="s">
        <v>25</v>
      </c>
      <c r="O1751" s="10">
        <v>6000000.0</v>
      </c>
      <c r="P1751" s="10">
        <f t="shared" si="2"/>
        <v>0</v>
      </c>
      <c r="Q1751" s="12">
        <f t="shared" si="3"/>
        <v>5882440</v>
      </c>
      <c r="R1751" s="9">
        <v>2006.0</v>
      </c>
      <c r="S1751" s="9">
        <v>6.2</v>
      </c>
    </row>
    <row r="1752" ht="15.75" customHeight="1">
      <c r="A1752" s="29" t="s">
        <v>1805</v>
      </c>
      <c r="B1752" s="8" t="str">
        <f>IFERROR(__xludf.DUMMYFUNCTION("REGEXREPLACE(A1752, ""[^0-9a-zA-Z .'Ã]"","""")"),"Mike Newell")</f>
        <v>Mike Newell</v>
      </c>
      <c r="C1752" s="30">
        <v>56.0</v>
      </c>
      <c r="D1752" s="31">
        <v>8406264.0</v>
      </c>
      <c r="E1752" s="30" t="s">
        <v>159</v>
      </c>
      <c r="F1752" s="9">
        <f t="shared" si="1"/>
        <v>3</v>
      </c>
      <c r="G1752" s="30" t="s">
        <v>844</v>
      </c>
      <c r="H1752" s="11" t="str">
        <f>IFERROR(__xludf.DUMMYFUNCTION("REGEXREPLACE(G1752, ""[^0-9a-zA-Z .'Ã]"","""")"),"Angelina Jolie Pitt")</f>
        <v>Angelina Jolie Pitt</v>
      </c>
      <c r="I1752" s="32" t="s">
        <v>5994</v>
      </c>
      <c r="J1752" s="30">
        <v>24826.0</v>
      </c>
      <c r="K1752" s="30" t="s">
        <v>5995</v>
      </c>
      <c r="L1752" s="30">
        <v>175.0</v>
      </c>
      <c r="M1752" s="30" t="s">
        <v>24</v>
      </c>
      <c r="N1752" s="30" t="s">
        <v>25</v>
      </c>
      <c r="O1752" s="31">
        <v>3.8E7</v>
      </c>
      <c r="P1752" s="10">
        <f t="shared" si="2"/>
        <v>0</v>
      </c>
      <c r="Q1752" s="12">
        <f t="shared" si="3"/>
        <v>29593736</v>
      </c>
      <c r="R1752" s="30">
        <v>1999.0</v>
      </c>
      <c r="S1752" s="30">
        <v>6.0</v>
      </c>
    </row>
    <row r="1753" ht="15.75" customHeight="1">
      <c r="A1753" s="7" t="s">
        <v>5996</v>
      </c>
      <c r="B1753" s="8" t="str">
        <f>IFERROR(__xludf.DUMMYFUNCTION("REGEXREPLACE(A1753, ""[^0-9a-zA-Z .'Ã]"","""")"),"Kenneth Johnson")</f>
        <v>Kenneth Johnson</v>
      </c>
      <c r="C1753" s="9">
        <v>36.0</v>
      </c>
      <c r="D1753" s="10">
        <v>1686429.0</v>
      </c>
      <c r="E1753" s="9" t="s">
        <v>5997</v>
      </c>
      <c r="F1753" s="9">
        <f t="shared" si="1"/>
        <v>3</v>
      </c>
      <c r="G1753" s="9" t="s">
        <v>5823</v>
      </c>
      <c r="H1753" s="11" t="str">
        <f>IFERROR(__xludf.DUMMYFUNCTION("REGEXREPLACE(G1753, ""[^0-9a-zA-Z .'Ã]"","""")"),"Charles Napier")</f>
        <v>Charles Napier</v>
      </c>
      <c r="I1753" s="11" t="s">
        <v>5998</v>
      </c>
      <c r="J1753" s="9">
        <v>8687.0</v>
      </c>
      <c r="K1753" s="9" t="s">
        <v>5999</v>
      </c>
      <c r="L1753" s="9">
        <v>62.0</v>
      </c>
      <c r="M1753" s="9" t="s">
        <v>24</v>
      </c>
      <c r="N1753" s="9" t="s">
        <v>25</v>
      </c>
      <c r="O1753" s="10">
        <v>1.6E7</v>
      </c>
      <c r="P1753" s="10">
        <f t="shared" si="2"/>
        <v>0</v>
      </c>
      <c r="Q1753" s="12">
        <f t="shared" si="3"/>
        <v>14313571</v>
      </c>
      <c r="R1753" s="9">
        <v>1997.0</v>
      </c>
      <c r="S1753" s="9">
        <v>2.8</v>
      </c>
    </row>
    <row r="1754" ht="15.75" customHeight="1">
      <c r="A1754" s="7" t="s">
        <v>6000</v>
      </c>
      <c r="B1754" s="8" t="str">
        <f>IFERROR(__xludf.DUMMYFUNCTION("REGEXREPLACE(A1754, ""[^0-9a-zA-Z -.'Ã]"","""")"),"StÃphane Aubier")</f>
        <v>StÃphane Aubier</v>
      </c>
      <c r="C1754" s="9">
        <v>99.0</v>
      </c>
      <c r="D1754" s="10">
        <v>71442.0</v>
      </c>
      <c r="E1754" s="9" t="s">
        <v>6001</v>
      </c>
      <c r="F1754" s="9">
        <f t="shared" si="1"/>
        <v>5</v>
      </c>
      <c r="G1754" s="9" t="s">
        <v>5078</v>
      </c>
      <c r="H1754" s="11" t="str">
        <f>IFERROR(__xludf.DUMMYFUNCTION("REGEXREPLACE(G1754, ""[^0-9a-zA-Z .'Ã]"","""")"),"Mackenzie Foy")</f>
        <v>Mackenzie Foy</v>
      </c>
      <c r="I1754" s="11" t="s">
        <v>6002</v>
      </c>
      <c r="J1754" s="9">
        <v>12029.0</v>
      </c>
      <c r="K1754" s="9" t="s">
        <v>6003</v>
      </c>
      <c r="L1754" s="9">
        <v>32.0</v>
      </c>
      <c r="M1754" s="9" t="s">
        <v>658</v>
      </c>
      <c r="N1754" s="9" t="s">
        <v>608</v>
      </c>
      <c r="O1754" s="10">
        <v>9600000.0</v>
      </c>
      <c r="P1754" s="10">
        <f t="shared" si="2"/>
        <v>0</v>
      </c>
      <c r="Q1754" s="12">
        <f t="shared" si="3"/>
        <v>9528558</v>
      </c>
      <c r="R1754" s="9">
        <v>2012.0</v>
      </c>
      <c r="S1754" s="9">
        <v>7.9</v>
      </c>
    </row>
    <row r="1755" ht="15.75" customHeight="1">
      <c r="A1755" s="7" t="s">
        <v>6004</v>
      </c>
      <c r="B1755" s="8" t="str">
        <f>IFERROR(__xludf.DUMMYFUNCTION("REGEXREPLACE(A1755, ""[^0-9a-zA-Z .'Ã]"","""")"),"Patty Jenkins")</f>
        <v>Patty Jenkins</v>
      </c>
      <c r="C1755" s="9">
        <v>185.0</v>
      </c>
      <c r="D1755" s="10">
        <v>3.4468224E7</v>
      </c>
      <c r="E1755" s="9" t="s">
        <v>5486</v>
      </c>
      <c r="F1755" s="9">
        <f t="shared" si="1"/>
        <v>4</v>
      </c>
      <c r="G1755" s="9" t="s">
        <v>3186</v>
      </c>
      <c r="H1755" s="11" t="str">
        <f>IFERROR(__xludf.DUMMYFUNCTION("REGEXREPLACE(G1755, ""[^0-9a-zA-Z .'Ã]"","""")"),"Charlize Theron")</f>
        <v>Charlize Theron</v>
      </c>
      <c r="I1755" s="11" t="s">
        <v>6005</v>
      </c>
      <c r="J1755" s="9">
        <v>105568.0</v>
      </c>
      <c r="K1755" s="9" t="s">
        <v>6006</v>
      </c>
      <c r="L1755" s="9">
        <v>533.0</v>
      </c>
      <c r="M1755" s="9" t="s">
        <v>24</v>
      </c>
      <c r="N1755" s="9" t="s">
        <v>25</v>
      </c>
      <c r="O1755" s="10">
        <v>4500000.0</v>
      </c>
      <c r="P1755" s="10">
        <f t="shared" si="2"/>
        <v>29968224</v>
      </c>
      <c r="Q1755" s="12">
        <f t="shared" si="3"/>
        <v>0</v>
      </c>
      <c r="R1755" s="9">
        <v>2003.0</v>
      </c>
      <c r="S1755" s="9">
        <v>7.3</v>
      </c>
    </row>
    <row r="1756" ht="15.75" customHeight="1">
      <c r="A1756" s="17" t="s">
        <v>2348</v>
      </c>
      <c r="B1756" s="8" t="str">
        <f>IFERROR(__xludf.DUMMYFUNCTION("REGEXREPLACE(A1756, ""[^0-9a-zA-Z .'Ã]"","""")"),"Carlos Saldanha")</f>
        <v>Carlos Saldanha</v>
      </c>
      <c r="C1756" s="18">
        <v>159.0</v>
      </c>
      <c r="D1756" s="19">
        <v>1.31536019E8</v>
      </c>
      <c r="E1756" s="18" t="s">
        <v>6007</v>
      </c>
      <c r="F1756" s="9">
        <f t="shared" si="1"/>
        <v>5</v>
      </c>
      <c r="G1756" s="18" t="s">
        <v>3161</v>
      </c>
      <c r="H1756" s="11" t="str">
        <f>IFERROR(__xludf.DUMMYFUNCTION("REGEXREPLACE(G1756, ""[^0-9a-zA-Z .'Ã]"","""")"),"Miguel Ferrer")</f>
        <v>Miguel Ferrer</v>
      </c>
      <c r="I1756" s="20" t="s">
        <v>6008</v>
      </c>
      <c r="J1756" s="18">
        <v>58498.0</v>
      </c>
      <c r="K1756" s="18" t="s">
        <v>6009</v>
      </c>
      <c r="L1756" s="18">
        <v>99.0</v>
      </c>
      <c r="M1756" s="18" t="s">
        <v>24</v>
      </c>
      <c r="N1756" s="18" t="s">
        <v>25</v>
      </c>
      <c r="O1756" s="19">
        <v>1.03E8</v>
      </c>
      <c r="P1756" s="10">
        <f t="shared" si="2"/>
        <v>28536019</v>
      </c>
      <c r="Q1756" s="12">
        <f t="shared" si="3"/>
        <v>0</v>
      </c>
      <c r="R1756" s="18">
        <v>2014.0</v>
      </c>
      <c r="S1756" s="18">
        <v>6.4</v>
      </c>
    </row>
    <row r="1757" ht="15.75" customHeight="1">
      <c r="A1757" s="7" t="s">
        <v>6010</v>
      </c>
      <c r="B1757" s="8" t="str">
        <f>IFERROR(__xludf.DUMMYFUNCTION("REGEXREPLACE(A1757, ""[^0-9a-zA-Z .'Ã]"","""")"),"Robert Stevenson")</f>
        <v>Robert Stevenson</v>
      </c>
      <c r="C1757" s="9">
        <v>145.0</v>
      </c>
      <c r="D1757" s="10">
        <v>1.023E8</v>
      </c>
      <c r="E1757" s="9" t="s">
        <v>6011</v>
      </c>
      <c r="F1757" s="9">
        <f t="shared" si="1"/>
        <v>4</v>
      </c>
      <c r="G1757" s="9" t="s">
        <v>6012</v>
      </c>
      <c r="H1757" s="11" t="str">
        <f>IFERROR(__xludf.DUMMYFUNCTION("REGEXREPLACE(G1757, ""[^0-9a-zA-Z .'Ã]"","""")"),"Ed Wynn")</f>
        <v>Ed Wynn</v>
      </c>
      <c r="I1757" s="11" t="s">
        <v>6013</v>
      </c>
      <c r="J1757" s="9">
        <v>107408.0</v>
      </c>
      <c r="K1757" s="9" t="s">
        <v>6014</v>
      </c>
      <c r="L1757" s="9">
        <v>259.0</v>
      </c>
      <c r="M1757" s="9" t="s">
        <v>24</v>
      </c>
      <c r="N1757" s="9" t="s">
        <v>25</v>
      </c>
      <c r="O1757" s="10">
        <v>6000000.0</v>
      </c>
      <c r="P1757" s="10">
        <f t="shared" si="2"/>
        <v>96300000</v>
      </c>
      <c r="Q1757" s="12">
        <f t="shared" si="3"/>
        <v>0</v>
      </c>
      <c r="R1757" s="9">
        <v>1964.0</v>
      </c>
      <c r="S1757" s="9">
        <v>7.8</v>
      </c>
    </row>
    <row r="1758" ht="15.75" customHeight="1">
      <c r="A1758" s="21" t="s">
        <v>6015</v>
      </c>
      <c r="B1758" s="8" t="str">
        <f>IFERROR(__xludf.DUMMYFUNCTION("REGEXREPLACE(A1758, ""[^0-9a-zA-Z .'Ã]"","""")"),"Adam Rapp")</f>
        <v>Adam Rapp</v>
      </c>
      <c r="C1758" s="22">
        <v>50.0</v>
      </c>
      <c r="D1758" s="23">
        <v>101228.0</v>
      </c>
      <c r="E1758" s="22" t="s">
        <v>454</v>
      </c>
      <c r="F1758" s="9">
        <f t="shared" si="1"/>
        <v>2</v>
      </c>
      <c r="G1758" s="22" t="s">
        <v>3033</v>
      </c>
      <c r="H1758" s="11" t="str">
        <f>IFERROR(__xludf.DUMMYFUNCTION("REGEXREPLACE(G1758, ""[^0-9a-zA-Z .'Ã]"","""")"),"Zooey Deschanel")</f>
        <v>Zooey Deschanel</v>
      </c>
      <c r="I1758" s="24" t="s">
        <v>6016</v>
      </c>
      <c r="J1758" s="22">
        <v>7228.0</v>
      </c>
      <c r="K1758" s="22" t="s">
        <v>6017</v>
      </c>
      <c r="L1758" s="22">
        <v>53.0</v>
      </c>
      <c r="M1758" s="22" t="s">
        <v>24</v>
      </c>
      <c r="N1758" s="22" t="s">
        <v>25</v>
      </c>
      <c r="O1758" s="23">
        <v>3500000.0</v>
      </c>
      <c r="P1758" s="10">
        <f t="shared" si="2"/>
        <v>0</v>
      </c>
      <c r="Q1758" s="12">
        <f t="shared" si="3"/>
        <v>3398772</v>
      </c>
      <c r="R1758" s="22">
        <v>2005.0</v>
      </c>
      <c r="S1758" s="22">
        <v>6.4</v>
      </c>
    </row>
    <row r="1759" ht="15.75" customHeight="1">
      <c r="A1759" s="21" t="s">
        <v>1902</v>
      </c>
      <c r="B1759" s="8" t="str">
        <f>IFERROR(__xludf.DUMMYFUNCTION("REGEXREPLACE(A1759, ""[^0-9a-zA-Z .'Ã]"","""")"),"Tom Dey")</f>
        <v>Tom Dey</v>
      </c>
      <c r="C1759" s="22">
        <v>146.0</v>
      </c>
      <c r="D1759" s="23">
        <v>5.6932305E7</v>
      </c>
      <c r="E1759" s="22" t="s">
        <v>1761</v>
      </c>
      <c r="F1759" s="9">
        <f t="shared" si="1"/>
        <v>4</v>
      </c>
      <c r="G1759" s="22" t="s">
        <v>6018</v>
      </c>
      <c r="H1759" s="11" t="str">
        <f>IFERROR(__xludf.DUMMYFUNCTION("REGEXREPLACE(G1759, ""[^0-9a-zA-Z .'Ã]"","""")"),"Xander Berkeley")</f>
        <v>Xander Berkeley</v>
      </c>
      <c r="I1759" s="24" t="s">
        <v>6019</v>
      </c>
      <c r="J1759" s="22">
        <v>96690.0</v>
      </c>
      <c r="K1759" s="22" t="s">
        <v>6020</v>
      </c>
      <c r="L1759" s="22">
        <v>293.0</v>
      </c>
      <c r="M1759" s="22" t="s">
        <v>24</v>
      </c>
      <c r="N1759" s="22" t="s">
        <v>25</v>
      </c>
      <c r="O1759" s="23">
        <v>5.5E7</v>
      </c>
      <c r="P1759" s="10">
        <f t="shared" si="2"/>
        <v>1932305</v>
      </c>
      <c r="Q1759" s="12">
        <f t="shared" si="3"/>
        <v>0</v>
      </c>
      <c r="R1759" s="22">
        <v>2000.0</v>
      </c>
      <c r="S1759" s="22">
        <v>6.6</v>
      </c>
    </row>
    <row r="1760" ht="15.75" customHeight="1">
      <c r="A1760" s="17" t="s">
        <v>448</v>
      </c>
      <c r="B1760" s="8" t="str">
        <f>IFERROR(__xludf.DUMMYFUNCTION("REGEXREPLACE(A1760, ""[^0-9a-zA-Z .'Ã]"","""")"),"James Wong")</f>
        <v>James Wong</v>
      </c>
      <c r="C1760" s="18">
        <v>211.0</v>
      </c>
      <c r="D1760" s="19">
        <v>5.3302314E7</v>
      </c>
      <c r="E1760" s="18" t="s">
        <v>306</v>
      </c>
      <c r="F1760" s="9">
        <f t="shared" si="1"/>
        <v>2</v>
      </c>
      <c r="G1760" s="18" t="s">
        <v>791</v>
      </c>
      <c r="H1760" s="11" t="str">
        <f>IFERROR(__xludf.DUMMYFUNCTION("REGEXREPLACE(G1760, ""[^0-9a-zA-Z .'Ã]"","""")"),"Daniel Roebuck")</f>
        <v>Daniel Roebuck</v>
      </c>
      <c r="I1760" s="20" t="s">
        <v>6021</v>
      </c>
      <c r="J1760" s="18">
        <v>181058.0</v>
      </c>
      <c r="K1760" s="18" t="s">
        <v>6022</v>
      </c>
      <c r="L1760" s="18">
        <v>674.0</v>
      </c>
      <c r="M1760" s="18" t="s">
        <v>24</v>
      </c>
      <c r="N1760" s="18" t="s">
        <v>25</v>
      </c>
      <c r="O1760" s="19">
        <v>2.3E7</v>
      </c>
      <c r="P1760" s="10">
        <f t="shared" si="2"/>
        <v>30302314</v>
      </c>
      <c r="Q1760" s="12">
        <f t="shared" si="3"/>
        <v>0</v>
      </c>
      <c r="R1760" s="18">
        <v>2000.0</v>
      </c>
      <c r="S1760" s="18">
        <v>6.7</v>
      </c>
    </row>
    <row r="1761" ht="15.75" customHeight="1">
      <c r="A1761" s="21" t="s">
        <v>2064</v>
      </c>
      <c r="B1761" s="8" t="str">
        <f>IFERROR(__xludf.DUMMYFUNCTION("REGEXREPLACE(A1761, ""[^0-9a-zA-Z .'Ã]"","""")"),"Marc Webb")</f>
        <v>Marc Webb</v>
      </c>
      <c r="C1761" s="22">
        <v>331.0</v>
      </c>
      <c r="D1761" s="23">
        <v>3.2391374E7</v>
      </c>
      <c r="E1761" s="22" t="s">
        <v>159</v>
      </c>
      <c r="F1761" s="9">
        <f t="shared" si="1"/>
        <v>3</v>
      </c>
      <c r="G1761" s="22" t="s">
        <v>764</v>
      </c>
      <c r="H1761" s="11" t="str">
        <f>IFERROR(__xludf.DUMMYFUNCTION("REGEXREPLACE(G1761, ""[^0-9a-zA-Z .'Ã]"","""")"),"Joseph GordonLevitt")</f>
        <v>Joseph GordonLevitt</v>
      </c>
      <c r="I1761" s="24" t="s">
        <v>6023</v>
      </c>
      <c r="J1761" s="22">
        <v>376600.0</v>
      </c>
      <c r="K1761" s="22" t="s">
        <v>6024</v>
      </c>
      <c r="L1761" s="22">
        <v>494.0</v>
      </c>
      <c r="M1761" s="22" t="s">
        <v>24</v>
      </c>
      <c r="N1761" s="22" t="s">
        <v>25</v>
      </c>
      <c r="O1761" s="23">
        <v>7500000.0</v>
      </c>
      <c r="P1761" s="10">
        <f t="shared" si="2"/>
        <v>24891374</v>
      </c>
      <c r="Q1761" s="12">
        <f t="shared" si="3"/>
        <v>0</v>
      </c>
      <c r="R1761" s="22">
        <v>2009.0</v>
      </c>
      <c r="S1761" s="22">
        <v>7.7</v>
      </c>
    </row>
    <row r="1762" ht="15.75" customHeight="1">
      <c r="A1762" s="29" t="s">
        <v>3909</v>
      </c>
      <c r="B1762" s="8" t="str">
        <f>IFERROR(__xludf.DUMMYFUNCTION("REGEXREPLACE(A1762, ""[^0-9a-zA-Z .'Ã]"","""")"),"Richard LaGravenese")</f>
        <v>Richard LaGravenese</v>
      </c>
      <c r="C1762" s="30">
        <v>131.0</v>
      </c>
      <c r="D1762" s="31">
        <v>5.3680848E7</v>
      </c>
      <c r="E1762" s="30" t="s">
        <v>232</v>
      </c>
      <c r="F1762" s="9">
        <f t="shared" si="1"/>
        <v>2</v>
      </c>
      <c r="G1762" s="30" t="s">
        <v>830</v>
      </c>
      <c r="H1762" s="11" t="str">
        <f>IFERROR(__xludf.DUMMYFUNCTION("REGEXREPLACE(G1762, ""[^0-9a-zA-Z .'Ã]"","""")"),"Gerard Butler")</f>
        <v>Gerard Butler</v>
      </c>
      <c r="I1762" s="32" t="s">
        <v>6025</v>
      </c>
      <c r="J1762" s="30">
        <v>167967.0</v>
      </c>
      <c r="K1762" s="30" t="s">
        <v>6026</v>
      </c>
      <c r="L1762" s="30">
        <v>243.0</v>
      </c>
      <c r="M1762" s="30" t="s">
        <v>24</v>
      </c>
      <c r="N1762" s="30" t="s">
        <v>25</v>
      </c>
      <c r="O1762" s="31">
        <v>3.0E7</v>
      </c>
      <c r="P1762" s="10">
        <f t="shared" si="2"/>
        <v>23680848</v>
      </c>
      <c r="Q1762" s="12">
        <f t="shared" si="3"/>
        <v>0</v>
      </c>
      <c r="R1762" s="30">
        <v>2007.0</v>
      </c>
      <c r="S1762" s="30">
        <v>7.1</v>
      </c>
    </row>
    <row r="1763" ht="15.75" customHeight="1">
      <c r="A1763" s="17" t="s">
        <v>2187</v>
      </c>
      <c r="B1763" s="8" t="str">
        <f>IFERROR(__xludf.DUMMYFUNCTION("REGEXREPLACE(A1763, ""[^0-9a-zA-Z .'Ã]"","""")"),"Raja Gosnell")</f>
        <v>Raja Gosnell</v>
      </c>
      <c r="C1763" s="18">
        <v>125.0</v>
      </c>
      <c r="D1763" s="19">
        <v>7.1017784E7</v>
      </c>
      <c r="E1763" s="18" t="s">
        <v>301</v>
      </c>
      <c r="F1763" s="9">
        <f t="shared" si="1"/>
        <v>5</v>
      </c>
      <c r="G1763" s="18" t="s">
        <v>6027</v>
      </c>
      <c r="H1763" s="11" t="str">
        <f>IFERROR(__xludf.DUMMYFUNCTION("REGEXREPLACE(G1763, ""[^0-9a-zA-Z .'Ã]"","""")"),"Jacob Tremblay")</f>
        <v>Jacob Tremblay</v>
      </c>
      <c r="I1763" s="20" t="s">
        <v>6028</v>
      </c>
      <c r="J1763" s="18">
        <v>27257.0</v>
      </c>
      <c r="K1763" s="18" t="s">
        <v>6029</v>
      </c>
      <c r="L1763" s="18">
        <v>59.0</v>
      </c>
      <c r="M1763" s="18" t="s">
        <v>24</v>
      </c>
      <c r="N1763" s="18" t="s">
        <v>25</v>
      </c>
      <c r="O1763" s="19">
        <v>1.05E8</v>
      </c>
      <c r="P1763" s="10">
        <f t="shared" si="2"/>
        <v>0</v>
      </c>
      <c r="Q1763" s="12">
        <f t="shared" si="3"/>
        <v>33982216</v>
      </c>
      <c r="R1763" s="18">
        <v>2013.0</v>
      </c>
      <c r="S1763" s="18">
        <v>5.4</v>
      </c>
    </row>
    <row r="1764" ht="15.75" customHeight="1">
      <c r="A1764" s="25" t="s">
        <v>1526</v>
      </c>
      <c r="B1764" s="8" t="str">
        <f>IFERROR(__xludf.DUMMYFUNCTION("REGEXREPLACE(A1764, ""[^0-9a-zA-Z .'Ã]"","""")"),"Gore Verbinski")</f>
        <v>Gore Verbinski</v>
      </c>
      <c r="C1764" s="26">
        <v>302.0</v>
      </c>
      <c r="D1764" s="27">
        <v>3.09404152E8</v>
      </c>
      <c r="E1764" s="26" t="s">
        <v>278</v>
      </c>
      <c r="F1764" s="9">
        <f t="shared" si="1"/>
        <v>3</v>
      </c>
      <c r="G1764" s="26" t="s">
        <v>85</v>
      </c>
      <c r="H1764" s="11" t="str">
        <f>IFERROR(__xludf.DUMMYFUNCTION("REGEXREPLACE(G1764, ""[^0-9a-zA-Z .'Ã]"","""")"),"Johnny Depp")</f>
        <v>Johnny Depp</v>
      </c>
      <c r="I1764" s="26" t="s">
        <v>6030</v>
      </c>
      <c r="J1764" s="26">
        <v>471220.0</v>
      </c>
      <c r="K1764" s="26" t="s">
        <v>6031</v>
      </c>
      <c r="L1764" s="26">
        <v>1238.0</v>
      </c>
      <c r="M1764" s="26" t="s">
        <v>24</v>
      </c>
      <c r="N1764" s="26" t="s">
        <v>25</v>
      </c>
      <c r="O1764" s="27">
        <v>3.0E8</v>
      </c>
      <c r="P1764" s="10">
        <f t="shared" si="2"/>
        <v>9404152</v>
      </c>
      <c r="Q1764" s="12">
        <f t="shared" si="3"/>
        <v>0</v>
      </c>
      <c r="R1764" s="26">
        <v>2007.0</v>
      </c>
      <c r="S1764" s="26">
        <v>7.1</v>
      </c>
    </row>
    <row r="1765" ht="15.75" customHeight="1">
      <c r="A1765" s="25" t="s">
        <v>5849</v>
      </c>
      <c r="B1765" s="8" t="str">
        <f>IFERROR(__xludf.DUMMYFUNCTION("REGEXREPLACE(A1765, ""[^0-9a-zA-Z .'Ã]"","""")"),"Terrence Malick")</f>
        <v>Terrence Malick</v>
      </c>
      <c r="C1765" s="26">
        <v>584.0</v>
      </c>
      <c r="D1765" s="27">
        <v>1.3303319E7</v>
      </c>
      <c r="E1765" s="26" t="s">
        <v>683</v>
      </c>
      <c r="F1765" s="9">
        <f t="shared" si="1"/>
        <v>2</v>
      </c>
      <c r="G1765" s="26" t="s">
        <v>1426</v>
      </c>
      <c r="H1765" s="11" t="str">
        <f>IFERROR(__xludf.DUMMYFUNCTION("REGEXREPLACE(G1765, ""[^0-9a-zA-Z .'Ã]"","""")"),"Brad Pitt")</f>
        <v>Brad Pitt</v>
      </c>
      <c r="I1765" s="28" t="s">
        <v>6032</v>
      </c>
      <c r="J1765" s="26">
        <v>136367.0</v>
      </c>
      <c r="K1765" s="26" t="s">
        <v>6033</v>
      </c>
      <c r="L1765" s="26">
        <v>975.0</v>
      </c>
      <c r="M1765" s="26" t="s">
        <v>24</v>
      </c>
      <c r="N1765" s="26" t="s">
        <v>25</v>
      </c>
      <c r="O1765" s="27">
        <v>3.2E7</v>
      </c>
      <c r="P1765" s="10">
        <f t="shared" si="2"/>
        <v>0</v>
      </c>
      <c r="Q1765" s="12">
        <f t="shared" si="3"/>
        <v>18696681</v>
      </c>
      <c r="R1765" s="26">
        <v>2011.0</v>
      </c>
      <c r="S1765" s="26">
        <v>6.7</v>
      </c>
    </row>
    <row r="1766" ht="15.75" customHeight="1">
      <c r="A1766" s="7" t="s">
        <v>6034</v>
      </c>
      <c r="B1766" s="8" t="str">
        <f>IFERROR(__xludf.DUMMYFUNCTION("REGEXREPLACE(A1766, ""[^0-9a-zA-Z .'Ã]"","""")"),"Charles Shyer")</f>
        <v>Charles Shyer</v>
      </c>
      <c r="C1766" s="9">
        <v>135.0</v>
      </c>
      <c r="D1766" s="10">
        <v>1.3395939E7</v>
      </c>
      <c r="E1766" s="9" t="s">
        <v>159</v>
      </c>
      <c r="F1766" s="9">
        <f t="shared" si="1"/>
        <v>3</v>
      </c>
      <c r="G1766" s="9" t="s">
        <v>3499</v>
      </c>
      <c r="H1766" s="11" t="str">
        <f>IFERROR(__xludf.DUMMYFUNCTION("REGEXREPLACE(G1766, ""[^0-9a-zA-Z .'Ã]"","""")"),"Omar Epps")</f>
        <v>Omar Epps</v>
      </c>
      <c r="I1766" s="11" t="s">
        <v>6035</v>
      </c>
      <c r="J1766" s="9">
        <v>43442.0</v>
      </c>
      <c r="K1766" s="9" t="s">
        <v>6036</v>
      </c>
      <c r="L1766" s="9">
        <v>146.0</v>
      </c>
      <c r="M1766" s="9" t="s">
        <v>24</v>
      </c>
      <c r="N1766" s="9" t="s">
        <v>130</v>
      </c>
      <c r="O1766" s="10">
        <v>6.0E7</v>
      </c>
      <c r="P1766" s="10">
        <f t="shared" si="2"/>
        <v>0</v>
      </c>
      <c r="Q1766" s="12">
        <f t="shared" si="3"/>
        <v>46604061</v>
      </c>
      <c r="R1766" s="9">
        <v>2004.0</v>
      </c>
      <c r="S1766" s="9">
        <v>6.2</v>
      </c>
    </row>
    <row r="1767" ht="15.75" customHeight="1">
      <c r="A1767" s="21" t="s">
        <v>1868</v>
      </c>
      <c r="B1767" s="8" t="str">
        <f>IFERROR(__xludf.DUMMYFUNCTION("REGEXREPLACE(A1767, ""[^0-9a-zA-Z .'Ã]"","""")"),"Brett Ratner")</f>
        <v>Brett Ratner</v>
      </c>
      <c r="C1767" s="22">
        <v>117.0</v>
      </c>
      <c r="D1767" s="23">
        <v>2.8328132E7</v>
      </c>
      <c r="E1767" s="22" t="s">
        <v>6037</v>
      </c>
      <c r="F1767" s="9">
        <f t="shared" si="1"/>
        <v>4</v>
      </c>
      <c r="G1767" s="22" t="s">
        <v>4843</v>
      </c>
      <c r="H1767" s="11" t="str">
        <f>IFERROR(__xludf.DUMMYFUNCTION("REGEXREPLACE(G1767, ""[^0-9a-zA-Z .'Ã]"","""")"),"Salma Hayek")</f>
        <v>Salma Hayek</v>
      </c>
      <c r="I1767" s="24" t="s">
        <v>6038</v>
      </c>
      <c r="J1767" s="22">
        <v>38298.0</v>
      </c>
      <c r="K1767" s="22" t="s">
        <v>6039</v>
      </c>
      <c r="L1767" s="22">
        <v>147.0</v>
      </c>
      <c r="M1767" s="22" t="s">
        <v>24</v>
      </c>
      <c r="N1767" s="22" t="s">
        <v>25</v>
      </c>
      <c r="O1767" s="23">
        <v>5.8E7</v>
      </c>
      <c r="P1767" s="10">
        <f t="shared" si="2"/>
        <v>0</v>
      </c>
      <c r="Q1767" s="12">
        <f t="shared" si="3"/>
        <v>29671868</v>
      </c>
      <c r="R1767" s="22">
        <v>2004.0</v>
      </c>
      <c r="S1767" s="22">
        <v>6.3</v>
      </c>
    </row>
    <row r="1768" ht="15.75" customHeight="1">
      <c r="A1768" s="7" t="s">
        <v>2446</v>
      </c>
      <c r="B1768" s="8" t="str">
        <f>IFERROR(__xludf.DUMMYFUNCTION("REGEXREPLACE(A1768, ""[^0-9a-zA-Z .'Ã]"","""")"),"Brad Anderson")</f>
        <v>Brad Anderson</v>
      </c>
      <c r="C1768" s="9">
        <v>38.0</v>
      </c>
      <c r="D1768" s="10">
        <v>3386698.0</v>
      </c>
      <c r="E1768" s="9" t="s">
        <v>159</v>
      </c>
      <c r="F1768" s="9">
        <f t="shared" si="1"/>
        <v>3</v>
      </c>
      <c r="G1768" s="9" t="s">
        <v>1340</v>
      </c>
      <c r="H1768" s="11" t="str">
        <f>IFERROR(__xludf.DUMMYFUNCTION("REGEXREPLACE(G1768, ""[^0-9a-zA-Z .'Ã]"","""")"),"Philip Seymour Hoffman")</f>
        <v>Philip Seymour Hoffman</v>
      </c>
      <c r="I1768" s="11" t="s">
        <v>6040</v>
      </c>
      <c r="J1768" s="9">
        <v>4195.0</v>
      </c>
      <c r="K1768" s="9" t="s">
        <v>6041</v>
      </c>
      <c r="L1768" s="9">
        <v>86.0</v>
      </c>
      <c r="M1768" s="9" t="s">
        <v>24</v>
      </c>
      <c r="N1768" s="9" t="s">
        <v>25</v>
      </c>
      <c r="O1768" s="10">
        <v>1000000.0</v>
      </c>
      <c r="P1768" s="10">
        <f t="shared" si="2"/>
        <v>2386698</v>
      </c>
      <c r="Q1768" s="12">
        <f t="shared" si="3"/>
        <v>0</v>
      </c>
      <c r="R1768" s="9">
        <v>1998.0</v>
      </c>
      <c r="S1768" s="9">
        <v>6.7</v>
      </c>
    </row>
    <row r="1769" ht="15.75" customHeight="1">
      <c r="A1769" s="21" t="s">
        <v>6042</v>
      </c>
      <c r="B1769" s="8" t="str">
        <f>IFERROR(__xludf.DUMMYFUNCTION("REGEXREPLACE(A1769, ""[^0-9a-zA-Z .'Ã]"","""")"),"Chris Paine")</f>
        <v>Chris Paine</v>
      </c>
      <c r="C1769" s="22">
        <v>87.0</v>
      </c>
      <c r="D1769" s="23">
        <v>1677838.0</v>
      </c>
      <c r="E1769" s="22" t="s">
        <v>251</v>
      </c>
      <c r="F1769" s="9">
        <f t="shared" si="1"/>
        <v>1</v>
      </c>
      <c r="G1769" s="22" t="s">
        <v>247</v>
      </c>
      <c r="H1769" s="11" t="str">
        <f>IFERROR(__xludf.DUMMYFUNCTION("REGEXREPLACE(G1769, ""[^0-9a-zA-Z .'Ã]"","""")"),"Ed Begley Jr.")</f>
        <v>Ed Begley Jr.</v>
      </c>
      <c r="I1769" s="24" t="s">
        <v>6043</v>
      </c>
      <c r="J1769" s="22">
        <v>11283.0</v>
      </c>
      <c r="K1769" s="22" t="s">
        <v>6044</v>
      </c>
      <c r="L1769" s="22">
        <v>155.0</v>
      </c>
      <c r="M1769" s="22" t="s">
        <v>24</v>
      </c>
      <c r="N1769" s="22" t="s">
        <v>25</v>
      </c>
      <c r="O1769" s="23">
        <v>1000000.0</v>
      </c>
      <c r="P1769" s="10">
        <f t="shared" si="2"/>
        <v>677838</v>
      </c>
      <c r="Q1769" s="12">
        <f t="shared" si="3"/>
        <v>0</v>
      </c>
      <c r="R1769" s="22">
        <v>2006.0</v>
      </c>
      <c r="S1769" s="22">
        <v>7.7</v>
      </c>
    </row>
    <row r="1770" ht="15.75" customHeight="1">
      <c r="A1770" s="7" t="s">
        <v>3762</v>
      </c>
      <c r="B1770" s="8" t="str">
        <f>IFERROR(__xludf.DUMMYFUNCTION("REGEXREPLACE(A1770, ""[^0-9a-zA-Z .'Ã]"","""")"),"John Stockwell")</f>
        <v>John Stockwell</v>
      </c>
      <c r="C1770" s="9">
        <v>120.0</v>
      </c>
      <c r="D1770" s="10">
        <v>1.8472363E7</v>
      </c>
      <c r="E1770" s="9" t="s">
        <v>711</v>
      </c>
      <c r="F1770" s="9">
        <f t="shared" si="1"/>
        <v>4</v>
      </c>
      <c r="G1770" s="9" t="s">
        <v>802</v>
      </c>
      <c r="H1770" s="11" t="str">
        <f>IFERROR(__xludf.DUMMYFUNCTION("REGEXREPLACE(G1770, ""[^0-9a-zA-Z .'Ã]"","""")"),"Paul Walker")</f>
        <v>Paul Walker</v>
      </c>
      <c r="I1770" s="11" t="s">
        <v>6045</v>
      </c>
      <c r="J1770" s="9">
        <v>63599.0</v>
      </c>
      <c r="K1770" s="9" t="s">
        <v>6046</v>
      </c>
      <c r="L1770" s="9">
        <v>208.0</v>
      </c>
      <c r="M1770" s="9" t="s">
        <v>24</v>
      </c>
      <c r="N1770" s="9" t="s">
        <v>25</v>
      </c>
      <c r="O1770" s="10">
        <v>5.0E7</v>
      </c>
      <c r="P1770" s="10">
        <f t="shared" si="2"/>
        <v>0</v>
      </c>
      <c r="Q1770" s="12">
        <f t="shared" si="3"/>
        <v>31527637</v>
      </c>
      <c r="R1770" s="9">
        <v>2005.0</v>
      </c>
      <c r="S1770" s="9">
        <v>5.8</v>
      </c>
    </row>
    <row r="1771" ht="15.75" customHeight="1">
      <c r="A1771" s="7" t="s">
        <v>6047</v>
      </c>
      <c r="B1771" s="8" t="str">
        <f>IFERROR(__xludf.DUMMYFUNCTION("REGEXREPLACE(A1771, ""[^0-9a-zA-Z .'Ã]"","""")"),"Abel Ferrara")</f>
        <v>Abel Ferrara</v>
      </c>
      <c r="C1771" s="9">
        <v>48.0</v>
      </c>
      <c r="D1771" s="10">
        <v>1227324.0</v>
      </c>
      <c r="E1771" s="9" t="s">
        <v>54</v>
      </c>
      <c r="F1771" s="9">
        <f t="shared" si="1"/>
        <v>2</v>
      </c>
      <c r="G1771" s="9" t="s">
        <v>6048</v>
      </c>
      <c r="H1771" s="11" t="str">
        <f>IFERROR(__xludf.DUMMYFUNCTION("REGEXREPLACE(G1771, ""[^0-9a-zA-Z .'Ã]"","""")"),"Isabella Rossellini")</f>
        <v>Isabella Rossellini</v>
      </c>
      <c r="I1771" s="11" t="s">
        <v>6049</v>
      </c>
      <c r="J1771" s="9">
        <v>6921.0</v>
      </c>
      <c r="K1771" s="9" t="s">
        <v>6050</v>
      </c>
      <c r="L1771" s="9">
        <v>48.0</v>
      </c>
      <c r="M1771" s="9" t="s">
        <v>24</v>
      </c>
      <c r="N1771" s="9" t="s">
        <v>25</v>
      </c>
      <c r="O1771" s="10">
        <v>1.25E7</v>
      </c>
      <c r="P1771" s="10">
        <f t="shared" si="2"/>
        <v>0</v>
      </c>
      <c r="Q1771" s="12">
        <f t="shared" si="3"/>
        <v>11272676</v>
      </c>
      <c r="R1771" s="9">
        <v>1996.0</v>
      </c>
      <c r="S1771" s="9">
        <v>6.6</v>
      </c>
    </row>
    <row r="1772" ht="15.75" customHeight="1">
      <c r="A1772" s="17" t="s">
        <v>4772</v>
      </c>
      <c r="B1772" s="8" t="str">
        <f>IFERROR(__xludf.DUMMYFUNCTION("REGEXREPLACE(A1772, ""[^0-9a-zA-Z .'Ã]"","""")"),"Richard Eyre")</f>
        <v>Richard Eyre</v>
      </c>
      <c r="C1772" s="18">
        <v>100.0</v>
      </c>
      <c r="D1772" s="19">
        <v>1292119.0</v>
      </c>
      <c r="E1772" s="18" t="s">
        <v>887</v>
      </c>
      <c r="F1772" s="9">
        <f t="shared" si="1"/>
        <v>3</v>
      </c>
      <c r="G1772" s="18" t="s">
        <v>777</v>
      </c>
      <c r="H1772" s="11" t="str">
        <f>IFERROR(__xludf.DUMMYFUNCTION("REGEXREPLACE(G1772, ""[^0-9a-zA-Z .'Ã]"","""")"),"Kate Winslet")</f>
        <v>Kate Winslet</v>
      </c>
      <c r="I1772" s="20" t="s">
        <v>6051</v>
      </c>
      <c r="J1772" s="18">
        <v>14786.0</v>
      </c>
      <c r="K1772" s="18" t="s">
        <v>6052</v>
      </c>
      <c r="L1772" s="18">
        <v>144.0</v>
      </c>
      <c r="M1772" s="18" t="s">
        <v>24</v>
      </c>
      <c r="N1772" s="18" t="s">
        <v>130</v>
      </c>
      <c r="O1772" s="19">
        <v>5500000.0</v>
      </c>
      <c r="P1772" s="10">
        <f t="shared" si="2"/>
        <v>0</v>
      </c>
      <c r="Q1772" s="12">
        <f t="shared" si="3"/>
        <v>4207881</v>
      </c>
      <c r="R1772" s="18">
        <v>2001.0</v>
      </c>
      <c r="S1772" s="18">
        <v>7.1</v>
      </c>
    </row>
    <row r="1773" ht="15.75" customHeight="1">
      <c r="A1773" s="17" t="s">
        <v>6053</v>
      </c>
      <c r="B1773" s="8" t="str">
        <f>IFERROR(__xludf.DUMMYFUNCTION("REGEXREPLACE(A1773, ""[^0-9a-zA-Z .'Ã]"","""")"),"Franklin J. Schaffner")</f>
        <v>Franklin J. Schaffner</v>
      </c>
      <c r="C1773" s="18">
        <v>2.0</v>
      </c>
      <c r="D1773" s="19">
        <v>800000.0</v>
      </c>
      <c r="E1773" s="18" t="s">
        <v>3564</v>
      </c>
      <c r="F1773" s="9">
        <f t="shared" si="1"/>
        <v>3</v>
      </c>
      <c r="G1773" s="18" t="s">
        <v>2174</v>
      </c>
      <c r="H1773" s="11" t="str">
        <f>IFERROR(__xludf.DUMMYFUNCTION("REGEXREPLACE(G1773, ""[^0-9a-zA-Z .'Ã]"","""")"),"Frank Langella")</f>
        <v>Frank Langella</v>
      </c>
      <c r="I1773" s="20" t="s">
        <v>6054</v>
      </c>
      <c r="J1773" s="18">
        <v>892.0</v>
      </c>
      <c r="K1773" s="18" t="s">
        <v>6055</v>
      </c>
      <c r="L1773" s="18">
        <v>21.0</v>
      </c>
      <c r="M1773" s="18" t="s">
        <v>24</v>
      </c>
      <c r="N1773" s="18" t="s">
        <v>25</v>
      </c>
      <c r="O1773" s="19">
        <v>1.4E7</v>
      </c>
      <c r="P1773" s="10">
        <f t="shared" si="2"/>
        <v>0</v>
      </c>
      <c r="Q1773" s="12">
        <f t="shared" si="3"/>
        <v>13200000</v>
      </c>
      <c r="R1773" s="18">
        <v>1981.0</v>
      </c>
      <c r="S1773" s="18">
        <v>5.2</v>
      </c>
    </row>
    <row r="1774" ht="15.75" customHeight="1">
      <c r="A1774" s="21" t="s">
        <v>6056</v>
      </c>
      <c r="B1774" s="8" t="str">
        <f>IFERROR(__xludf.DUMMYFUNCTION("REGEXREPLACE(A1774, ""[^0-9a-zA-Z .'Ã]"","""")"),"Rusty Cundieff")</f>
        <v>Rusty Cundieff</v>
      </c>
      <c r="C1774" s="22">
        <v>25.0</v>
      </c>
      <c r="D1774" s="23">
        <v>1.1797927E7</v>
      </c>
      <c r="E1774" s="22" t="s">
        <v>389</v>
      </c>
      <c r="F1774" s="9">
        <f t="shared" si="1"/>
        <v>3</v>
      </c>
      <c r="G1774" s="22" t="s">
        <v>6057</v>
      </c>
      <c r="H1774" s="11" t="str">
        <f>IFERROR(__xludf.DUMMYFUNCTION("REGEXREPLACE(G1774, ""[^0-9a-zA-Z .'Ã]"","""")"),"Corbin Bernsen")</f>
        <v>Corbin Bernsen</v>
      </c>
      <c r="I1774" s="24" t="s">
        <v>6058</v>
      </c>
      <c r="J1774" s="22">
        <v>4582.0</v>
      </c>
      <c r="K1774" s="22" t="s">
        <v>6059</v>
      </c>
      <c r="L1774" s="22">
        <v>52.0</v>
      </c>
      <c r="M1774" s="22" t="s">
        <v>24</v>
      </c>
      <c r="N1774" s="22" t="s">
        <v>25</v>
      </c>
      <c r="O1774" s="23">
        <v>6000000.0</v>
      </c>
      <c r="P1774" s="10">
        <f t="shared" si="2"/>
        <v>5797927</v>
      </c>
      <c r="Q1774" s="12">
        <f t="shared" si="3"/>
        <v>0</v>
      </c>
      <c r="R1774" s="22">
        <v>1995.0</v>
      </c>
      <c r="S1774" s="22">
        <v>6.1</v>
      </c>
    </row>
    <row r="1775" ht="15.75" customHeight="1">
      <c r="A1775" s="13" t="s">
        <v>972</v>
      </c>
      <c r="B1775" s="8" t="str">
        <f>IFERROR(__xludf.DUMMYFUNCTION("REGEXREPLACE(A1775, ""[^0-9a-zA-Z .'Ã]"","""")"),"Shawn Levy")</f>
        <v>Shawn Levy</v>
      </c>
      <c r="C1775" s="14">
        <v>185.0</v>
      </c>
      <c r="D1775" s="15">
        <v>1.77243721E8</v>
      </c>
      <c r="E1775" s="14" t="s">
        <v>1874</v>
      </c>
      <c r="F1775" s="9">
        <f t="shared" si="1"/>
        <v>4</v>
      </c>
      <c r="G1775" s="14" t="s">
        <v>673</v>
      </c>
      <c r="H1775" s="11" t="str">
        <f>IFERROR(__xludf.DUMMYFUNCTION("REGEXREPLACE(G1775, ""[^0-9a-zA-Z .'Ã]"","""")"),"Robin Williams")</f>
        <v>Robin Williams</v>
      </c>
      <c r="I1775" s="16" t="s">
        <v>6060</v>
      </c>
      <c r="J1775" s="14">
        <v>130272.0</v>
      </c>
      <c r="K1775" s="14" t="s">
        <v>6061</v>
      </c>
      <c r="L1775" s="14">
        <v>209.0</v>
      </c>
      <c r="M1775" s="14" t="s">
        <v>24</v>
      </c>
      <c r="N1775" s="14" t="s">
        <v>25</v>
      </c>
      <c r="O1775" s="15">
        <v>1.5E8</v>
      </c>
      <c r="P1775" s="10">
        <f t="shared" si="2"/>
        <v>27243721</v>
      </c>
      <c r="Q1775" s="12">
        <f t="shared" si="3"/>
        <v>0</v>
      </c>
      <c r="R1775" s="14">
        <v>2009.0</v>
      </c>
      <c r="S1775" s="14">
        <v>5.9</v>
      </c>
    </row>
    <row r="1776" ht="15.75" customHeight="1">
      <c r="A1776" s="13" t="s">
        <v>1291</v>
      </c>
      <c r="B1776" s="8" t="str">
        <f>IFERROR(__xludf.DUMMYFUNCTION("REGEXREPLACE(A1776, ""[^0-9a-zA-Z .'Ã]"","""")"),"John Whitesell")</f>
        <v>John Whitesell</v>
      </c>
      <c r="C1776" s="14">
        <v>37.0</v>
      </c>
      <c r="D1776" s="15">
        <v>3.4308901E7</v>
      </c>
      <c r="E1776" s="14" t="s">
        <v>440</v>
      </c>
      <c r="F1776" s="9">
        <f t="shared" si="1"/>
        <v>2</v>
      </c>
      <c r="G1776" s="14" t="s">
        <v>2809</v>
      </c>
      <c r="H1776" s="11" t="str">
        <f>IFERROR(__xludf.DUMMYFUNCTION("REGEXREPLACE(G1776, ""[^0-9a-zA-Z .'Ã]"","""")"),"Greg Grunberg")</f>
        <v>Greg Grunberg</v>
      </c>
      <c r="I1776" s="16" t="s">
        <v>6062</v>
      </c>
      <c r="J1776" s="14">
        <v>15939.0</v>
      </c>
      <c r="K1776" s="14" t="s">
        <v>6063</v>
      </c>
      <c r="L1776" s="14">
        <v>87.0</v>
      </c>
      <c r="M1776" s="14" t="s">
        <v>24</v>
      </c>
      <c r="N1776" s="14" t="s">
        <v>25</v>
      </c>
      <c r="O1776" s="15">
        <v>1.6E7</v>
      </c>
      <c r="P1776" s="10">
        <f t="shared" si="2"/>
        <v>18308901</v>
      </c>
      <c r="Q1776" s="12">
        <f t="shared" si="3"/>
        <v>0</v>
      </c>
      <c r="R1776" s="14">
        <v>2003.0</v>
      </c>
      <c r="S1776" s="14">
        <v>5.1</v>
      </c>
    </row>
    <row r="1777" ht="15.75" customHeight="1">
      <c r="A1777" s="17" t="s">
        <v>68</v>
      </c>
      <c r="B1777" s="8" t="str">
        <f>IFERROR(__xludf.DUMMYFUNCTION("REGEXREPLACE(A1777, ""[^0-9a-zA-Z .'Ã]"","""")"),"Spike Lee")</f>
        <v>Spike Lee</v>
      </c>
      <c r="C1777" s="18">
        <v>22.0</v>
      </c>
      <c r="D1777" s="19">
        <v>1.4545844E7</v>
      </c>
      <c r="E1777" s="18" t="s">
        <v>6064</v>
      </c>
      <c r="F1777" s="9">
        <f t="shared" si="1"/>
        <v>3</v>
      </c>
      <c r="G1777" s="18" t="s">
        <v>6065</v>
      </c>
      <c r="H1777" s="11" t="str">
        <f>IFERROR(__xludf.DUMMYFUNCTION("REGEXREPLACE(G1777, ""[^0-9a-zA-Z .'Ã]"","""")"),"Tisha CampbellMartin")</f>
        <v>Tisha CampbellMartin</v>
      </c>
      <c r="I1777" s="20" t="s">
        <v>6066</v>
      </c>
      <c r="J1777" s="18">
        <v>4756.0</v>
      </c>
      <c r="K1777" s="18" t="s">
        <v>6067</v>
      </c>
      <c r="L1777" s="18">
        <v>38.0</v>
      </c>
      <c r="M1777" s="18" t="s">
        <v>24</v>
      </c>
      <c r="N1777" s="18" t="s">
        <v>25</v>
      </c>
      <c r="O1777" s="19">
        <v>6500000.0</v>
      </c>
      <c r="P1777" s="10">
        <f t="shared" si="2"/>
        <v>8045844</v>
      </c>
      <c r="Q1777" s="12">
        <f t="shared" si="3"/>
        <v>0</v>
      </c>
      <c r="R1777" s="18">
        <v>1988.0</v>
      </c>
      <c r="S1777" s="18">
        <v>5.8</v>
      </c>
    </row>
    <row r="1778" ht="15.75" customHeight="1">
      <c r="A1778" s="13" t="s">
        <v>1075</v>
      </c>
      <c r="B1778" s="8" t="str">
        <f>IFERROR(__xludf.DUMMYFUNCTION("REGEXREPLACE(A1778, ""[^0-9a-zA-Z .'Ã]"","""")"),"Irwin Winkler")</f>
        <v>Irwin Winkler</v>
      </c>
      <c r="C1778" s="14">
        <v>99.0</v>
      </c>
      <c r="D1778" s="15">
        <v>1.5561627E7</v>
      </c>
      <c r="E1778" s="14" t="s">
        <v>103</v>
      </c>
      <c r="F1778" s="9">
        <f t="shared" si="1"/>
        <v>1</v>
      </c>
      <c r="G1778" s="14" t="s">
        <v>2325</v>
      </c>
      <c r="H1778" s="11" t="str">
        <f>IFERROR(__xludf.DUMMYFUNCTION("REGEXREPLACE(G1778, ""[^0-9a-zA-Z .'Ã]"","""")"),"Ian Somerhalder")</f>
        <v>Ian Somerhalder</v>
      </c>
      <c r="I1778" s="16" t="s">
        <v>6068</v>
      </c>
      <c r="J1778" s="14">
        <v>39105.0</v>
      </c>
      <c r="K1778" s="14" t="s">
        <v>6069</v>
      </c>
      <c r="L1778" s="14">
        <v>359.0</v>
      </c>
      <c r="M1778" s="14" t="s">
        <v>24</v>
      </c>
      <c r="N1778" s="14" t="s">
        <v>25</v>
      </c>
      <c r="O1778" s="15">
        <v>1.8E7</v>
      </c>
      <c r="P1778" s="10">
        <f t="shared" si="2"/>
        <v>0</v>
      </c>
      <c r="Q1778" s="12">
        <f t="shared" si="3"/>
        <v>2438373</v>
      </c>
      <c r="R1778" s="14">
        <v>2001.0</v>
      </c>
      <c r="S1778" s="14">
        <v>7.5</v>
      </c>
    </row>
    <row r="1779" ht="15.75" customHeight="1">
      <c r="A1779" s="7" t="s">
        <v>521</v>
      </c>
      <c r="B1779" s="8" t="str">
        <f>IFERROR(__xludf.DUMMYFUNCTION("REGEXREPLACE(A1779, ""[^0-9a-zA-Z .'Ã]"","""")"),"Phillip Noyce")</f>
        <v>Phillip Noyce</v>
      </c>
      <c r="C1779" s="9">
        <v>198.0</v>
      </c>
      <c r="D1779" s="10">
        <v>4.5089048E7</v>
      </c>
      <c r="E1779" s="9" t="s">
        <v>3958</v>
      </c>
      <c r="F1779" s="9">
        <f t="shared" si="1"/>
        <v>3</v>
      </c>
      <c r="G1779" s="9" t="s">
        <v>1400</v>
      </c>
      <c r="H1779" s="11" t="str">
        <f>IFERROR(__xludf.DUMMYFUNCTION("REGEXREPLACE(G1779, ""[^0-9a-zA-Z .'Ã]"","""")"),"Jeff Bridges")</f>
        <v>Jeff Bridges</v>
      </c>
      <c r="I1779" s="11" t="s">
        <v>6070</v>
      </c>
      <c r="J1779" s="9">
        <v>86251.0</v>
      </c>
      <c r="K1779" s="9" t="s">
        <v>6071</v>
      </c>
      <c r="L1779" s="9">
        <v>260.0</v>
      </c>
      <c r="M1779" s="9" t="s">
        <v>24</v>
      </c>
      <c r="N1779" s="9" t="s">
        <v>4319</v>
      </c>
      <c r="O1779" s="10">
        <v>2.5E7</v>
      </c>
      <c r="P1779" s="10">
        <f t="shared" si="2"/>
        <v>20089048</v>
      </c>
      <c r="Q1779" s="12">
        <f t="shared" si="3"/>
        <v>0</v>
      </c>
      <c r="R1779" s="9">
        <v>2014.0</v>
      </c>
      <c r="S1779" s="9">
        <v>6.5</v>
      </c>
    </row>
    <row r="1780" ht="15.75" customHeight="1">
      <c r="A1780" s="7" t="s">
        <v>6072</v>
      </c>
      <c r="B1780" s="8" t="str">
        <f>IFERROR(__xludf.DUMMYFUNCTION("REGEXREPLACE(A1780, ""[^0-9a-zA-Z .'Ã]"","""")"),"Jim Field Smith")</f>
        <v>Jim Field Smith</v>
      </c>
      <c r="C1780" s="9">
        <v>180.0</v>
      </c>
      <c r="D1780" s="10">
        <v>3.1584722E7</v>
      </c>
      <c r="E1780" s="9" t="s">
        <v>89</v>
      </c>
      <c r="F1780" s="9">
        <f t="shared" si="1"/>
        <v>2</v>
      </c>
      <c r="G1780" s="9" t="s">
        <v>2090</v>
      </c>
      <c r="H1780" s="11" t="str">
        <f>IFERROR(__xludf.DUMMYFUNCTION("REGEXREPLACE(G1780, ""[^0-9a-zA-Z .'Ã]"","""")"),"Mike Vogel")</f>
        <v>Mike Vogel</v>
      </c>
      <c r="I1780" s="11" t="s">
        <v>6073</v>
      </c>
      <c r="J1780" s="9">
        <v>101730.0</v>
      </c>
      <c r="K1780" s="9" t="s">
        <v>6074</v>
      </c>
      <c r="L1780" s="9">
        <v>131.0</v>
      </c>
      <c r="M1780" s="9" t="s">
        <v>24</v>
      </c>
      <c r="N1780" s="9" t="s">
        <v>25</v>
      </c>
      <c r="O1780" s="10">
        <v>2.0E7</v>
      </c>
      <c r="P1780" s="10">
        <f t="shared" si="2"/>
        <v>11584722</v>
      </c>
      <c r="Q1780" s="12">
        <f t="shared" si="3"/>
        <v>0</v>
      </c>
      <c r="R1780" s="9">
        <v>2010.0</v>
      </c>
      <c r="S1780" s="9">
        <v>6.4</v>
      </c>
    </row>
    <row r="1781" ht="15.75" customHeight="1">
      <c r="A1781" s="7" t="s">
        <v>676</v>
      </c>
      <c r="B1781" s="8" t="str">
        <f>IFERROR(__xludf.DUMMYFUNCTION("REGEXREPLACE(A1781, ""[^0-9a-zA-Z .'Ã]"","""")"),"Stephen Herek")</f>
        <v>Stephen Herek</v>
      </c>
      <c r="C1781" s="9">
        <v>86.0</v>
      </c>
      <c r="D1781" s="10">
        <v>1.4448589E7</v>
      </c>
      <c r="E1781" s="9" t="s">
        <v>89</v>
      </c>
      <c r="F1781" s="9">
        <f t="shared" si="1"/>
        <v>2</v>
      </c>
      <c r="G1781" s="9" t="s">
        <v>844</v>
      </c>
      <c r="H1781" s="11" t="str">
        <f>IFERROR(__xludf.DUMMYFUNCTION("REGEXREPLACE(G1781, ""[^0-9a-zA-Z .'Ã]"","""")"),"Angelina Jolie Pitt")</f>
        <v>Angelina Jolie Pitt</v>
      </c>
      <c r="I1781" s="11" t="s">
        <v>6075</v>
      </c>
      <c r="J1781" s="9">
        <v>19364.0</v>
      </c>
      <c r="K1781" s="9" t="s">
        <v>6076</v>
      </c>
      <c r="L1781" s="9">
        <v>128.0</v>
      </c>
      <c r="M1781" s="9" t="s">
        <v>24</v>
      </c>
      <c r="N1781" s="9" t="s">
        <v>25</v>
      </c>
      <c r="O1781" s="10">
        <v>4.0E7</v>
      </c>
      <c r="P1781" s="10">
        <f t="shared" si="2"/>
        <v>0</v>
      </c>
      <c r="Q1781" s="12">
        <f t="shared" si="3"/>
        <v>25551411</v>
      </c>
      <c r="R1781" s="9">
        <v>2002.0</v>
      </c>
      <c r="S1781" s="9">
        <v>5.8</v>
      </c>
    </row>
    <row r="1782" ht="15.75" customHeight="1">
      <c r="A1782" s="7" t="s">
        <v>6077</v>
      </c>
      <c r="B1782" s="8" t="str">
        <f>IFERROR(__xludf.DUMMYFUNCTION("REGEXREPLACE(A1782, ""[^0-9a-zA-Z .'Ã]"","""")"),"Yarrow Cheney")</f>
        <v>Yarrow Cheney</v>
      </c>
      <c r="C1782" s="9">
        <v>165.0</v>
      </c>
      <c r="D1782" s="10">
        <v>3.2350554E8</v>
      </c>
      <c r="E1782" s="9" t="s">
        <v>3503</v>
      </c>
      <c r="F1782" s="9">
        <f t="shared" si="1"/>
        <v>3</v>
      </c>
      <c r="G1782" s="9" t="s">
        <v>322</v>
      </c>
      <c r="H1782" s="11" t="str">
        <f>IFERROR(__xludf.DUMMYFUNCTION("REGEXREPLACE(G1782, ""[^0-9a-zA-Z .'Ã]"","""")"),"Steve Coogan")</f>
        <v>Steve Coogan</v>
      </c>
      <c r="I1782" s="11" t="s">
        <v>6078</v>
      </c>
      <c r="J1782" s="9">
        <v>24407.0</v>
      </c>
      <c r="K1782" s="9" t="s">
        <v>6079</v>
      </c>
      <c r="L1782" s="9">
        <v>155.0</v>
      </c>
      <c r="M1782" s="9" t="s">
        <v>24</v>
      </c>
      <c r="N1782" s="9" t="s">
        <v>1535</v>
      </c>
      <c r="O1782" s="10">
        <v>7.5E7</v>
      </c>
      <c r="P1782" s="10">
        <f t="shared" si="2"/>
        <v>248505540</v>
      </c>
      <c r="Q1782" s="12">
        <f t="shared" si="3"/>
        <v>0</v>
      </c>
      <c r="R1782" s="9">
        <v>2016.0</v>
      </c>
      <c r="S1782" s="9">
        <v>6.8</v>
      </c>
    </row>
    <row r="1783" ht="15.75" customHeight="1">
      <c r="A1783" s="7" t="s">
        <v>6080</v>
      </c>
      <c r="B1783" s="8" t="str">
        <f>IFERROR(__xludf.DUMMYFUNCTION("REGEXREPLACE(A1783, ""[^0-9a-zA-Z -.'Ã]"","""")"),"Gina Prince-Bythewood")</f>
        <v>Gina Prince-Bythewood</v>
      </c>
      <c r="C1783" s="9">
        <v>68.0</v>
      </c>
      <c r="D1783" s="10">
        <v>2.7441122E7</v>
      </c>
      <c r="E1783" s="9" t="s">
        <v>6081</v>
      </c>
      <c r="F1783" s="9">
        <f t="shared" si="1"/>
        <v>3</v>
      </c>
      <c r="G1783" s="9" t="s">
        <v>3363</v>
      </c>
      <c r="H1783" s="11" t="str">
        <f>IFERROR(__xludf.DUMMYFUNCTION("REGEXREPLACE(G1783, ""[^0-9a-zA-Z .'Ã]"","""")"),"Alfre Woodard")</f>
        <v>Alfre Woodard</v>
      </c>
      <c r="I1783" s="11" t="s">
        <v>6082</v>
      </c>
      <c r="J1783" s="9">
        <v>14322.0</v>
      </c>
      <c r="K1783" s="9" t="s">
        <v>6083</v>
      </c>
      <c r="L1783" s="9">
        <v>116.0</v>
      </c>
      <c r="M1783" s="9" t="s">
        <v>24</v>
      </c>
      <c r="N1783" s="9" t="s">
        <v>25</v>
      </c>
      <c r="O1783" s="10">
        <v>1.5E7</v>
      </c>
      <c r="P1783" s="10">
        <f t="shared" si="2"/>
        <v>12441122</v>
      </c>
      <c r="Q1783" s="12">
        <f t="shared" si="3"/>
        <v>0</v>
      </c>
      <c r="R1783" s="9">
        <v>2000.0</v>
      </c>
      <c r="S1783" s="9">
        <v>7.2</v>
      </c>
    </row>
    <row r="1784" ht="15.75" customHeight="1">
      <c r="A1784" s="25" t="s">
        <v>972</v>
      </c>
      <c r="B1784" s="8" t="str">
        <f>IFERROR(__xludf.DUMMYFUNCTION("REGEXREPLACE(A1784, ""[^0-9a-zA-Z .'Ã]"","""")"),"Shawn Levy")</f>
        <v>Shawn Levy</v>
      </c>
      <c r="C1784" s="26">
        <v>247.0</v>
      </c>
      <c r="D1784" s="27">
        <v>9.8711404E7</v>
      </c>
      <c r="E1784" s="26" t="s">
        <v>6084</v>
      </c>
      <c r="F1784" s="9">
        <f t="shared" si="1"/>
        <v>4</v>
      </c>
      <c r="G1784" s="26" t="s">
        <v>4748</v>
      </c>
      <c r="H1784" s="11" t="str">
        <f>IFERROR(__xludf.DUMMYFUNCTION("REGEXREPLACE(G1784, ""[^0-9a-zA-Z .'Ã]"","""")"),"Mila Kunis")</f>
        <v>Mila Kunis</v>
      </c>
      <c r="I1784" s="28" t="s">
        <v>6085</v>
      </c>
      <c r="J1784" s="26">
        <v>127571.0</v>
      </c>
      <c r="K1784" s="26" t="s">
        <v>6086</v>
      </c>
      <c r="L1784" s="26">
        <v>207.0</v>
      </c>
      <c r="M1784" s="26" t="s">
        <v>24</v>
      </c>
      <c r="N1784" s="26" t="s">
        <v>25</v>
      </c>
      <c r="O1784" s="27">
        <v>5.5E7</v>
      </c>
      <c r="P1784" s="10">
        <f t="shared" si="2"/>
        <v>43711404</v>
      </c>
      <c r="Q1784" s="12">
        <f t="shared" si="3"/>
        <v>0</v>
      </c>
      <c r="R1784" s="26">
        <v>2010.0</v>
      </c>
      <c r="S1784" s="26">
        <v>6.3</v>
      </c>
    </row>
    <row r="1785" ht="15.75" customHeight="1">
      <c r="A1785" s="7" t="s">
        <v>2284</v>
      </c>
      <c r="B1785" s="8" t="str">
        <f>IFERROR(__xludf.DUMMYFUNCTION("REGEXREPLACE(A1785, ""[^0-9a-zA-Z .'Ã]"","""")"),"Dave Green")</f>
        <v>Dave Green</v>
      </c>
      <c r="C1785" s="9">
        <v>181.0</v>
      </c>
      <c r="D1785" s="10">
        <v>8.1638674E7</v>
      </c>
      <c r="E1785" s="9" t="s">
        <v>1387</v>
      </c>
      <c r="F1785" s="9">
        <f t="shared" si="1"/>
        <v>4</v>
      </c>
      <c r="G1785" s="9" t="s">
        <v>6087</v>
      </c>
      <c r="H1785" s="11" t="str">
        <f>IFERROR(__xludf.DUMMYFUNCTION("REGEXREPLACE(G1785, ""[^0-9a-zA-Z .'Ã]"","""")"),"Stephen Amell")</f>
        <v>Stephen Amell</v>
      </c>
      <c r="I1785" s="11" t="s">
        <v>6088</v>
      </c>
      <c r="J1785" s="9">
        <v>17533.0</v>
      </c>
      <c r="K1785" s="9" t="s">
        <v>6089</v>
      </c>
      <c r="L1785" s="9">
        <v>115.0</v>
      </c>
      <c r="M1785" s="9" t="s">
        <v>24</v>
      </c>
      <c r="N1785" s="9" t="s">
        <v>25</v>
      </c>
      <c r="O1785" s="10">
        <v>1.35E8</v>
      </c>
      <c r="P1785" s="10">
        <f t="shared" si="2"/>
        <v>0</v>
      </c>
      <c r="Q1785" s="12">
        <f t="shared" si="3"/>
        <v>53361326</v>
      </c>
      <c r="R1785" s="9">
        <v>2016.0</v>
      </c>
      <c r="S1785" s="9">
        <v>6.3</v>
      </c>
    </row>
    <row r="1786" ht="15.75" customHeight="1">
      <c r="A1786" s="25" t="s">
        <v>6090</v>
      </c>
      <c r="B1786" s="8" t="str">
        <f>IFERROR(__xludf.DUMMYFUNCTION("REGEXREPLACE(A1786, ""[^0-9a-zA-Z .'Ã]"","""")"),"Mark Christopher")</f>
        <v>Mark Christopher</v>
      </c>
      <c r="C1786" s="26">
        <v>63.0</v>
      </c>
      <c r="D1786" s="27">
        <v>1.6574731E7</v>
      </c>
      <c r="E1786" s="26" t="s">
        <v>418</v>
      </c>
      <c r="F1786" s="9">
        <f t="shared" si="1"/>
        <v>2</v>
      </c>
      <c r="G1786" s="26" t="s">
        <v>4843</v>
      </c>
      <c r="H1786" s="11" t="str">
        <f>IFERROR(__xludf.DUMMYFUNCTION("REGEXREPLACE(G1786, ""[^0-9a-zA-Z .'Ã]"","""")"),"Salma Hayek")</f>
        <v>Salma Hayek</v>
      </c>
      <c r="I1786" s="28" t="s">
        <v>6091</v>
      </c>
      <c r="J1786" s="26">
        <v>27675.0</v>
      </c>
      <c r="K1786" s="26" t="s">
        <v>6092</v>
      </c>
      <c r="L1786" s="26">
        <v>181.0</v>
      </c>
      <c r="M1786" s="26" t="s">
        <v>24</v>
      </c>
      <c r="N1786" s="26" t="s">
        <v>25</v>
      </c>
      <c r="O1786" s="27">
        <v>1.3E7</v>
      </c>
      <c r="P1786" s="10">
        <f t="shared" si="2"/>
        <v>3574731</v>
      </c>
      <c r="Q1786" s="12">
        <f t="shared" si="3"/>
        <v>0</v>
      </c>
      <c r="R1786" s="26">
        <v>1998.0</v>
      </c>
      <c r="S1786" s="26">
        <v>5.8</v>
      </c>
    </row>
    <row r="1787" ht="15.75" customHeight="1">
      <c r="A1787" s="7" t="s">
        <v>3154</v>
      </c>
      <c r="B1787" s="8" t="str">
        <f>IFERROR(__xludf.DUMMYFUNCTION("REGEXREPLACE(A1787, ""[^0-9a-zA-Z .'Ã]"","""")"),"Steve Carr")</f>
        <v>Steve Carr</v>
      </c>
      <c r="C1787" s="9">
        <v>81.0</v>
      </c>
      <c r="D1787" s="10">
        <v>1.04148781E8</v>
      </c>
      <c r="E1787" s="9" t="s">
        <v>857</v>
      </c>
      <c r="F1787" s="9">
        <f t="shared" si="1"/>
        <v>2</v>
      </c>
      <c r="G1787" s="9" t="s">
        <v>1601</v>
      </c>
      <c r="H1787" s="11" t="str">
        <f>IFERROR(__xludf.DUMMYFUNCTION("REGEXREPLACE(G1787, ""[^0-9a-zA-Z .'Ã]"","""")"),"Anjelica Huston")</f>
        <v>Anjelica Huston</v>
      </c>
      <c r="I1787" s="11" t="s">
        <v>6093</v>
      </c>
      <c r="J1787" s="9">
        <v>49486.0</v>
      </c>
      <c r="K1787" s="9" t="s">
        <v>6094</v>
      </c>
      <c r="L1787" s="9">
        <v>116.0</v>
      </c>
      <c r="M1787" s="9" t="s">
        <v>24</v>
      </c>
      <c r="N1787" s="9" t="s">
        <v>25</v>
      </c>
      <c r="O1787" s="10">
        <v>6.0E7</v>
      </c>
      <c r="P1787" s="10">
        <f t="shared" si="2"/>
        <v>44148781</v>
      </c>
      <c r="Q1787" s="12">
        <f t="shared" si="3"/>
        <v>0</v>
      </c>
      <c r="R1787" s="9">
        <v>2003.0</v>
      </c>
      <c r="S1787" s="9">
        <v>5.5</v>
      </c>
    </row>
    <row r="1788" ht="15.75" customHeight="1">
      <c r="A1788" s="17" t="s">
        <v>6095</v>
      </c>
      <c r="B1788" s="8" t="str">
        <f>IFERROR(__xludf.DUMMYFUNCTION("REGEXREPLACE(A1788, ""[^0-9a-zA-Z .'Ã]"","""")"),"Peter Ramsey")</f>
        <v>Peter Ramsey</v>
      </c>
      <c r="C1788" s="18">
        <v>256.0</v>
      </c>
      <c r="D1788" s="19">
        <v>1.03400692E8</v>
      </c>
      <c r="E1788" s="18" t="s">
        <v>865</v>
      </c>
      <c r="F1788" s="9">
        <f t="shared" si="1"/>
        <v>4</v>
      </c>
      <c r="G1788" s="18" t="s">
        <v>974</v>
      </c>
      <c r="H1788" s="11" t="str">
        <f>IFERROR(__xludf.DUMMYFUNCTION("REGEXREPLACE(G1788, ""[^0-9a-zA-Z .'Ã]"","""")"),"Hugh Jackman")</f>
        <v>Hugh Jackman</v>
      </c>
      <c r="I1788" s="20" t="s">
        <v>6096</v>
      </c>
      <c r="J1788" s="18">
        <v>123553.0</v>
      </c>
      <c r="K1788" s="18" t="s">
        <v>6097</v>
      </c>
      <c r="L1788" s="18">
        <v>174.0</v>
      </c>
      <c r="M1788" s="18" t="s">
        <v>24</v>
      </c>
      <c r="N1788" s="18" t="s">
        <v>25</v>
      </c>
      <c r="O1788" s="19">
        <v>1.45E8</v>
      </c>
      <c r="P1788" s="10">
        <f t="shared" si="2"/>
        <v>0</v>
      </c>
      <c r="Q1788" s="12">
        <f t="shared" si="3"/>
        <v>41599308</v>
      </c>
      <c r="R1788" s="18">
        <v>2012.0</v>
      </c>
      <c r="S1788" s="18">
        <v>7.3</v>
      </c>
    </row>
    <row r="1789" ht="15.75" customHeight="1">
      <c r="A1789" s="21" t="s">
        <v>6098</v>
      </c>
      <c r="B1789" s="8" t="str">
        <f>IFERROR(__xludf.DUMMYFUNCTION("REGEXREPLACE(A1789, ""[^0-9a-zA-Z -.'Ã]"","""")"),"Jean-Jacques Mantello")</f>
        <v>Jean-Jacques Mantello</v>
      </c>
      <c r="C1789" s="22">
        <v>9.0</v>
      </c>
      <c r="D1789" s="23">
        <v>7518876.0</v>
      </c>
      <c r="E1789" s="22" t="s">
        <v>6099</v>
      </c>
      <c r="F1789" s="9">
        <f t="shared" si="1"/>
        <v>3</v>
      </c>
      <c r="G1789" s="22" t="s">
        <v>5162</v>
      </c>
      <c r="H1789" s="11" t="str">
        <f>IFERROR(__xludf.DUMMYFUNCTION("REGEXREPLACE(G1789, ""[^0-9a-zA-Z .'Ã]"","""")"),"Charlotte Rampling")</f>
        <v>Charlotte Rampling</v>
      </c>
      <c r="I1789" s="24" t="s">
        <v>6100</v>
      </c>
      <c r="J1789" s="22">
        <v>172.0</v>
      </c>
      <c r="K1789" s="22" t="s">
        <v>6101</v>
      </c>
      <c r="L1789" s="22">
        <v>5.0</v>
      </c>
      <c r="M1789" s="22" t="s">
        <v>24</v>
      </c>
      <c r="N1789" s="22" t="s">
        <v>130</v>
      </c>
      <c r="O1789" s="23">
        <v>6000000.0</v>
      </c>
      <c r="P1789" s="10">
        <f t="shared" si="2"/>
        <v>1518876</v>
      </c>
      <c r="Q1789" s="12">
        <f t="shared" si="3"/>
        <v>0</v>
      </c>
      <c r="R1789" s="22">
        <v>2008.0</v>
      </c>
      <c r="S1789" s="22">
        <v>6.5</v>
      </c>
    </row>
    <row r="1790" ht="15.75" customHeight="1">
      <c r="A1790" s="21" t="s">
        <v>6102</v>
      </c>
      <c r="B1790" s="8" t="str">
        <f>IFERROR(__xludf.DUMMYFUNCTION("REGEXREPLACE(A1790, ""[^0-9a-zA-Z .'Ã]"","""")"),"Thomas Bezucha")</f>
        <v>Thomas Bezucha</v>
      </c>
      <c r="C1790" s="22">
        <v>142.0</v>
      </c>
      <c r="D1790" s="23">
        <v>6061759.0</v>
      </c>
      <c r="E1790" s="22" t="s">
        <v>159</v>
      </c>
      <c r="F1790" s="9">
        <f t="shared" si="1"/>
        <v>3</v>
      </c>
      <c r="G1790" s="22" t="s">
        <v>6103</v>
      </c>
      <c r="H1790" s="11" t="str">
        <f>IFERROR(__xludf.DUMMYFUNCTION("REGEXREPLACE(G1790, ""[^0-9a-zA-Z .'Ã]"","""")"),"Craig T. Nelson")</f>
        <v>Craig T. Nelson</v>
      </c>
      <c r="I1790" s="24" t="s">
        <v>6104</v>
      </c>
      <c r="J1790" s="22">
        <v>49077.0</v>
      </c>
      <c r="K1790" s="22" t="s">
        <v>6105</v>
      </c>
      <c r="L1790" s="22">
        <v>475.0</v>
      </c>
      <c r="M1790" s="22" t="s">
        <v>24</v>
      </c>
      <c r="N1790" s="22" t="s">
        <v>25</v>
      </c>
      <c r="O1790" s="23">
        <v>1.7E7</v>
      </c>
      <c r="P1790" s="10">
        <f t="shared" si="2"/>
        <v>0</v>
      </c>
      <c r="Q1790" s="12">
        <f t="shared" si="3"/>
        <v>10938241</v>
      </c>
      <c r="R1790" s="22">
        <v>2005.0</v>
      </c>
      <c r="S1790" s="22">
        <v>6.3</v>
      </c>
    </row>
    <row r="1791" ht="15.75" customHeight="1">
      <c r="A1791" s="13" t="s">
        <v>1264</v>
      </c>
      <c r="B1791" s="8" t="str">
        <f>IFERROR(__xludf.DUMMYFUNCTION("REGEXREPLACE(A1791, ""[^0-9a-zA-Z .'Ã]"","""")"),"Russell Mulcahy")</f>
        <v>Russell Mulcahy</v>
      </c>
      <c r="C1791" s="14">
        <v>112.0</v>
      </c>
      <c r="D1791" s="15">
        <v>5900000.0</v>
      </c>
      <c r="E1791" s="14" t="s">
        <v>278</v>
      </c>
      <c r="F1791" s="9">
        <f t="shared" si="1"/>
        <v>3</v>
      </c>
      <c r="G1791" s="14" t="s">
        <v>3473</v>
      </c>
      <c r="H1791" s="11" t="str">
        <f>IFERROR(__xludf.DUMMYFUNCTION("REGEXREPLACE(G1791, ""[^0-9a-zA-Z .'Ã]"","""")"),"Christopher Lambert")</f>
        <v>Christopher Lambert</v>
      </c>
      <c r="I1791" s="16" t="s">
        <v>6106</v>
      </c>
      <c r="J1791" s="14">
        <v>98629.0</v>
      </c>
      <c r="K1791" s="14" t="s">
        <v>6107</v>
      </c>
      <c r="L1791" s="14">
        <v>316.0</v>
      </c>
      <c r="M1791" s="14" t="s">
        <v>24</v>
      </c>
      <c r="N1791" s="14" t="s">
        <v>130</v>
      </c>
      <c r="O1791" s="15">
        <v>1.6E7</v>
      </c>
      <c r="P1791" s="10">
        <f t="shared" si="2"/>
        <v>0</v>
      </c>
      <c r="Q1791" s="12">
        <f t="shared" si="3"/>
        <v>10100000</v>
      </c>
      <c r="R1791" s="14">
        <v>1986.0</v>
      </c>
      <c r="S1791" s="14">
        <v>7.2</v>
      </c>
    </row>
    <row r="1792" ht="15.75" customHeight="1">
      <c r="A1792" s="7" t="s">
        <v>4685</v>
      </c>
      <c r="B1792" s="8" t="str">
        <f>IFERROR(__xludf.DUMMYFUNCTION("REGEXREPLACE(A1792, ""[^0-9a-zA-Z .'Ã]"","""")"),"Mira Nair")</f>
        <v>Mira Nair</v>
      </c>
      <c r="C1792" s="9">
        <v>118.0</v>
      </c>
      <c r="D1792" s="10">
        <v>1.6123851E7</v>
      </c>
      <c r="E1792" s="9" t="s">
        <v>103</v>
      </c>
      <c r="F1792" s="9">
        <f t="shared" si="1"/>
        <v>1</v>
      </c>
      <c r="G1792" s="9" t="s">
        <v>1368</v>
      </c>
      <c r="H1792" s="11" t="str">
        <f>IFERROR(__xludf.DUMMYFUNCTION("REGEXREPLACE(G1792, ""[^0-9a-zA-Z .'Ã]"","""")"),"Romola Garai")</f>
        <v>Romola Garai</v>
      </c>
      <c r="I1792" s="11" t="s">
        <v>6108</v>
      </c>
      <c r="J1792" s="9">
        <v>17373.0</v>
      </c>
      <c r="K1792" s="9" t="s">
        <v>6109</v>
      </c>
      <c r="L1792" s="9">
        <v>148.0</v>
      </c>
      <c r="M1792" s="9" t="s">
        <v>24</v>
      </c>
      <c r="N1792" s="9" t="s">
        <v>25</v>
      </c>
      <c r="O1792" s="10">
        <v>2.3E7</v>
      </c>
      <c r="P1792" s="10">
        <f t="shared" si="2"/>
        <v>0</v>
      </c>
      <c r="Q1792" s="12">
        <f t="shared" si="3"/>
        <v>6876149</v>
      </c>
      <c r="R1792" s="9">
        <v>2004.0</v>
      </c>
      <c r="S1792" s="9">
        <v>6.2</v>
      </c>
    </row>
    <row r="1793" ht="15.75" customHeight="1">
      <c r="A1793" s="25" t="s">
        <v>3175</v>
      </c>
      <c r="B1793" s="8" t="str">
        <f>IFERROR(__xludf.DUMMYFUNCTION("REGEXREPLACE(A1793, ""[^0-9a-zA-Z .'Ã]"","""")"),"Curtis Hanson")</f>
        <v>Curtis Hanson</v>
      </c>
      <c r="C1793" s="26">
        <v>106.0</v>
      </c>
      <c r="D1793" s="27">
        <v>5755286.0</v>
      </c>
      <c r="E1793" s="26" t="s">
        <v>6081</v>
      </c>
      <c r="F1793" s="9">
        <f t="shared" si="1"/>
        <v>3</v>
      </c>
      <c r="G1793" s="26" t="s">
        <v>327</v>
      </c>
      <c r="H1793" s="11" t="str">
        <f>IFERROR(__xludf.DUMMYFUNCTION("REGEXREPLACE(G1793, ""[^0-9a-zA-Z .'Ã]"","""")"),"Robert Downey Jr.")</f>
        <v>Robert Downey Jr.</v>
      </c>
      <c r="I1793" s="28" t="s">
        <v>6110</v>
      </c>
      <c r="J1793" s="26">
        <v>18310.0</v>
      </c>
      <c r="K1793" s="26" t="s">
        <v>6111</v>
      </c>
      <c r="L1793" s="26">
        <v>63.0</v>
      </c>
      <c r="M1793" s="26" t="s">
        <v>24</v>
      </c>
      <c r="N1793" s="26" t="s">
        <v>25</v>
      </c>
      <c r="O1793" s="27">
        <v>5.5E7</v>
      </c>
      <c r="P1793" s="10">
        <f t="shared" si="2"/>
        <v>0</v>
      </c>
      <c r="Q1793" s="12">
        <f t="shared" si="3"/>
        <v>49244714</v>
      </c>
      <c r="R1793" s="26">
        <v>2007.0</v>
      </c>
      <c r="S1793" s="26">
        <v>5.9</v>
      </c>
    </row>
    <row r="1794" ht="15.75" customHeight="1">
      <c r="A1794" s="25" t="s">
        <v>1805</v>
      </c>
      <c r="B1794" s="8" t="str">
        <f>IFERROR(__xludf.DUMMYFUNCTION("REGEXREPLACE(A1794, ""[^0-9a-zA-Z .'Ã]"","""")"),"Mike Newell")</f>
        <v>Mike Newell</v>
      </c>
      <c r="C1794" s="26">
        <v>117.0</v>
      </c>
      <c r="D1794" s="27">
        <v>4.1954997E7</v>
      </c>
      <c r="E1794" s="26" t="s">
        <v>1774</v>
      </c>
      <c r="F1794" s="9">
        <f t="shared" si="1"/>
        <v>3</v>
      </c>
      <c r="G1794" s="26" t="s">
        <v>85</v>
      </c>
      <c r="H1794" s="11" t="str">
        <f>IFERROR(__xludf.DUMMYFUNCTION("REGEXREPLACE(G1794, ""[^0-9a-zA-Z .'Ã]"","""")"),"Johnny Depp")</f>
        <v>Johnny Depp</v>
      </c>
      <c r="I1794" s="28" t="s">
        <v>6112</v>
      </c>
      <c r="J1794" s="26">
        <v>225122.0</v>
      </c>
      <c r="K1794" s="26" t="s">
        <v>6113</v>
      </c>
      <c r="L1794" s="26">
        <v>234.0</v>
      </c>
      <c r="M1794" s="26" t="s">
        <v>24</v>
      </c>
      <c r="N1794" s="26" t="s">
        <v>25</v>
      </c>
      <c r="O1794" s="27">
        <v>3.5E7</v>
      </c>
      <c r="P1794" s="10">
        <f t="shared" si="2"/>
        <v>6954997</v>
      </c>
      <c r="Q1794" s="12">
        <f t="shared" si="3"/>
        <v>0</v>
      </c>
      <c r="R1794" s="26">
        <v>1997.0</v>
      </c>
      <c r="S1794" s="26">
        <v>7.8</v>
      </c>
    </row>
    <row r="1795" ht="15.75" customHeight="1">
      <c r="A1795" s="7" t="s">
        <v>6114</v>
      </c>
      <c r="B1795" s="8" t="str">
        <f>IFERROR(__xludf.DUMMYFUNCTION("REGEXREPLACE(A1795, ""[^0-9a-zA-Z .'Ã]"","""")"),"Scott Speer")</f>
        <v>Scott Speer</v>
      </c>
      <c r="C1795" s="9">
        <v>121.0</v>
      </c>
      <c r="D1795" s="10">
        <v>3.5057332E7</v>
      </c>
      <c r="E1795" s="9" t="s">
        <v>734</v>
      </c>
      <c r="F1795" s="9">
        <f t="shared" si="1"/>
        <v>3</v>
      </c>
      <c r="G1795" s="9" t="s">
        <v>6115</v>
      </c>
      <c r="H1795" s="11" t="str">
        <f>IFERROR(__xludf.DUMMYFUNCTION("REGEXREPLACE(G1795, ""[^0-9a-zA-Z .'Ã]"","""")"),"Ryan Guzman")</f>
        <v>Ryan Guzman</v>
      </c>
      <c r="I1795" s="11" t="s">
        <v>6116</v>
      </c>
      <c r="J1795" s="9">
        <v>45394.0</v>
      </c>
      <c r="K1795" s="9" t="s">
        <v>6117</v>
      </c>
      <c r="L1795" s="9">
        <v>72.0</v>
      </c>
      <c r="M1795" s="9" t="s">
        <v>24</v>
      </c>
      <c r="N1795" s="9" t="s">
        <v>25</v>
      </c>
      <c r="O1795" s="10">
        <v>3.3E7</v>
      </c>
      <c r="P1795" s="10">
        <f t="shared" si="2"/>
        <v>2057332</v>
      </c>
      <c r="Q1795" s="12">
        <f t="shared" si="3"/>
        <v>0</v>
      </c>
      <c r="R1795" s="9">
        <v>2012.0</v>
      </c>
      <c r="S1795" s="9">
        <v>6.5</v>
      </c>
    </row>
    <row r="1796" ht="15.75" customHeight="1">
      <c r="A1796" s="13" t="s">
        <v>63</v>
      </c>
      <c r="B1796" s="8" t="str">
        <f>IFERROR(__xludf.DUMMYFUNCTION("REGEXREPLACE(A1796, ""[^0-9a-zA-Z .'Ã]"","""")"),"Kurt Wimmer")</f>
        <v>Kurt Wimmer</v>
      </c>
      <c r="C1796" s="14">
        <v>146.0</v>
      </c>
      <c r="D1796" s="15">
        <v>1190018.0</v>
      </c>
      <c r="E1796" s="14" t="s">
        <v>1546</v>
      </c>
      <c r="F1796" s="9">
        <f t="shared" si="1"/>
        <v>4</v>
      </c>
      <c r="G1796" s="14" t="s">
        <v>1579</v>
      </c>
      <c r="H1796" s="11" t="str">
        <f>IFERROR(__xludf.DUMMYFUNCTION("REGEXREPLACE(G1796, ""[^0-9a-zA-Z .'Ã]"","""")"),"Christian Bale")</f>
        <v>Christian Bale</v>
      </c>
      <c r="I1796" s="16" t="s">
        <v>6118</v>
      </c>
      <c r="J1796" s="14">
        <v>261317.0</v>
      </c>
      <c r="K1796" s="14" t="s">
        <v>6119</v>
      </c>
      <c r="L1796" s="14">
        <v>1137.0</v>
      </c>
      <c r="M1796" s="14" t="s">
        <v>24</v>
      </c>
      <c r="N1796" s="14" t="s">
        <v>25</v>
      </c>
      <c r="O1796" s="15">
        <v>2.0E7</v>
      </c>
      <c r="P1796" s="10">
        <f t="shared" si="2"/>
        <v>0</v>
      </c>
      <c r="Q1796" s="12">
        <f t="shared" si="3"/>
        <v>18809982</v>
      </c>
      <c r="R1796" s="14">
        <v>2002.0</v>
      </c>
      <c r="S1796" s="14">
        <v>7.5</v>
      </c>
    </row>
    <row r="1797" ht="15.75" customHeight="1">
      <c r="A1797" s="7" t="s">
        <v>6120</v>
      </c>
      <c r="B1797" s="8" t="str">
        <f>IFERROR(__xludf.DUMMYFUNCTION("REGEXREPLACE(A1797, ""[^0-9a-zA-Z .'Ã]"","""")"),"Reginald Hudlin")</f>
        <v>Reginald Hudlin</v>
      </c>
      <c r="C1797" s="9">
        <v>58.0</v>
      </c>
      <c r="D1797" s="10">
        <v>1.3592872E7</v>
      </c>
      <c r="E1797" s="9" t="s">
        <v>137</v>
      </c>
      <c r="F1797" s="9">
        <f t="shared" si="1"/>
        <v>1</v>
      </c>
      <c r="G1797" s="9" t="s">
        <v>441</v>
      </c>
      <c r="H1797" s="11" t="str">
        <f>IFERROR(__xludf.DUMMYFUNCTION("REGEXREPLACE(G1797, ""[^0-9a-zA-Z .'Ã]"","""")"),"Will Ferrell")</f>
        <v>Will Ferrell</v>
      </c>
      <c r="I1797" s="11" t="s">
        <v>6121</v>
      </c>
      <c r="J1797" s="9">
        <v>10777.0</v>
      </c>
      <c r="K1797" s="9" t="s">
        <v>6122</v>
      </c>
      <c r="L1797" s="9">
        <v>79.0</v>
      </c>
      <c r="M1797" s="9" t="s">
        <v>24</v>
      </c>
      <c r="N1797" s="9" t="s">
        <v>25</v>
      </c>
      <c r="O1797" s="10">
        <v>1.1E7</v>
      </c>
      <c r="P1797" s="10">
        <f t="shared" si="2"/>
        <v>2592872</v>
      </c>
      <c r="Q1797" s="12">
        <f t="shared" si="3"/>
        <v>0</v>
      </c>
      <c r="R1797" s="9">
        <v>2000.0</v>
      </c>
      <c r="S1797" s="9">
        <v>5.1</v>
      </c>
    </row>
    <row r="1798" ht="15.75" customHeight="1">
      <c r="A1798" s="7" t="s">
        <v>4735</v>
      </c>
      <c r="B1798" s="8" t="str">
        <f>IFERROR(__xludf.DUMMYFUNCTION("REGEXREPLACE(A1798, ""[^0-9a-zA-Z .'Ã]"","""")"),"Mike Mitchell")</f>
        <v>Mike Mitchell</v>
      </c>
      <c r="C1798" s="9">
        <v>91.0</v>
      </c>
      <c r="D1798" s="10">
        <v>6.5535067E7</v>
      </c>
      <c r="E1798" s="9" t="s">
        <v>89</v>
      </c>
      <c r="F1798" s="9">
        <f t="shared" si="1"/>
        <v>2</v>
      </c>
      <c r="G1798" s="9" t="s">
        <v>2653</v>
      </c>
      <c r="H1798" s="11" t="str">
        <f>IFERROR(__xludf.DUMMYFUNCTION("REGEXREPLACE(G1798, ""[^0-9a-zA-Z .'Ã]"","""")"),"Amy Poehler")</f>
        <v>Amy Poehler</v>
      </c>
      <c r="I1798" s="11" t="s">
        <v>6123</v>
      </c>
      <c r="J1798" s="9">
        <v>59380.0</v>
      </c>
      <c r="K1798" s="9" t="s">
        <v>6124</v>
      </c>
      <c r="L1798" s="9">
        <v>202.0</v>
      </c>
      <c r="M1798" s="9" t="s">
        <v>24</v>
      </c>
      <c r="N1798" s="9" t="s">
        <v>25</v>
      </c>
      <c r="O1798" s="10">
        <v>1.7E7</v>
      </c>
      <c r="P1798" s="10">
        <f t="shared" si="2"/>
        <v>48535067</v>
      </c>
      <c r="Q1798" s="12">
        <f t="shared" si="3"/>
        <v>0</v>
      </c>
      <c r="R1798" s="9">
        <v>1999.0</v>
      </c>
      <c r="S1798" s="9">
        <v>5.7</v>
      </c>
    </row>
    <row r="1799" ht="15.75" customHeight="1">
      <c r="A1799" s="17" t="s">
        <v>6125</v>
      </c>
      <c r="B1799" s="8" t="str">
        <f>IFERROR(__xludf.DUMMYFUNCTION("REGEXREPLACE(A1799, ""[^0-9a-zA-Z .'Ã]"","""")"),"Prachya Pinkaew")</f>
        <v>Prachya Pinkaew</v>
      </c>
      <c r="C1799" s="18">
        <v>112.0</v>
      </c>
      <c r="D1799" s="19">
        <v>1.1905519E7</v>
      </c>
      <c r="E1799" s="18" t="s">
        <v>501</v>
      </c>
      <c r="F1799" s="9">
        <f t="shared" si="1"/>
        <v>4</v>
      </c>
      <c r="G1799" s="18" t="s">
        <v>6126</v>
      </c>
      <c r="H1799" s="11" t="str">
        <f>IFERROR(__xludf.DUMMYFUNCTION("REGEXREPLACE(G1799, ""[^0-9a-zA-Z .'Ã]"","""")"),"Jon Foo")</f>
        <v>Jon Foo</v>
      </c>
      <c r="I1799" s="20" t="s">
        <v>6127</v>
      </c>
      <c r="J1799" s="18">
        <v>30210.0</v>
      </c>
      <c r="K1799" s="18" t="s">
        <v>6128</v>
      </c>
      <c r="L1799" s="18">
        <v>214.0</v>
      </c>
      <c r="M1799" s="18" t="s">
        <v>5236</v>
      </c>
      <c r="N1799" s="18" t="s">
        <v>5237</v>
      </c>
      <c r="O1799" s="19">
        <v>2.0E8</v>
      </c>
      <c r="P1799" s="10">
        <f t="shared" si="2"/>
        <v>0</v>
      </c>
      <c r="Q1799" s="12">
        <f t="shared" si="3"/>
        <v>188094481</v>
      </c>
      <c r="R1799" s="18">
        <v>2005.0</v>
      </c>
      <c r="S1799" s="18">
        <v>7.1</v>
      </c>
    </row>
    <row r="1800" ht="15.75" customHeight="1">
      <c r="A1800" s="17" t="s">
        <v>640</v>
      </c>
      <c r="B1800" s="8" t="str">
        <f>IFERROR(__xludf.DUMMYFUNCTION("REGEXREPLACE(A1800, ""[^0-9a-zA-Z .'Ã]"","""")"),"David O. Russell")</f>
        <v>David O. Russell</v>
      </c>
      <c r="C1800" s="18">
        <v>410.0</v>
      </c>
      <c r="D1800" s="19">
        <v>9.3571803E7</v>
      </c>
      <c r="E1800" s="18" t="s">
        <v>1124</v>
      </c>
      <c r="F1800" s="9">
        <f t="shared" si="1"/>
        <v>3</v>
      </c>
      <c r="G1800" s="18" t="s">
        <v>1579</v>
      </c>
      <c r="H1800" s="11" t="str">
        <f>IFERROR(__xludf.DUMMYFUNCTION("REGEXREPLACE(G1800, ""[^0-9a-zA-Z .'Ã]"","""")"),"Christian Bale")</f>
        <v>Christian Bale</v>
      </c>
      <c r="I1800" s="20" t="s">
        <v>6129</v>
      </c>
      <c r="J1800" s="18">
        <v>275869.0</v>
      </c>
      <c r="K1800" s="18" t="s">
        <v>6130</v>
      </c>
      <c r="L1800" s="18">
        <v>389.0</v>
      </c>
      <c r="M1800" s="18" t="s">
        <v>24</v>
      </c>
      <c r="N1800" s="18" t="s">
        <v>25</v>
      </c>
      <c r="O1800" s="19">
        <v>2.5E7</v>
      </c>
      <c r="P1800" s="10">
        <f t="shared" si="2"/>
        <v>68571803</v>
      </c>
      <c r="Q1800" s="12">
        <f t="shared" si="3"/>
        <v>0</v>
      </c>
      <c r="R1800" s="18">
        <v>2010.0</v>
      </c>
      <c r="S1800" s="18">
        <v>7.9</v>
      </c>
    </row>
    <row r="1801" ht="15.75" customHeight="1">
      <c r="A1801" s="7" t="s">
        <v>6131</v>
      </c>
      <c r="B1801" s="8" t="str">
        <f>IFERROR(__xludf.DUMMYFUNCTION("REGEXREPLACE(A1801, ""[^0-9a-zA-Z .'Ã]"","""")"),"Graham Annable")</f>
        <v>Graham Annable</v>
      </c>
      <c r="C1801" s="9">
        <v>219.0</v>
      </c>
      <c r="D1801" s="10">
        <v>5.0807639E7</v>
      </c>
      <c r="E1801" s="9" t="s">
        <v>301</v>
      </c>
      <c r="F1801" s="9">
        <f t="shared" si="1"/>
        <v>5</v>
      </c>
      <c r="G1801" s="9" t="s">
        <v>6132</v>
      </c>
      <c r="H1801" s="11" t="str">
        <f>IFERROR(__xludf.DUMMYFUNCTION("REGEXREPLACE(G1801, ""[^0-9a-zA-Z .'Ã]"","""")"),"Isaac Hempstead Wright")</f>
        <v>Isaac Hempstead Wright</v>
      </c>
      <c r="I1801" s="11" t="s">
        <v>6133</v>
      </c>
      <c r="J1801" s="9">
        <v>40883.0</v>
      </c>
      <c r="K1801" s="9" t="s">
        <v>6134</v>
      </c>
      <c r="L1801" s="9">
        <v>122.0</v>
      </c>
      <c r="M1801" s="9" t="s">
        <v>24</v>
      </c>
      <c r="N1801" s="9" t="s">
        <v>25</v>
      </c>
      <c r="O1801" s="10">
        <v>6.0E7</v>
      </c>
      <c r="P1801" s="10">
        <f t="shared" si="2"/>
        <v>0</v>
      </c>
      <c r="Q1801" s="12">
        <f t="shared" si="3"/>
        <v>9192361</v>
      </c>
      <c r="R1801" s="9">
        <v>2014.0</v>
      </c>
      <c r="S1801" s="9">
        <v>6.8</v>
      </c>
    </row>
    <row r="1802" ht="15.75" customHeight="1">
      <c r="A1802" s="7" t="s">
        <v>1708</v>
      </c>
      <c r="B1802" s="8" t="str">
        <f>IFERROR(__xludf.DUMMYFUNCTION("REGEXREPLACE(A1802, ""[^0-9a-zA-Z .'Ã]"","""")"),"Rob Minkoff")</f>
        <v>Rob Minkoff</v>
      </c>
      <c r="C1802" s="9">
        <v>122.0</v>
      </c>
      <c r="D1802" s="10">
        <v>7.5817994E7</v>
      </c>
      <c r="E1802" s="9" t="s">
        <v>6135</v>
      </c>
      <c r="F1802" s="9">
        <f t="shared" si="1"/>
        <v>5</v>
      </c>
      <c r="G1802" s="9" t="s">
        <v>6136</v>
      </c>
      <c r="H1802" s="11" t="str">
        <f>IFERROR(__xludf.DUMMYFUNCTION("REGEXREPLACE(G1802, ""[^0-9a-zA-Z .'Ã]"","""")"),"Marsha Thomason")</f>
        <v>Marsha Thomason</v>
      </c>
      <c r="I1802" s="11" t="s">
        <v>6137</v>
      </c>
      <c r="J1802" s="9">
        <v>32049.0</v>
      </c>
      <c r="K1802" s="9" t="s">
        <v>6138</v>
      </c>
      <c r="L1802" s="9">
        <v>179.0</v>
      </c>
      <c r="M1802" s="9" t="s">
        <v>24</v>
      </c>
      <c r="N1802" s="9" t="s">
        <v>25</v>
      </c>
      <c r="O1802" s="10">
        <v>9.0E7</v>
      </c>
      <c r="P1802" s="10">
        <f t="shared" si="2"/>
        <v>0</v>
      </c>
      <c r="Q1802" s="12">
        <f t="shared" si="3"/>
        <v>14182006</v>
      </c>
      <c r="R1802" s="9">
        <v>2003.0</v>
      </c>
      <c r="S1802" s="9">
        <v>4.9</v>
      </c>
    </row>
    <row r="1803" ht="15.75" customHeight="1">
      <c r="A1803" s="21" t="s">
        <v>4661</v>
      </c>
      <c r="B1803" s="8" t="str">
        <f>IFERROR(__xludf.DUMMYFUNCTION("REGEXREPLACE(A1803, ""[^0-9a-zA-Z .'Ã]"","""")"),"Randall Wallace")</f>
        <v>Randall Wallace</v>
      </c>
      <c r="C1803" s="22">
        <v>141.0</v>
      </c>
      <c r="D1803" s="23">
        <v>7.8120196E7</v>
      </c>
      <c r="E1803" s="22" t="s">
        <v>1446</v>
      </c>
      <c r="F1803" s="9">
        <f t="shared" si="1"/>
        <v>4</v>
      </c>
      <c r="G1803" s="22" t="s">
        <v>1688</v>
      </c>
      <c r="H1803" s="11" t="str">
        <f>IFERROR(__xludf.DUMMYFUNCTION("REGEXREPLACE(G1803, ""[^0-9a-zA-Z .'Ã]"","""")"),"Jon Hamm")</f>
        <v>Jon Hamm</v>
      </c>
      <c r="I1803" s="24" t="s">
        <v>6139</v>
      </c>
      <c r="J1803" s="22">
        <v>103241.0</v>
      </c>
      <c r="K1803" s="22" t="s">
        <v>6140</v>
      </c>
      <c r="L1803" s="22">
        <v>742.0</v>
      </c>
      <c r="M1803" s="22" t="s">
        <v>24</v>
      </c>
      <c r="N1803" s="22" t="s">
        <v>25</v>
      </c>
      <c r="O1803" s="23">
        <v>7.5E7</v>
      </c>
      <c r="P1803" s="10">
        <f t="shared" si="2"/>
        <v>3120196</v>
      </c>
      <c r="Q1803" s="12">
        <f t="shared" si="3"/>
        <v>0</v>
      </c>
      <c r="R1803" s="22">
        <v>2002.0</v>
      </c>
      <c r="S1803" s="22">
        <v>7.1</v>
      </c>
    </row>
    <row r="1804" ht="15.75" customHeight="1">
      <c r="A1804" s="7" t="s">
        <v>2078</v>
      </c>
      <c r="B1804" s="8" t="str">
        <f>IFERROR(__xludf.DUMMYFUNCTION("REGEXREPLACE(A1804, ""[^0-9a-zA-Z .'Ã]"","""")"),"Howard Zieff")</f>
        <v>Howard Zieff</v>
      </c>
      <c r="C1804" s="9">
        <v>25.0</v>
      </c>
      <c r="D1804" s="10">
        <v>6.98E7</v>
      </c>
      <c r="E1804" s="9" t="s">
        <v>5744</v>
      </c>
      <c r="F1804" s="9">
        <f t="shared" si="1"/>
        <v>2</v>
      </c>
      <c r="G1804" s="9" t="s">
        <v>2051</v>
      </c>
      <c r="H1804" s="11" t="str">
        <f>IFERROR(__xludf.DUMMYFUNCTION("REGEXREPLACE(G1804, ""[^0-9a-zA-Z .'Ã]"","""")"),"Eileen Brennan")</f>
        <v>Eileen Brennan</v>
      </c>
      <c r="I1804" s="11" t="s">
        <v>6141</v>
      </c>
      <c r="J1804" s="9">
        <v>18140.0</v>
      </c>
      <c r="K1804" s="9" t="s">
        <v>6142</v>
      </c>
      <c r="L1804" s="9">
        <v>60.0</v>
      </c>
      <c r="M1804" s="9" t="s">
        <v>24</v>
      </c>
      <c r="N1804" s="9" t="s">
        <v>25</v>
      </c>
      <c r="O1804" s="10">
        <v>1.0E7</v>
      </c>
      <c r="P1804" s="10">
        <f t="shared" si="2"/>
        <v>59800000</v>
      </c>
      <c r="Q1804" s="12">
        <f t="shared" si="3"/>
        <v>0</v>
      </c>
      <c r="R1804" s="9">
        <v>1980.0</v>
      </c>
      <c r="S1804" s="9">
        <v>6.1</v>
      </c>
    </row>
    <row r="1805" ht="15.75" customHeight="1">
      <c r="A1805" s="17" t="s">
        <v>6143</v>
      </c>
      <c r="B1805" s="8" t="str">
        <f>IFERROR(__xludf.DUMMYFUNCTION("REGEXREPLACE(A1805, ""[^0-9a-zA-Z -.'Ã]"","""")"),"FranÃois Truffaut")</f>
        <v>FranÃois Truffaut</v>
      </c>
      <c r="C1805" s="18">
        <v>35.0</v>
      </c>
      <c r="D1805" s="19">
        <v>26893.0</v>
      </c>
      <c r="E1805" s="18" t="s">
        <v>4961</v>
      </c>
      <c r="F1805" s="9">
        <f t="shared" si="1"/>
        <v>3</v>
      </c>
      <c r="G1805" s="18" t="s">
        <v>571</v>
      </c>
      <c r="H1805" s="11" t="str">
        <f>IFERROR(__xludf.DUMMYFUNCTION("REGEXREPLACE(G1805, ""[^0-9a-zA-Z .'Ã]"","""")"),"Catherine Deneuve")</f>
        <v>Catherine Deneuve</v>
      </c>
      <c r="I1805" s="20" t="s">
        <v>6144</v>
      </c>
      <c r="J1805" s="18">
        <v>4391.0</v>
      </c>
      <c r="K1805" s="18" t="s">
        <v>6145</v>
      </c>
      <c r="L1805" s="18">
        <v>26.0</v>
      </c>
      <c r="M1805" s="18" t="s">
        <v>658</v>
      </c>
      <c r="N1805" s="18" t="s">
        <v>608</v>
      </c>
      <c r="O1805" s="19">
        <v>1600000.0</v>
      </c>
      <c r="P1805" s="10">
        <f t="shared" si="2"/>
        <v>0</v>
      </c>
      <c r="Q1805" s="12">
        <f t="shared" si="3"/>
        <v>1573107</v>
      </c>
      <c r="R1805" s="18">
        <v>1969.0</v>
      </c>
      <c r="S1805" s="18">
        <v>7.2</v>
      </c>
    </row>
    <row r="1806" ht="15.75" customHeight="1">
      <c r="A1806" s="17" t="s">
        <v>891</v>
      </c>
      <c r="B1806" s="8" t="str">
        <f>IFERROR(__xludf.DUMMYFUNCTION("REGEXREPLACE(A1806, ""[^0-9a-zA-Z .'Ã]"","""")"),"Randal Kleiser")</f>
        <v>Randal Kleiser</v>
      </c>
      <c r="C1806" s="18">
        <v>124.0</v>
      </c>
      <c r="D1806" s="19">
        <v>1.8136E8</v>
      </c>
      <c r="E1806" s="18" t="s">
        <v>6146</v>
      </c>
      <c r="F1806" s="9">
        <f t="shared" si="1"/>
        <v>2</v>
      </c>
      <c r="G1806" s="18" t="s">
        <v>6147</v>
      </c>
      <c r="H1806" s="11" t="str">
        <f>IFERROR(__xludf.DUMMYFUNCTION("REGEXREPLACE(G1806, ""[^0-9a-zA-Z .'Ã]"","""")"),"Olivia NewtonJohn")</f>
        <v>Olivia NewtonJohn</v>
      </c>
      <c r="I1806" s="20" t="s">
        <v>6148</v>
      </c>
      <c r="J1806" s="18">
        <v>170027.0</v>
      </c>
      <c r="K1806" s="18" t="s">
        <v>6149</v>
      </c>
      <c r="L1806" s="18">
        <v>350.0</v>
      </c>
      <c r="M1806" s="18" t="s">
        <v>24</v>
      </c>
      <c r="N1806" s="18" t="s">
        <v>25</v>
      </c>
      <c r="O1806" s="19">
        <v>6000000.0</v>
      </c>
      <c r="P1806" s="10">
        <f t="shared" si="2"/>
        <v>175360000</v>
      </c>
      <c r="Q1806" s="12">
        <f t="shared" si="3"/>
        <v>0</v>
      </c>
      <c r="R1806" s="18">
        <v>1978.0</v>
      </c>
      <c r="S1806" s="18">
        <v>7.2</v>
      </c>
    </row>
    <row r="1807" ht="15.75" customHeight="1">
      <c r="A1807" s="25" t="s">
        <v>6150</v>
      </c>
      <c r="B1807" s="8" t="str">
        <f>IFERROR(__xludf.DUMMYFUNCTION("REGEXREPLACE(A1807, ""[^0-9a-zA-Z .'Ã]"","""")"),"Jon Lucas")</f>
        <v>Jon Lucas</v>
      </c>
      <c r="C1807" s="26">
        <v>81.0</v>
      </c>
      <c r="D1807" s="27">
        <v>5.5461307E7</v>
      </c>
      <c r="E1807" s="26" t="s">
        <v>137</v>
      </c>
      <c r="F1807" s="9">
        <f t="shared" si="1"/>
        <v>1</v>
      </c>
      <c r="G1807" s="26" t="s">
        <v>4748</v>
      </c>
      <c r="H1807" s="11" t="str">
        <f>IFERROR(__xludf.DUMMYFUNCTION("REGEXREPLACE(G1807, ""[^0-9a-zA-Z .'Ã]"","""")"),"Mila Kunis")</f>
        <v>Mila Kunis</v>
      </c>
      <c r="I1807" s="28" t="s">
        <v>6151</v>
      </c>
      <c r="J1807" s="26">
        <v>4654.0</v>
      </c>
      <c r="K1807" s="26" t="s">
        <v>6152</v>
      </c>
      <c r="L1807" s="26">
        <v>46.0</v>
      </c>
      <c r="M1807" s="26" t="s">
        <v>24</v>
      </c>
      <c r="N1807" s="26" t="s">
        <v>25</v>
      </c>
      <c r="O1807" s="27">
        <v>2.0E7</v>
      </c>
      <c r="P1807" s="10">
        <f t="shared" si="2"/>
        <v>35461307</v>
      </c>
      <c r="Q1807" s="12">
        <f t="shared" si="3"/>
        <v>0</v>
      </c>
      <c r="R1807" s="26">
        <v>2016.0</v>
      </c>
      <c r="S1807" s="26">
        <v>6.7</v>
      </c>
    </row>
    <row r="1808" ht="15.75" customHeight="1">
      <c r="A1808" s="13" t="s">
        <v>1220</v>
      </c>
      <c r="B1808" s="8" t="str">
        <f>IFERROR(__xludf.DUMMYFUNCTION("REGEXREPLACE(A1808, ""[^0-9a-zA-Z .'Ã]"","""")"),"James Foley")</f>
        <v>James Foley</v>
      </c>
      <c r="C1808" s="14">
        <v>91.0</v>
      </c>
      <c r="D1808" s="15">
        <v>1.51562E7</v>
      </c>
      <c r="E1808" s="14" t="s">
        <v>610</v>
      </c>
      <c r="F1808" s="9">
        <f t="shared" si="1"/>
        <v>5</v>
      </c>
      <c r="G1808" s="14" t="s">
        <v>6153</v>
      </c>
      <c r="H1808" s="11" t="str">
        <f>IFERROR(__xludf.DUMMYFUNCTION("REGEXREPLACE(G1808, ""[^0-9a-zA-Z .'Ã]"","""")"),"Byron Mann")</f>
        <v>Byron Mann</v>
      </c>
      <c r="I1808" s="16" t="s">
        <v>6154</v>
      </c>
      <c r="J1808" s="14">
        <v>15358.0</v>
      </c>
      <c r="K1808" s="14" t="s">
        <v>6155</v>
      </c>
      <c r="L1808" s="14">
        <v>131.0</v>
      </c>
      <c r="M1808" s="14" t="s">
        <v>24</v>
      </c>
      <c r="N1808" s="14" t="s">
        <v>25</v>
      </c>
      <c r="O1808" s="15">
        <v>3.0E7</v>
      </c>
      <c r="P1808" s="10">
        <f t="shared" si="2"/>
        <v>0</v>
      </c>
      <c r="Q1808" s="12">
        <f t="shared" si="3"/>
        <v>14843800</v>
      </c>
      <c r="R1808" s="14">
        <v>1999.0</v>
      </c>
      <c r="S1808" s="14">
        <v>6.0</v>
      </c>
    </row>
    <row r="1809" ht="15.75" customHeight="1">
      <c r="A1809" s="25" t="s">
        <v>6156</v>
      </c>
      <c r="B1809" s="8" t="str">
        <f>IFERROR(__xludf.DUMMYFUNCTION("REGEXREPLACE(A1809, ""[^0-9a-zA-Z .'Ã]"","""")"),"Jared Hess")</f>
        <v>Jared Hess</v>
      </c>
      <c r="C1809" s="26">
        <v>220.0</v>
      </c>
      <c r="D1809" s="27">
        <v>4.4540956E7</v>
      </c>
      <c r="E1809" s="26" t="s">
        <v>137</v>
      </c>
      <c r="F1809" s="9">
        <f t="shared" si="1"/>
        <v>1</v>
      </c>
      <c r="G1809" s="26" t="s">
        <v>3068</v>
      </c>
      <c r="H1809" s="11" t="str">
        <f>IFERROR(__xludf.DUMMYFUNCTION("REGEXREPLACE(G1809, ""[^0-9a-zA-Z .'Ã]"","""")"),"Jon Heder")</f>
        <v>Jon Heder</v>
      </c>
      <c r="I1809" s="28" t="s">
        <v>6157</v>
      </c>
      <c r="J1809" s="26">
        <v>161448.0</v>
      </c>
      <c r="K1809" s="26" t="s">
        <v>6158</v>
      </c>
      <c r="L1809" s="26">
        <v>1473.0</v>
      </c>
      <c r="M1809" s="26" t="s">
        <v>24</v>
      </c>
      <c r="N1809" s="26" t="s">
        <v>25</v>
      </c>
      <c r="O1809" s="27">
        <v>400000.0</v>
      </c>
      <c r="P1809" s="10">
        <f t="shared" si="2"/>
        <v>44140956</v>
      </c>
      <c r="Q1809" s="12">
        <f t="shared" si="3"/>
        <v>0</v>
      </c>
      <c r="R1809" s="26">
        <v>2004.0</v>
      </c>
      <c r="S1809" s="26">
        <v>6.9</v>
      </c>
    </row>
    <row r="1810" ht="15.75" customHeight="1">
      <c r="A1810" s="7" t="s">
        <v>3199</v>
      </c>
      <c r="B1810" s="8" t="str">
        <f>IFERROR(__xludf.DUMMYFUNCTION("REGEXREPLACE(A1810, ""[^0-9a-zA-Z .'Ã]"","""")"),"Kenneth Branagh")</f>
        <v>Kenneth Branagh</v>
      </c>
      <c r="C1810" s="9">
        <v>516.0</v>
      </c>
      <c r="D1810" s="10">
        <v>1.81015141E8</v>
      </c>
      <c r="E1810" s="9" t="s">
        <v>278</v>
      </c>
      <c r="F1810" s="9">
        <f t="shared" si="1"/>
        <v>3</v>
      </c>
      <c r="G1810" s="9" t="s">
        <v>1439</v>
      </c>
      <c r="H1810" s="11" t="str">
        <f>IFERROR(__xludf.DUMMYFUNCTION("REGEXREPLACE(G1810, ""[^0-9a-zA-Z .'Ã]"","""")"),"Chris Hemsworth")</f>
        <v>Chris Hemsworth</v>
      </c>
      <c r="I1810" s="11" t="s">
        <v>6159</v>
      </c>
      <c r="J1810" s="9">
        <v>536314.0</v>
      </c>
      <c r="K1810" s="9" t="s">
        <v>6160</v>
      </c>
      <c r="L1810" s="9">
        <v>738.0</v>
      </c>
      <c r="M1810" s="9" t="s">
        <v>24</v>
      </c>
      <c r="N1810" s="9" t="s">
        <v>25</v>
      </c>
      <c r="O1810" s="10">
        <v>1.5E8</v>
      </c>
      <c r="P1810" s="10">
        <f t="shared" si="2"/>
        <v>31015141</v>
      </c>
      <c r="Q1810" s="12">
        <f t="shared" si="3"/>
        <v>0</v>
      </c>
      <c r="R1810" s="9">
        <v>2011.0</v>
      </c>
      <c r="S1810" s="9">
        <v>7.0</v>
      </c>
    </row>
    <row r="1811" ht="15.75" customHeight="1">
      <c r="A1811" s="17" t="s">
        <v>218</v>
      </c>
      <c r="B1811" s="8" t="str">
        <f>IFERROR(__xludf.DUMMYFUNCTION("REGEXREPLACE(A1811, ""[^0-9a-zA-Z .'Ã]"","""")"),"James Mangold")</f>
        <v>James Mangold</v>
      </c>
      <c r="C1811" s="18">
        <v>291.0</v>
      </c>
      <c r="D1811" s="19">
        <v>1.19518352E8</v>
      </c>
      <c r="E1811" s="18" t="s">
        <v>6161</v>
      </c>
      <c r="F1811" s="9">
        <f t="shared" si="1"/>
        <v>4</v>
      </c>
      <c r="G1811" s="18" t="s">
        <v>6162</v>
      </c>
      <c r="H1811" s="11" t="str">
        <f>IFERROR(__xludf.DUMMYFUNCTION("REGEXREPLACE(G1811, ""[^0-9a-zA-Z .'Ã]"","""")"),"Sandra Ellis Lafferty")</f>
        <v>Sandra Ellis Lafferty</v>
      </c>
      <c r="I1811" s="20" t="s">
        <v>6163</v>
      </c>
      <c r="J1811" s="18">
        <v>188637.0</v>
      </c>
      <c r="K1811" s="18" t="s">
        <v>6164</v>
      </c>
      <c r="L1811" s="18">
        <v>815.0</v>
      </c>
      <c r="M1811" s="18" t="s">
        <v>24</v>
      </c>
      <c r="N1811" s="18" t="s">
        <v>25</v>
      </c>
      <c r="O1811" s="19">
        <v>2.8E7</v>
      </c>
      <c r="P1811" s="10">
        <f t="shared" si="2"/>
        <v>91518352</v>
      </c>
      <c r="Q1811" s="12">
        <f t="shared" si="3"/>
        <v>0</v>
      </c>
      <c r="R1811" s="18">
        <v>2005.0</v>
      </c>
      <c r="S1811" s="18">
        <v>7.9</v>
      </c>
    </row>
    <row r="1812" ht="15.75" customHeight="1">
      <c r="A1812" s="17" t="s">
        <v>384</v>
      </c>
      <c r="B1812" s="8" t="str">
        <f>IFERROR(__xludf.DUMMYFUNCTION("REGEXREPLACE(A1812, ""[^0-9a-zA-Z .'Ã]"","""")"),"Colin Strause")</f>
        <v>Colin Strause</v>
      </c>
      <c r="C1812" s="18">
        <v>221.0</v>
      </c>
      <c r="D1812" s="19">
        <v>2.1371425E7</v>
      </c>
      <c r="E1812" s="18" t="s">
        <v>1734</v>
      </c>
      <c r="F1812" s="9">
        <f t="shared" si="1"/>
        <v>3</v>
      </c>
      <c r="G1812" s="18" t="s">
        <v>6165</v>
      </c>
      <c r="H1812" s="11" t="str">
        <f>IFERROR(__xludf.DUMMYFUNCTION("REGEXREPLACE(G1812, ""[^0-9a-zA-Z .'Ã]"","""")"),"David Zayas")</f>
        <v>David Zayas</v>
      </c>
      <c r="I1812" s="20" t="s">
        <v>6166</v>
      </c>
      <c r="J1812" s="18">
        <v>76199.0</v>
      </c>
      <c r="K1812" s="18" t="s">
        <v>6167</v>
      </c>
      <c r="L1812" s="18">
        <v>944.0</v>
      </c>
      <c r="M1812" s="18" t="s">
        <v>24</v>
      </c>
      <c r="N1812" s="18" t="s">
        <v>25</v>
      </c>
      <c r="O1812" s="19">
        <v>1.0E7</v>
      </c>
      <c r="P1812" s="10">
        <f t="shared" si="2"/>
        <v>11371425</v>
      </c>
      <c r="Q1812" s="12">
        <f t="shared" si="3"/>
        <v>0</v>
      </c>
      <c r="R1812" s="18">
        <v>2010.0</v>
      </c>
      <c r="S1812" s="18">
        <v>4.4</v>
      </c>
    </row>
    <row r="1813" ht="15.75" customHeight="1">
      <c r="A1813" s="7" t="s">
        <v>1740</v>
      </c>
      <c r="B1813" s="8" t="str">
        <f>IFERROR(__xludf.DUMMYFUNCTION("REGEXREPLACE(A1813, ""[^0-9a-zA-Z .'Ã]"","""")"),"Woody Allen")</f>
        <v>Woody Allen</v>
      </c>
      <c r="C1813" s="9">
        <v>415.0</v>
      </c>
      <c r="D1813" s="10">
        <v>3.3404871E7</v>
      </c>
      <c r="E1813" s="9" t="s">
        <v>103</v>
      </c>
      <c r="F1813" s="9">
        <f t="shared" si="1"/>
        <v>1</v>
      </c>
      <c r="G1813" s="9" t="s">
        <v>6168</v>
      </c>
      <c r="H1813" s="11" t="str">
        <f>IFERROR(__xludf.DUMMYFUNCTION("REGEXREPLACE(G1813, ""[^0-9a-zA-Z .'Ã]"","""")"),"Sally Hawkins")</f>
        <v>Sally Hawkins</v>
      </c>
      <c r="I1813" s="11" t="s">
        <v>6169</v>
      </c>
      <c r="J1813" s="9">
        <v>150082.0</v>
      </c>
      <c r="K1813" s="9" t="s">
        <v>6170</v>
      </c>
      <c r="L1813" s="9">
        <v>384.0</v>
      </c>
      <c r="M1813" s="9" t="s">
        <v>24</v>
      </c>
      <c r="N1813" s="9" t="s">
        <v>25</v>
      </c>
      <c r="O1813" s="10">
        <v>1.8E7</v>
      </c>
      <c r="P1813" s="10">
        <f t="shared" si="2"/>
        <v>15404871</v>
      </c>
      <c r="Q1813" s="12">
        <f t="shared" si="3"/>
        <v>0</v>
      </c>
      <c r="R1813" s="9">
        <v>2013.0</v>
      </c>
      <c r="S1813" s="9">
        <v>7.3</v>
      </c>
    </row>
    <row r="1814" ht="15.75" customHeight="1">
      <c r="A1814" s="25" t="s">
        <v>2994</v>
      </c>
      <c r="B1814" s="8" t="str">
        <f>IFERROR(__xludf.DUMMYFUNCTION("REGEXREPLACE(A1814, ""[^0-9a-zA-Z .'Ã]"","""")"),"Kevin Rodney Sullivan")</f>
        <v>Kevin Rodney Sullivan</v>
      </c>
      <c r="C1814" s="26">
        <v>50.0</v>
      </c>
      <c r="D1814" s="27">
        <v>6.4955956E7</v>
      </c>
      <c r="E1814" s="26" t="s">
        <v>454</v>
      </c>
      <c r="F1814" s="9">
        <f t="shared" si="1"/>
        <v>2</v>
      </c>
      <c r="G1814" s="26" t="s">
        <v>6171</v>
      </c>
      <c r="H1814" s="11" t="str">
        <f>IFERROR(__xludf.DUMMYFUNCTION("REGEXREPLACE(G1814, ""[^0-9a-zA-Z .'Ã]"","""")"),"Harry Lennix")</f>
        <v>Harry Lennix</v>
      </c>
      <c r="I1814" s="28" t="s">
        <v>6172</v>
      </c>
      <c r="J1814" s="26">
        <v>10104.0</v>
      </c>
      <c r="K1814" s="26" t="s">
        <v>6173</v>
      </c>
      <c r="L1814" s="26">
        <v>69.0</v>
      </c>
      <c r="M1814" s="26" t="s">
        <v>24</v>
      </c>
      <c r="N1814" s="26" t="s">
        <v>25</v>
      </c>
      <c r="O1814" s="27">
        <v>1.8E7</v>
      </c>
      <c r="P1814" s="10">
        <f t="shared" si="2"/>
        <v>46955956</v>
      </c>
      <c r="Q1814" s="12">
        <f t="shared" si="3"/>
        <v>0</v>
      </c>
      <c r="R1814" s="26">
        <v>2004.0</v>
      </c>
      <c r="S1814" s="26">
        <v>5.7</v>
      </c>
    </row>
    <row r="1815" ht="15.75" customHeight="1">
      <c r="A1815" s="17" t="s">
        <v>3629</v>
      </c>
      <c r="B1815" s="8" t="str">
        <f>IFERROR(__xludf.DUMMYFUNCTION("REGEXREPLACE(A1815, ""[^0-9a-zA-Z -.'Ã]"","""")"),"Jean-Jacques Annaud")</f>
        <v>Jean-Jacques Annaud</v>
      </c>
      <c r="C1815" s="18">
        <v>88.0</v>
      </c>
      <c r="D1815" s="19">
        <v>1.894763E7</v>
      </c>
      <c r="E1815" s="18" t="s">
        <v>1676</v>
      </c>
      <c r="F1815" s="9">
        <f t="shared" si="1"/>
        <v>3</v>
      </c>
      <c r="G1815" s="18" t="s">
        <v>6174</v>
      </c>
      <c r="H1815" s="11" t="str">
        <f>IFERROR(__xludf.DUMMYFUNCTION("REGEXREPLACE(G1815, ""[^0-9a-zA-Z .'Ã]"","""")"),"David Gant")</f>
        <v>David Gant</v>
      </c>
      <c r="I1815" s="20" t="s">
        <v>6175</v>
      </c>
      <c r="J1815" s="18">
        <v>11798.0</v>
      </c>
      <c r="K1815" s="18" t="s">
        <v>6176</v>
      </c>
      <c r="L1815" s="18">
        <v>124.0</v>
      </c>
      <c r="M1815" s="18" t="s">
        <v>24</v>
      </c>
      <c r="N1815" s="18" t="s">
        <v>608</v>
      </c>
      <c r="O1815" s="19">
        <v>5.966E7</v>
      </c>
      <c r="P1815" s="10">
        <f t="shared" si="2"/>
        <v>0</v>
      </c>
      <c r="Q1815" s="12">
        <f t="shared" si="3"/>
        <v>40712370</v>
      </c>
      <c r="R1815" s="18">
        <v>2004.0</v>
      </c>
      <c r="S1815" s="18">
        <v>7.1</v>
      </c>
    </row>
    <row r="1816" ht="15.75" customHeight="1">
      <c r="A1816" s="7" t="s">
        <v>6177</v>
      </c>
      <c r="B1816" s="8" t="str">
        <f>IFERROR(__xludf.DUMMYFUNCTION("REGEXREPLACE(A1816, ""[^0-9a-zA-Z .'Ã]"","""")"),"Lexi Alexander")</f>
        <v>Lexi Alexander</v>
      </c>
      <c r="C1816" s="9">
        <v>151.0</v>
      </c>
      <c r="D1816" s="10">
        <v>7948159.0</v>
      </c>
      <c r="E1816" s="9" t="s">
        <v>501</v>
      </c>
      <c r="F1816" s="9">
        <f t="shared" si="1"/>
        <v>4</v>
      </c>
      <c r="G1816" s="9" t="s">
        <v>3591</v>
      </c>
      <c r="H1816" s="11" t="str">
        <f>IFERROR(__xludf.DUMMYFUNCTION("REGEXREPLACE(G1816, ""[^0-9a-zA-Z .'Ã]"","""")"),"Julie Benz")</f>
        <v>Julie Benz</v>
      </c>
      <c r="I1816" s="11" t="s">
        <v>6178</v>
      </c>
      <c r="J1816" s="9">
        <v>48999.0</v>
      </c>
      <c r="K1816" s="9" t="s">
        <v>6179</v>
      </c>
      <c r="L1816" s="9">
        <v>280.0</v>
      </c>
      <c r="M1816" s="9" t="s">
        <v>24</v>
      </c>
      <c r="N1816" s="9" t="s">
        <v>25</v>
      </c>
      <c r="O1816" s="10">
        <v>3.5E7</v>
      </c>
      <c r="P1816" s="10">
        <f t="shared" si="2"/>
        <v>0</v>
      </c>
      <c r="Q1816" s="12">
        <f t="shared" si="3"/>
        <v>27051841</v>
      </c>
      <c r="R1816" s="9">
        <v>2008.0</v>
      </c>
      <c r="S1816" s="9">
        <v>6.0</v>
      </c>
    </row>
    <row r="1817" ht="15.75" customHeight="1">
      <c r="A1817" s="21" t="s">
        <v>635</v>
      </c>
      <c r="B1817" s="8" t="str">
        <f>IFERROR(__xludf.DUMMYFUNCTION("REGEXREPLACE(A1817, ""[^0-9a-zA-Z .'Ã]"","""")"),"Steven Spielberg")</f>
        <v>Steven Spielberg</v>
      </c>
      <c r="C1817" s="22">
        <v>538.0</v>
      </c>
      <c r="D1817" s="23">
        <v>1.8220444E8</v>
      </c>
      <c r="E1817" s="22" t="s">
        <v>3603</v>
      </c>
      <c r="F1817" s="9">
        <f t="shared" si="1"/>
        <v>4</v>
      </c>
      <c r="G1817" s="22" t="s">
        <v>764</v>
      </c>
      <c r="H1817" s="11" t="str">
        <f>IFERROR(__xludf.DUMMYFUNCTION("REGEXREPLACE(G1817, ""[^0-9a-zA-Z .'Ã]"","""")"),"Joseph GordonLevitt")</f>
        <v>Joseph GordonLevitt</v>
      </c>
      <c r="I1817" s="24" t="s">
        <v>6180</v>
      </c>
      <c r="J1817" s="22">
        <v>197412.0</v>
      </c>
      <c r="K1817" s="22" t="s">
        <v>6181</v>
      </c>
      <c r="L1817" s="22">
        <v>720.0</v>
      </c>
      <c r="M1817" s="22" t="s">
        <v>24</v>
      </c>
      <c r="N1817" s="22" t="s">
        <v>25</v>
      </c>
      <c r="O1817" s="23">
        <v>6.5E7</v>
      </c>
      <c r="P1817" s="10">
        <f t="shared" si="2"/>
        <v>117204440</v>
      </c>
      <c r="Q1817" s="12">
        <f t="shared" si="3"/>
        <v>0</v>
      </c>
      <c r="R1817" s="22">
        <v>2012.0</v>
      </c>
      <c r="S1817" s="22">
        <v>7.4</v>
      </c>
    </row>
    <row r="1818" ht="15.75" customHeight="1">
      <c r="A1818" s="17" t="s">
        <v>461</v>
      </c>
      <c r="B1818" s="8" t="str">
        <f>IFERROR(__xludf.DUMMYFUNCTION("REGEXREPLACE(A1818, ""[^0-9a-zA-Z .'Ã]"","""")"),"Tom Hanks")</f>
        <v>Tom Hanks</v>
      </c>
      <c r="C1818" s="18">
        <v>218.0</v>
      </c>
      <c r="D1818" s="19">
        <v>3.5565975E7</v>
      </c>
      <c r="E1818" s="18" t="s">
        <v>159</v>
      </c>
      <c r="F1818" s="9">
        <f t="shared" si="1"/>
        <v>3</v>
      </c>
      <c r="G1818" s="18" t="s">
        <v>461</v>
      </c>
      <c r="H1818" s="11" t="str">
        <f>IFERROR(__xludf.DUMMYFUNCTION("REGEXREPLACE(G1818, ""[^0-9a-zA-Z .'Ã]"","""")"),"Tom Hanks")</f>
        <v>Tom Hanks</v>
      </c>
      <c r="I1818" s="20" t="s">
        <v>6182</v>
      </c>
      <c r="J1818" s="18">
        <v>49205.0</v>
      </c>
      <c r="K1818" s="18" t="s">
        <v>6183</v>
      </c>
      <c r="L1818" s="18">
        <v>184.0</v>
      </c>
      <c r="M1818" s="18" t="s">
        <v>24</v>
      </c>
      <c r="N1818" s="18" t="s">
        <v>25</v>
      </c>
      <c r="O1818" s="19">
        <v>3.0E7</v>
      </c>
      <c r="P1818" s="10">
        <f t="shared" si="2"/>
        <v>5565975</v>
      </c>
      <c r="Q1818" s="12">
        <f t="shared" si="3"/>
        <v>0</v>
      </c>
      <c r="R1818" s="18">
        <v>2011.0</v>
      </c>
      <c r="S1818" s="18">
        <v>6.1</v>
      </c>
    </row>
    <row r="1819" ht="15.75" customHeight="1">
      <c r="A1819" s="7" t="s">
        <v>3560</v>
      </c>
      <c r="B1819" s="8" t="str">
        <f>IFERROR(__xludf.DUMMYFUNCTION("REGEXREPLACE(A1819, ""[^0-9a-zA-Z .'Ã]"","""")"),"Sam Weisman")</f>
        <v>Sam Weisman</v>
      </c>
      <c r="C1819" s="9">
        <v>64.0</v>
      </c>
      <c r="D1819" s="10">
        <v>3.2095318E7</v>
      </c>
      <c r="E1819" s="9" t="s">
        <v>440</v>
      </c>
      <c r="F1819" s="9">
        <f t="shared" si="1"/>
        <v>2</v>
      </c>
      <c r="G1819" s="9" t="s">
        <v>195</v>
      </c>
      <c r="H1819" s="11" t="str">
        <f>IFERROR(__xludf.DUMMYFUNCTION("REGEXREPLACE(G1819, ""[^0-9a-zA-Z .'Ã]"","""")"),"Bernie Mac")</f>
        <v>Bernie Mac</v>
      </c>
      <c r="I1819" s="11" t="s">
        <v>6184</v>
      </c>
      <c r="J1819" s="9">
        <v>12466.0</v>
      </c>
      <c r="K1819" s="9" t="s">
        <v>6185</v>
      </c>
      <c r="L1819" s="9">
        <v>84.0</v>
      </c>
      <c r="M1819" s="9" t="s">
        <v>24</v>
      </c>
      <c r="N1819" s="9" t="s">
        <v>25</v>
      </c>
      <c r="O1819" s="10">
        <v>4.5E7</v>
      </c>
      <c r="P1819" s="10">
        <f t="shared" si="2"/>
        <v>0</v>
      </c>
      <c r="Q1819" s="12">
        <f t="shared" si="3"/>
        <v>12904682</v>
      </c>
      <c r="R1819" s="9">
        <v>2001.0</v>
      </c>
      <c r="S1819" s="9">
        <v>5.5</v>
      </c>
    </row>
    <row r="1820" ht="15.75" customHeight="1">
      <c r="A1820" s="7" t="s">
        <v>972</v>
      </c>
      <c r="B1820" s="8" t="str">
        <f>IFERROR(__xludf.DUMMYFUNCTION("REGEXREPLACE(A1820, ""[^0-9a-zA-Z .'Ã]"","""")"),"Shawn Levy")</f>
        <v>Shawn Levy</v>
      </c>
      <c r="C1820" s="9">
        <v>97.0</v>
      </c>
      <c r="D1820" s="10">
        <v>5.6127162E7</v>
      </c>
      <c r="E1820" s="9" t="s">
        <v>89</v>
      </c>
      <c r="F1820" s="9">
        <f t="shared" si="1"/>
        <v>2</v>
      </c>
      <c r="G1820" s="9" t="s">
        <v>6186</v>
      </c>
      <c r="H1820" s="11" t="str">
        <f>IFERROR(__xludf.DUMMYFUNCTION("REGEXREPLACE(G1820, ""[^0-9a-zA-Z .'Ã]"","""")"),"Taran Killam")</f>
        <v>Taran Killam</v>
      </c>
      <c r="I1820" s="11" t="s">
        <v>6187</v>
      </c>
      <c r="J1820" s="9">
        <v>57479.0</v>
      </c>
      <c r="K1820" s="9" t="s">
        <v>6188</v>
      </c>
      <c r="L1820" s="9">
        <v>205.0</v>
      </c>
      <c r="M1820" s="9" t="s">
        <v>24</v>
      </c>
      <c r="N1820" s="9" t="s">
        <v>25</v>
      </c>
      <c r="O1820" s="10">
        <v>1.8E7</v>
      </c>
      <c r="P1820" s="10">
        <f t="shared" si="2"/>
        <v>38127162</v>
      </c>
      <c r="Q1820" s="12">
        <f t="shared" si="3"/>
        <v>0</v>
      </c>
      <c r="R1820" s="9">
        <v>2003.0</v>
      </c>
      <c r="S1820" s="9">
        <v>5.4</v>
      </c>
    </row>
    <row r="1821" ht="15.75" customHeight="1">
      <c r="A1821" s="25" t="s">
        <v>770</v>
      </c>
      <c r="B1821" s="8" t="str">
        <f>IFERROR(__xludf.DUMMYFUNCTION("REGEXREPLACE(A1821, ""[^0-9a-zA-Z -.'Ã]"","""")"),"JosÃ Padilha")</f>
        <v>JosÃ Padilha</v>
      </c>
      <c r="C1821" s="26">
        <v>142.0</v>
      </c>
      <c r="D1821" s="27">
        <v>8060.0</v>
      </c>
      <c r="E1821" s="26" t="s">
        <v>501</v>
      </c>
      <c r="F1821" s="9">
        <f t="shared" si="1"/>
        <v>4</v>
      </c>
      <c r="G1821" s="26" t="s">
        <v>6189</v>
      </c>
      <c r="H1821" s="11" t="str">
        <f>IFERROR(__xludf.DUMMYFUNCTION("REGEXREPLACE(G1821, ""[^0-9a-zA-Z .'Ã]"","""")"),"Wagner Moura")</f>
        <v>Wagner Moura</v>
      </c>
      <c r="I1821" s="28" t="s">
        <v>6190</v>
      </c>
      <c r="J1821" s="26">
        <v>81644.0</v>
      </c>
      <c r="K1821" s="26" t="s">
        <v>6191</v>
      </c>
      <c r="L1821" s="26">
        <v>107.0</v>
      </c>
      <c r="M1821" s="26" t="s">
        <v>2921</v>
      </c>
      <c r="N1821" s="26" t="s">
        <v>2922</v>
      </c>
      <c r="O1821" s="27">
        <v>4000000.0</v>
      </c>
      <c r="P1821" s="10">
        <f t="shared" si="2"/>
        <v>0</v>
      </c>
      <c r="Q1821" s="12">
        <f t="shared" si="3"/>
        <v>3991940</v>
      </c>
      <c r="R1821" s="26">
        <v>2007.0</v>
      </c>
      <c r="S1821" s="26">
        <v>8.1</v>
      </c>
    </row>
    <row r="1822" ht="15.75" customHeight="1">
      <c r="A1822" s="7" t="s">
        <v>1187</v>
      </c>
      <c r="B1822" s="8" t="str">
        <f>IFERROR(__xludf.DUMMYFUNCTION("REGEXREPLACE(A1822, ""[^0-9a-zA-Z .'Ã]"","""")"),"Ang Lee")</f>
        <v>Ang Lee</v>
      </c>
      <c r="C1822" s="9">
        <v>95.0</v>
      </c>
      <c r="D1822" s="10">
        <v>630779.0</v>
      </c>
      <c r="E1822" s="9" t="s">
        <v>6192</v>
      </c>
      <c r="F1822" s="9">
        <f t="shared" si="1"/>
        <v>4</v>
      </c>
      <c r="G1822" s="9" t="s">
        <v>6193</v>
      </c>
      <c r="H1822" s="11" t="str">
        <f>IFERROR(__xludf.DUMMYFUNCTION("REGEXREPLACE(G1822, ""[^0-9a-zA-Z .'Ã]"","""")"),"Jeremy W. Auman")</f>
        <v>Jeremy W. Auman</v>
      </c>
      <c r="I1822" s="11" t="s">
        <v>6194</v>
      </c>
      <c r="J1822" s="9">
        <v>11101.0</v>
      </c>
      <c r="K1822" s="9" t="s">
        <v>6195</v>
      </c>
      <c r="L1822" s="9">
        <v>159.0</v>
      </c>
      <c r="M1822" s="9" t="s">
        <v>24</v>
      </c>
      <c r="N1822" s="9" t="s">
        <v>25</v>
      </c>
      <c r="O1822" s="10">
        <v>3.5E7</v>
      </c>
      <c r="P1822" s="10">
        <f t="shared" si="2"/>
        <v>0</v>
      </c>
      <c r="Q1822" s="12">
        <f t="shared" si="3"/>
        <v>34369221</v>
      </c>
      <c r="R1822" s="9">
        <v>1999.0</v>
      </c>
      <c r="S1822" s="9">
        <v>6.8</v>
      </c>
    </row>
    <row r="1823" ht="15.75" customHeight="1">
      <c r="A1823" s="21" t="s">
        <v>1497</v>
      </c>
      <c r="B1823" s="8" t="str">
        <f>IFERROR(__xludf.DUMMYFUNCTION("REGEXREPLACE(A1823, ""[^0-9a-zA-Z .'Ã]"","""")"),"Henry Selick")</f>
        <v>Henry Selick</v>
      </c>
      <c r="C1823" s="22">
        <v>310.0</v>
      </c>
      <c r="D1823" s="23">
        <v>7.5280058E7</v>
      </c>
      <c r="E1823" s="22" t="s">
        <v>6196</v>
      </c>
      <c r="F1823" s="9">
        <f t="shared" si="1"/>
        <v>3</v>
      </c>
      <c r="G1823" s="22" t="s">
        <v>6197</v>
      </c>
      <c r="H1823" s="11" t="str">
        <f>IFERROR(__xludf.DUMMYFUNCTION("REGEXREPLACE(G1823, ""[^0-9a-zA-Z .'Ã]"","""")"),"Jennifer Saunders")</f>
        <v>Jennifer Saunders</v>
      </c>
      <c r="I1823" s="24" t="s">
        <v>6198</v>
      </c>
      <c r="J1823" s="22">
        <v>143121.0</v>
      </c>
      <c r="K1823" s="22" t="s">
        <v>6199</v>
      </c>
      <c r="L1823" s="22">
        <v>279.0</v>
      </c>
      <c r="M1823" s="22" t="s">
        <v>24</v>
      </c>
      <c r="N1823" s="22" t="s">
        <v>25</v>
      </c>
      <c r="O1823" s="23">
        <v>6.0E7</v>
      </c>
      <c r="P1823" s="10">
        <f t="shared" si="2"/>
        <v>15280058</v>
      </c>
      <c r="Q1823" s="12">
        <f t="shared" si="3"/>
        <v>0</v>
      </c>
      <c r="R1823" s="22">
        <v>2009.0</v>
      </c>
      <c r="S1823" s="22">
        <v>7.7</v>
      </c>
    </row>
    <row r="1824" ht="15.75" customHeight="1">
      <c r="A1824" s="21" t="s">
        <v>4046</v>
      </c>
      <c r="B1824" s="8" t="str">
        <f>IFERROR(__xludf.DUMMYFUNCTION("REGEXREPLACE(A1824, ""[^0-9a-zA-Z .'Ã]"","""")"),"Steve Oedekerk")</f>
        <v>Steve Oedekerk</v>
      </c>
      <c r="C1824" s="22">
        <v>49.0</v>
      </c>
      <c r="D1824" s="23">
        <v>4.4455658E7</v>
      </c>
      <c r="E1824" s="22" t="s">
        <v>1336</v>
      </c>
      <c r="F1824" s="9">
        <f t="shared" si="1"/>
        <v>4</v>
      </c>
      <c r="G1824" s="22" t="s">
        <v>6200</v>
      </c>
      <c r="H1824" s="11" t="str">
        <f>IFERROR(__xludf.DUMMYFUNCTION("REGEXREPLACE(G1824, ""[^0-9a-zA-Z .'Ã]"","""")"),"Kelly Preston")</f>
        <v>Kelly Preston</v>
      </c>
      <c r="I1824" s="24" t="s">
        <v>6201</v>
      </c>
      <c r="J1824" s="22">
        <v>36253.0</v>
      </c>
      <c r="K1824" s="22" t="s">
        <v>6202</v>
      </c>
      <c r="L1824" s="22">
        <v>92.0</v>
      </c>
      <c r="M1824" s="22" t="s">
        <v>24</v>
      </c>
      <c r="N1824" s="22" t="s">
        <v>25</v>
      </c>
      <c r="O1824" s="23">
        <v>2.5E7</v>
      </c>
      <c r="P1824" s="10">
        <f t="shared" si="2"/>
        <v>19455658</v>
      </c>
      <c r="Q1824" s="12">
        <f t="shared" si="3"/>
        <v>0</v>
      </c>
      <c r="R1824" s="22">
        <v>1997.0</v>
      </c>
      <c r="S1824" s="22">
        <v>6.7</v>
      </c>
    </row>
    <row r="1825" ht="15.75" customHeight="1">
      <c r="A1825" s="21" t="s">
        <v>752</v>
      </c>
      <c r="B1825" s="8" t="str">
        <f>IFERROR(__xludf.DUMMYFUNCTION("REGEXREPLACE(A1825, ""[^0-9a-zA-Z .'Ã]"","""")"),"Mike Nichols")</f>
        <v>Mike Nichols</v>
      </c>
      <c r="C1825" s="22">
        <v>82.0</v>
      </c>
      <c r="D1825" s="23">
        <v>6291602.0</v>
      </c>
      <c r="E1825" s="22" t="s">
        <v>3542</v>
      </c>
      <c r="F1825" s="9">
        <f t="shared" si="1"/>
        <v>2</v>
      </c>
      <c r="G1825" s="22" t="s">
        <v>642</v>
      </c>
      <c r="H1825" s="11" t="str">
        <f>IFERROR(__xludf.DUMMYFUNCTION("REGEXREPLACE(G1825, ""[^0-9a-zA-Z .'Ã]"","""")"),"Judy Greer")</f>
        <v>Judy Greer</v>
      </c>
      <c r="I1825" s="24" t="s">
        <v>6203</v>
      </c>
      <c r="J1825" s="22">
        <v>8070.0</v>
      </c>
      <c r="K1825" s="22" t="s">
        <v>6204</v>
      </c>
      <c r="L1825" s="22">
        <v>91.0</v>
      </c>
      <c r="M1825" s="22" t="s">
        <v>24</v>
      </c>
      <c r="N1825" s="22" t="s">
        <v>25</v>
      </c>
      <c r="O1825" s="23">
        <v>5.0E7</v>
      </c>
      <c r="P1825" s="10">
        <f t="shared" si="2"/>
        <v>0</v>
      </c>
      <c r="Q1825" s="12">
        <f t="shared" si="3"/>
        <v>43708398</v>
      </c>
      <c r="R1825" s="22">
        <v>2000.0</v>
      </c>
      <c r="S1825" s="22">
        <v>5.6</v>
      </c>
    </row>
    <row r="1826" ht="15.75" customHeight="1">
      <c r="A1826" s="29" t="s">
        <v>760</v>
      </c>
      <c r="B1826" s="8" t="str">
        <f>IFERROR(__xludf.DUMMYFUNCTION("REGEXREPLACE(A1826, ""[^0-9a-zA-Z .'Ã]"","""")"),"Martin Scorsese")</f>
        <v>Martin Scorsese</v>
      </c>
      <c r="C1826" s="30">
        <v>85.0</v>
      </c>
      <c r="D1826" s="31">
        <v>5532301.0</v>
      </c>
      <c r="E1826" s="30" t="s">
        <v>3603</v>
      </c>
      <c r="F1826" s="9">
        <f t="shared" si="1"/>
        <v>4</v>
      </c>
      <c r="G1826" s="30" t="s">
        <v>6205</v>
      </c>
      <c r="H1826" s="11" t="str">
        <f>IFERROR(__xludf.DUMMYFUNCTION("REGEXREPLACE(G1826, ""[^0-9a-zA-Z .'Ã]"","""")"),"Tenzin Thuthob Tsarong")</f>
        <v>Tenzin Thuthob Tsarong</v>
      </c>
      <c r="I1826" s="32" t="s">
        <v>6206</v>
      </c>
      <c r="J1826" s="30">
        <v>21606.0</v>
      </c>
      <c r="K1826" s="30" t="s">
        <v>6207</v>
      </c>
      <c r="L1826" s="30">
        <v>117.0</v>
      </c>
      <c r="M1826" s="30" t="s">
        <v>24</v>
      </c>
      <c r="N1826" s="30" t="s">
        <v>25</v>
      </c>
      <c r="O1826" s="31">
        <v>2.8E7</v>
      </c>
      <c r="P1826" s="10">
        <f t="shared" si="2"/>
        <v>0</v>
      </c>
      <c r="Q1826" s="12">
        <f t="shared" si="3"/>
        <v>22467699</v>
      </c>
      <c r="R1826" s="30">
        <v>1997.0</v>
      </c>
      <c r="S1826" s="30">
        <v>7.0</v>
      </c>
    </row>
    <row r="1827" ht="15.75" customHeight="1">
      <c r="A1827" s="21" t="s">
        <v>1346</v>
      </c>
      <c r="B1827" s="8" t="str">
        <f>IFERROR(__xludf.DUMMYFUNCTION("REGEXREPLACE(A1827, ""[^0-9a-zA-Z .'Ã]"","""")"),"Sam Raimi")</f>
        <v>Sam Raimi</v>
      </c>
      <c r="C1827" s="22">
        <v>63.0</v>
      </c>
      <c r="D1827" s="23">
        <v>1.8636537E7</v>
      </c>
      <c r="E1827" s="22" t="s">
        <v>6208</v>
      </c>
      <c r="F1827" s="9">
        <f t="shared" si="1"/>
        <v>3</v>
      </c>
      <c r="G1827" s="22" t="s">
        <v>1351</v>
      </c>
      <c r="H1827" s="11" t="str">
        <f>IFERROR(__xludf.DUMMYFUNCTION("REGEXREPLACE(G1827, ""[^0-9a-zA-Z .'Ã]"","""")"),"Leonardo DiCaprio")</f>
        <v>Leonardo DiCaprio</v>
      </c>
      <c r="I1827" s="24" t="s">
        <v>6209</v>
      </c>
      <c r="J1827" s="22">
        <v>69197.0</v>
      </c>
      <c r="K1827" s="22" t="s">
        <v>6210</v>
      </c>
      <c r="L1827" s="22">
        <v>216.0</v>
      </c>
      <c r="M1827" s="22" t="s">
        <v>24</v>
      </c>
      <c r="N1827" s="22" t="s">
        <v>1535</v>
      </c>
      <c r="O1827" s="23">
        <v>3.2E7</v>
      </c>
      <c r="P1827" s="10">
        <f t="shared" si="2"/>
        <v>0</v>
      </c>
      <c r="Q1827" s="12">
        <f t="shared" si="3"/>
        <v>13363463</v>
      </c>
      <c r="R1827" s="22">
        <v>1995.0</v>
      </c>
      <c r="S1827" s="22">
        <v>6.4</v>
      </c>
    </row>
    <row r="1828" ht="15.75" customHeight="1">
      <c r="A1828" s="21" t="s">
        <v>6211</v>
      </c>
      <c r="B1828" s="8" t="str">
        <f>IFERROR(__xludf.DUMMYFUNCTION("REGEXREPLACE(A1828, ""[^0-9a-zA-Z .'Ã]"","""")"),"Russell Holt")</f>
        <v>Russell Holt</v>
      </c>
      <c r="C1828" s="22">
        <v>6.0</v>
      </c>
      <c r="D1828" s="23">
        <v>3347439.0</v>
      </c>
      <c r="E1828" s="22" t="s">
        <v>232</v>
      </c>
      <c r="F1828" s="9">
        <f t="shared" si="1"/>
        <v>2</v>
      </c>
      <c r="G1828" s="22" t="s">
        <v>6212</v>
      </c>
      <c r="H1828" s="11" t="str">
        <f>IFERROR(__xludf.DUMMYFUNCTION("REGEXREPLACE(G1828, ""[^0-9a-zA-Z .'Ã]"","""")"),"Eric Johnson")</f>
        <v>Eric Johnson</v>
      </c>
      <c r="I1828" s="24" t="s">
        <v>6213</v>
      </c>
      <c r="J1828" s="22">
        <v>833.0</v>
      </c>
      <c r="K1828" s="22" t="s">
        <v>6214</v>
      </c>
      <c r="L1828" s="22">
        <v>33.0</v>
      </c>
      <c r="M1828" s="22" t="s">
        <v>24</v>
      </c>
      <c r="N1828" s="22" t="s">
        <v>25</v>
      </c>
      <c r="O1828" s="23">
        <v>7500000.0</v>
      </c>
      <c r="P1828" s="10">
        <f t="shared" si="2"/>
        <v>0</v>
      </c>
      <c r="Q1828" s="12">
        <f t="shared" si="3"/>
        <v>4152561</v>
      </c>
      <c r="R1828" s="22">
        <v>2004.0</v>
      </c>
      <c r="S1828" s="22">
        <v>6.9</v>
      </c>
    </row>
    <row r="1829" ht="15.75" customHeight="1">
      <c r="A1829" s="7" t="s">
        <v>3016</v>
      </c>
      <c r="B1829" s="8" t="str">
        <f>IFERROR(__xludf.DUMMYFUNCTION("REGEXREPLACE(A1829, ""[^0-9a-zA-Z .'Ã]"","""")"),"Dean DeBlois")</f>
        <v>Dean DeBlois</v>
      </c>
      <c r="C1829" s="9">
        <v>292.0</v>
      </c>
      <c r="D1829" s="10">
        <v>1.76997107E8</v>
      </c>
      <c r="E1829" s="9" t="s">
        <v>5410</v>
      </c>
      <c r="F1829" s="9">
        <f t="shared" si="1"/>
        <v>6</v>
      </c>
      <c r="G1829" s="9" t="s">
        <v>830</v>
      </c>
      <c r="H1829" s="11" t="str">
        <f>IFERROR(__xludf.DUMMYFUNCTION("REGEXREPLACE(G1829, ""[^0-9a-zA-Z .'Ã]"","""")"),"Gerard Butler")</f>
        <v>Gerard Butler</v>
      </c>
      <c r="I1829" s="11" t="s">
        <v>6215</v>
      </c>
      <c r="J1829" s="9">
        <v>221128.0</v>
      </c>
      <c r="K1829" s="9" t="s">
        <v>6216</v>
      </c>
      <c r="L1829" s="9">
        <v>343.0</v>
      </c>
      <c r="M1829" s="9" t="s">
        <v>24</v>
      </c>
      <c r="N1829" s="9" t="s">
        <v>25</v>
      </c>
      <c r="O1829" s="10">
        <v>1.45E8</v>
      </c>
      <c r="P1829" s="10">
        <f t="shared" si="2"/>
        <v>31997107</v>
      </c>
      <c r="Q1829" s="12">
        <f t="shared" si="3"/>
        <v>0</v>
      </c>
      <c r="R1829" s="9">
        <v>2014.0</v>
      </c>
      <c r="S1829" s="9">
        <v>7.9</v>
      </c>
    </row>
    <row r="1830" ht="15.75" customHeight="1">
      <c r="A1830" s="7" t="s">
        <v>6217</v>
      </c>
      <c r="B1830" s="8" t="str">
        <f>IFERROR(__xludf.DUMMYFUNCTION("REGEXREPLACE(A1830, ""[^0-9a-zA-Z .'Ã]"","""")"),"Bruce McCulloch")</f>
        <v>Bruce McCulloch</v>
      </c>
      <c r="C1830" s="9">
        <v>43.0</v>
      </c>
      <c r="D1830" s="10">
        <v>3.0628981E7</v>
      </c>
      <c r="E1830" s="9" t="s">
        <v>89</v>
      </c>
      <c r="F1830" s="9">
        <f t="shared" si="1"/>
        <v>2</v>
      </c>
      <c r="G1830" s="9" t="s">
        <v>441</v>
      </c>
      <c r="H1830" s="11" t="str">
        <f>IFERROR(__xludf.DUMMYFUNCTION("REGEXREPLACE(G1830, ""[^0-9a-zA-Z .'Ã]"","""")"),"Will Ferrell")</f>
        <v>Will Ferrell</v>
      </c>
      <c r="I1830" s="11" t="s">
        <v>6218</v>
      </c>
      <c r="J1830" s="9">
        <v>15047.0</v>
      </c>
      <c r="K1830" s="9" t="s">
        <v>6219</v>
      </c>
      <c r="L1830" s="9">
        <v>160.0</v>
      </c>
      <c r="M1830" s="9" t="s">
        <v>24</v>
      </c>
      <c r="N1830" s="9" t="s">
        <v>25</v>
      </c>
      <c r="O1830" s="10">
        <v>1.4E7</v>
      </c>
      <c r="P1830" s="10">
        <f t="shared" si="2"/>
        <v>16628981</v>
      </c>
      <c r="Q1830" s="12">
        <f t="shared" si="3"/>
        <v>0</v>
      </c>
      <c r="R1830" s="9">
        <v>1999.0</v>
      </c>
      <c r="S1830" s="9">
        <v>5.0</v>
      </c>
    </row>
    <row r="1831" ht="15.75" customHeight="1">
      <c r="A1831" s="17" t="s">
        <v>3840</v>
      </c>
      <c r="B1831" s="8" t="str">
        <f>IFERROR(__xludf.DUMMYFUNCTION("REGEXREPLACE(A1831, ""[^0-9a-zA-Z .'Ã]"","""")"),"DJ Pooh")</f>
        <v>DJ Pooh</v>
      </c>
      <c r="C1831" s="18">
        <v>27.0</v>
      </c>
      <c r="D1831" s="19">
        <v>1.0097096E7</v>
      </c>
      <c r="E1831" s="18" t="s">
        <v>137</v>
      </c>
      <c r="F1831" s="9">
        <f t="shared" si="1"/>
        <v>1</v>
      </c>
      <c r="G1831" s="18" t="s">
        <v>6220</v>
      </c>
      <c r="H1831" s="11" t="str">
        <f>IFERROR(__xludf.DUMMYFUNCTION("REGEXREPLACE(G1831, ""[^0-9a-zA-Z .'Ã]"","""")"),"Angell Conwell")</f>
        <v>Angell Conwell</v>
      </c>
      <c r="I1831" s="20" t="s">
        <v>6221</v>
      </c>
      <c r="J1831" s="18">
        <v>5612.0</v>
      </c>
      <c r="K1831" s="18" t="s">
        <v>6222</v>
      </c>
      <c r="L1831" s="18">
        <v>38.0</v>
      </c>
      <c r="M1831" s="18" t="s">
        <v>24</v>
      </c>
      <c r="N1831" s="18" t="s">
        <v>25</v>
      </c>
      <c r="O1831" s="19">
        <v>4000000.0</v>
      </c>
      <c r="P1831" s="10">
        <f t="shared" si="2"/>
        <v>6097096</v>
      </c>
      <c r="Q1831" s="12">
        <f t="shared" si="3"/>
        <v>0</v>
      </c>
      <c r="R1831" s="18">
        <v>2001.0</v>
      </c>
      <c r="S1831" s="18">
        <v>4.6</v>
      </c>
    </row>
    <row r="1832" ht="15.75" customHeight="1">
      <c r="A1832" s="7" t="s">
        <v>6223</v>
      </c>
      <c r="B1832" s="8" t="str">
        <f>IFERROR(__xludf.DUMMYFUNCTION("REGEXREPLACE(A1832, ""[^0-9a-zA-Z .'Ã]"","""")"),"Mimi Leder")</f>
        <v>Mimi Leder</v>
      </c>
      <c r="C1832" s="9">
        <v>157.0</v>
      </c>
      <c r="D1832" s="10">
        <v>3.3508922E7</v>
      </c>
      <c r="E1832" s="9" t="s">
        <v>103</v>
      </c>
      <c r="F1832" s="9">
        <f t="shared" si="1"/>
        <v>1</v>
      </c>
      <c r="G1832" s="9" t="s">
        <v>483</v>
      </c>
      <c r="H1832" s="11" t="str">
        <f>IFERROR(__xludf.DUMMYFUNCTION("REGEXREPLACE(G1832, ""[^0-9a-zA-Z .'Ã]"","""")"),"Kevin Spacey")</f>
        <v>Kevin Spacey</v>
      </c>
      <c r="I1832" s="11" t="s">
        <v>6224</v>
      </c>
      <c r="J1832" s="9">
        <v>95860.0</v>
      </c>
      <c r="K1832" s="9" t="s">
        <v>6225</v>
      </c>
      <c r="L1832" s="9">
        <v>660.0</v>
      </c>
      <c r="M1832" s="9" t="s">
        <v>24</v>
      </c>
      <c r="N1832" s="9" t="s">
        <v>25</v>
      </c>
      <c r="O1832" s="10">
        <v>4.0E7</v>
      </c>
      <c r="P1832" s="10">
        <f t="shared" si="2"/>
        <v>0</v>
      </c>
      <c r="Q1832" s="12">
        <f t="shared" si="3"/>
        <v>6491078</v>
      </c>
      <c r="R1832" s="9">
        <v>2000.0</v>
      </c>
      <c r="S1832" s="9">
        <v>7.2</v>
      </c>
    </row>
    <row r="1833" ht="15.75" customHeight="1">
      <c r="A1833" s="21" t="s">
        <v>6226</v>
      </c>
      <c r="B1833" s="8" t="str">
        <f>IFERROR(__xludf.DUMMYFUNCTION("REGEXREPLACE(A1833, ""[^0-9a-zA-Z .'Ã]"","""")"),"Nicholas Jarecki")</f>
        <v>Nicholas Jarecki</v>
      </c>
      <c r="C1833" s="22">
        <v>288.0</v>
      </c>
      <c r="D1833" s="23">
        <v>7918283.0</v>
      </c>
      <c r="E1833" s="22" t="s">
        <v>369</v>
      </c>
      <c r="F1833" s="9">
        <f t="shared" si="1"/>
        <v>2</v>
      </c>
      <c r="G1833" s="22" t="s">
        <v>6227</v>
      </c>
      <c r="H1833" s="11" t="str">
        <f>IFERROR(__xludf.DUMMYFUNCTION("REGEXREPLACE(G1833, ""[^0-9a-zA-Z .'Ã]"","""")"),"Nate Parker")</f>
        <v>Nate Parker</v>
      </c>
      <c r="I1833" s="24" t="s">
        <v>6228</v>
      </c>
      <c r="J1833" s="22">
        <v>41574.0</v>
      </c>
      <c r="K1833" s="22" t="s">
        <v>6229</v>
      </c>
      <c r="L1833" s="22">
        <v>145.0</v>
      </c>
      <c r="M1833" s="22" t="s">
        <v>24</v>
      </c>
      <c r="N1833" s="22" t="s">
        <v>25</v>
      </c>
      <c r="O1833" s="23">
        <v>1.2E7</v>
      </c>
      <c r="P1833" s="10">
        <f t="shared" si="2"/>
        <v>0</v>
      </c>
      <c r="Q1833" s="12">
        <f t="shared" si="3"/>
        <v>4081717</v>
      </c>
      <c r="R1833" s="22">
        <v>2012.0</v>
      </c>
      <c r="S1833" s="22">
        <v>6.6</v>
      </c>
    </row>
    <row r="1834" ht="15.75" customHeight="1">
      <c r="A1834" s="21" t="s">
        <v>676</v>
      </c>
      <c r="B1834" s="8" t="str">
        <f>IFERROR(__xludf.DUMMYFUNCTION("REGEXREPLACE(A1834, ""[^0-9a-zA-Z .'Ã]"","""")"),"Stephen Herek")</f>
        <v>Stephen Herek</v>
      </c>
      <c r="C1834" s="22">
        <v>56.0</v>
      </c>
      <c r="D1834" s="23">
        <v>1.2065985E7</v>
      </c>
      <c r="E1834" s="22" t="s">
        <v>454</v>
      </c>
      <c r="F1834" s="9">
        <f t="shared" si="1"/>
        <v>2</v>
      </c>
      <c r="G1834" s="22" t="s">
        <v>6200</v>
      </c>
      <c r="H1834" s="11" t="str">
        <f>IFERROR(__xludf.DUMMYFUNCTION("REGEXREPLACE(G1834, ""[^0-9a-zA-Z .'Ã]"","""")"),"Kelly Preston")</f>
        <v>Kelly Preston</v>
      </c>
      <c r="I1834" s="24" t="s">
        <v>6230</v>
      </c>
      <c r="J1834" s="22">
        <v>16260.0</v>
      </c>
      <c r="K1834" s="22" t="s">
        <v>6231</v>
      </c>
      <c r="L1834" s="22">
        <v>88.0</v>
      </c>
      <c r="M1834" s="22" t="s">
        <v>24</v>
      </c>
      <c r="N1834" s="22" t="s">
        <v>25</v>
      </c>
      <c r="O1834" s="23">
        <v>6.0E7</v>
      </c>
      <c r="P1834" s="10">
        <f t="shared" si="2"/>
        <v>0</v>
      </c>
      <c r="Q1834" s="12">
        <f t="shared" si="3"/>
        <v>47934015</v>
      </c>
      <c r="R1834" s="22">
        <v>1998.0</v>
      </c>
      <c r="S1834" s="22">
        <v>4.9</v>
      </c>
    </row>
    <row r="1835" ht="15.75" customHeight="1">
      <c r="A1835" s="25" t="s">
        <v>1123</v>
      </c>
      <c r="B1835" s="8" t="str">
        <f>IFERROR(__xludf.DUMMYFUNCTION("REGEXREPLACE(A1835, ""[^0-9a-zA-Z .'Ã]"","""")"),"Ron Howard")</f>
        <v>Ron Howard</v>
      </c>
      <c r="C1835" s="26">
        <v>185.0</v>
      </c>
      <c r="D1835" s="27">
        <v>4.8430355E7</v>
      </c>
      <c r="E1835" s="26" t="s">
        <v>454</v>
      </c>
      <c r="F1835" s="9">
        <f t="shared" si="1"/>
        <v>2</v>
      </c>
      <c r="G1835" s="26" t="s">
        <v>176</v>
      </c>
      <c r="H1835" s="11" t="str">
        <f>IFERROR(__xludf.DUMMYFUNCTION("REGEXREPLACE(G1835, ""[^0-9a-zA-Z .'Ã]"","""")"),"Channing Tatum")</f>
        <v>Channing Tatum</v>
      </c>
      <c r="I1835" s="28" t="s">
        <v>6232</v>
      </c>
      <c r="J1835" s="26">
        <v>43709.0</v>
      </c>
      <c r="K1835" s="26" t="s">
        <v>6233</v>
      </c>
      <c r="L1835" s="26">
        <v>141.0</v>
      </c>
      <c r="M1835" s="26" t="s">
        <v>24</v>
      </c>
      <c r="N1835" s="26" t="s">
        <v>25</v>
      </c>
      <c r="O1835" s="27">
        <v>7.0E7</v>
      </c>
      <c r="P1835" s="10">
        <f t="shared" si="2"/>
        <v>0</v>
      </c>
      <c r="Q1835" s="12">
        <f t="shared" si="3"/>
        <v>21569645</v>
      </c>
      <c r="R1835" s="26">
        <v>2011.0</v>
      </c>
      <c r="S1835" s="26">
        <v>5.3</v>
      </c>
    </row>
    <row r="1836" ht="15.75" customHeight="1">
      <c r="A1836" s="17" t="s">
        <v>986</v>
      </c>
      <c r="B1836" s="8" t="str">
        <f>IFERROR(__xludf.DUMMYFUNCTION("REGEXREPLACE(A1836, ""[^0-9a-zA-Z .'Ã]"","""")"),"Simon West")</f>
        <v>Simon West</v>
      </c>
      <c r="C1836" s="18">
        <v>383.0</v>
      </c>
      <c r="D1836" s="19">
        <v>8.5017401E7</v>
      </c>
      <c r="E1836" s="18" t="s">
        <v>474</v>
      </c>
      <c r="F1836" s="9">
        <f t="shared" si="1"/>
        <v>3</v>
      </c>
      <c r="G1836" s="18" t="s">
        <v>815</v>
      </c>
      <c r="H1836" s="11" t="str">
        <f>IFERROR(__xludf.DUMMYFUNCTION("REGEXREPLACE(G1836, ""[^0-9a-zA-Z .'Ã]"","""")"),"Jason Statham")</f>
        <v>Jason Statham</v>
      </c>
      <c r="I1836" s="20" t="s">
        <v>6234</v>
      </c>
      <c r="J1836" s="18">
        <v>246803.0</v>
      </c>
      <c r="K1836" s="18" t="s">
        <v>6235</v>
      </c>
      <c r="L1836" s="18">
        <v>474.0</v>
      </c>
      <c r="M1836" s="18" t="s">
        <v>24</v>
      </c>
      <c r="N1836" s="18" t="s">
        <v>25</v>
      </c>
      <c r="O1836" s="19">
        <v>9.2E7</v>
      </c>
      <c r="P1836" s="10">
        <f t="shared" si="2"/>
        <v>0</v>
      </c>
      <c r="Q1836" s="12">
        <f t="shared" si="3"/>
        <v>6982599</v>
      </c>
      <c r="R1836" s="18">
        <v>2012.0</v>
      </c>
      <c r="S1836" s="18">
        <v>6.7</v>
      </c>
    </row>
    <row r="1837" ht="15.75" customHeight="1">
      <c r="A1837" s="7" t="s">
        <v>6236</v>
      </c>
      <c r="B1837" s="8" t="str">
        <f>IFERROR(__xludf.DUMMYFUNCTION("REGEXREPLACE(A1837, ""[^0-9a-zA-Z .'Ã]"","""")"),"Jeff Kanew")</f>
        <v>Jeff Kanew</v>
      </c>
      <c r="C1837" s="9">
        <v>11.0</v>
      </c>
      <c r="D1837" s="10">
        <v>8508843.0</v>
      </c>
      <c r="E1837" s="9" t="s">
        <v>693</v>
      </c>
      <c r="F1837" s="9">
        <f t="shared" si="1"/>
        <v>2</v>
      </c>
      <c r="G1837" s="9" t="s">
        <v>6103</v>
      </c>
      <c r="H1837" s="11" t="str">
        <f>IFERROR(__xludf.DUMMYFUNCTION("REGEXREPLACE(G1837, ""[^0-9a-zA-Z .'Ã]"","""")"),"Craig T. Nelson")</f>
        <v>Craig T. Nelson</v>
      </c>
      <c r="I1837" s="11" t="s">
        <v>6237</v>
      </c>
      <c r="J1837" s="9">
        <v>7470.0</v>
      </c>
      <c r="K1837" s="9" t="s">
        <v>6238</v>
      </c>
      <c r="L1837" s="9">
        <v>35.0</v>
      </c>
      <c r="M1837" s="9" t="s">
        <v>24</v>
      </c>
      <c r="N1837" s="9" t="s">
        <v>25</v>
      </c>
      <c r="O1837" s="10">
        <v>1.8E7</v>
      </c>
      <c r="P1837" s="10">
        <f t="shared" si="2"/>
        <v>0</v>
      </c>
      <c r="Q1837" s="12">
        <f t="shared" si="3"/>
        <v>9491157</v>
      </c>
      <c r="R1837" s="9">
        <v>1989.0</v>
      </c>
      <c r="S1837" s="9">
        <v>5.5</v>
      </c>
    </row>
    <row r="1838" ht="15.75" customHeight="1">
      <c r="A1838" s="7" t="s">
        <v>1120</v>
      </c>
      <c r="B1838" s="8" t="str">
        <f>IFERROR(__xludf.DUMMYFUNCTION("REGEXREPLACE(A1838, ""[^0-9a-zA-Z .'Ã]"","""")"),"Brad Silberling")</f>
        <v>Brad Silberling</v>
      </c>
      <c r="C1838" s="9">
        <v>111.0</v>
      </c>
      <c r="D1838" s="10">
        <v>6830957.0</v>
      </c>
      <c r="E1838" s="9" t="s">
        <v>232</v>
      </c>
      <c r="F1838" s="9">
        <f t="shared" si="1"/>
        <v>2</v>
      </c>
      <c r="G1838" s="9" t="s">
        <v>2509</v>
      </c>
      <c r="H1838" s="11" t="str">
        <f>IFERROR(__xludf.DUMMYFUNCTION("REGEXREPLACE(G1838, ""[^0-9a-zA-Z .'Ã]"","""")"),"Jake Gyllenhaal")</f>
        <v>Jake Gyllenhaal</v>
      </c>
      <c r="I1838" s="11" t="s">
        <v>6239</v>
      </c>
      <c r="J1838" s="9">
        <v>11983.0</v>
      </c>
      <c r="K1838" s="9" t="s">
        <v>6240</v>
      </c>
      <c r="L1838" s="9">
        <v>147.0</v>
      </c>
      <c r="M1838" s="9" t="s">
        <v>24</v>
      </c>
      <c r="N1838" s="9" t="s">
        <v>25</v>
      </c>
      <c r="O1838" s="10">
        <v>2.1E7</v>
      </c>
      <c r="P1838" s="10">
        <f t="shared" si="2"/>
        <v>0</v>
      </c>
      <c r="Q1838" s="12">
        <f t="shared" si="3"/>
        <v>14169043</v>
      </c>
      <c r="R1838" s="9">
        <v>2002.0</v>
      </c>
      <c r="S1838" s="9">
        <v>6.7</v>
      </c>
    </row>
    <row r="1839" ht="15.75" customHeight="1">
      <c r="A1839" s="21" t="s">
        <v>315</v>
      </c>
      <c r="B1839" s="8" t="str">
        <f>IFERROR(__xludf.DUMMYFUNCTION("REGEXREPLACE(A1839, ""[^0-9a-zA-Z .'Ã]"","""")"),"Steven Soderbergh")</f>
        <v>Steven Soderbergh</v>
      </c>
      <c r="C1839" s="22">
        <v>436.0</v>
      </c>
      <c r="D1839" s="23">
        <v>7.5638743E7</v>
      </c>
      <c r="E1839" s="22" t="s">
        <v>369</v>
      </c>
      <c r="F1839" s="9">
        <f t="shared" si="1"/>
        <v>2</v>
      </c>
      <c r="G1839" s="22" t="s">
        <v>585</v>
      </c>
      <c r="H1839" s="11" t="str">
        <f>IFERROR(__xludf.DUMMYFUNCTION("REGEXREPLACE(G1839, ""[^0-9a-zA-Z .'Ã]"","""")"),"Matt Damon")</f>
        <v>Matt Damon</v>
      </c>
      <c r="I1839" s="24" t="s">
        <v>6241</v>
      </c>
      <c r="J1839" s="22">
        <v>180479.0</v>
      </c>
      <c r="K1839" s="22" t="s">
        <v>6242</v>
      </c>
      <c r="L1839" s="22">
        <v>411.0</v>
      </c>
      <c r="M1839" s="22" t="s">
        <v>24</v>
      </c>
      <c r="N1839" s="22" t="s">
        <v>25</v>
      </c>
      <c r="O1839" s="23">
        <v>6.0E7</v>
      </c>
      <c r="P1839" s="10">
        <f t="shared" si="2"/>
        <v>15638743</v>
      </c>
      <c r="Q1839" s="12">
        <f t="shared" si="3"/>
        <v>0</v>
      </c>
      <c r="R1839" s="22">
        <v>2011.0</v>
      </c>
      <c r="S1839" s="22">
        <v>6.6</v>
      </c>
    </row>
    <row r="1840" ht="15.75" customHeight="1">
      <c r="A1840" s="21" t="s">
        <v>6243</v>
      </c>
      <c r="B1840" s="8" t="str">
        <f>IFERROR(__xludf.DUMMYFUNCTION("REGEXREPLACE(A1840, ""[^0-9a-zA-Z .'Ã]"","""")"),"Floria Sigismondi")</f>
        <v>Floria Sigismondi</v>
      </c>
      <c r="C1840" s="22">
        <v>259.0</v>
      </c>
      <c r="D1840" s="23">
        <v>3571735.0</v>
      </c>
      <c r="E1840" s="22" t="s">
        <v>2225</v>
      </c>
      <c r="F1840" s="9">
        <f t="shared" si="1"/>
        <v>3</v>
      </c>
      <c r="G1840" s="22" t="s">
        <v>1969</v>
      </c>
      <c r="H1840" s="11" t="str">
        <f>IFERROR(__xludf.DUMMYFUNCTION("REGEXREPLACE(G1840, ""[^0-9a-zA-Z .'Ã]"","""")"),"Kristen Stewart")</f>
        <v>Kristen Stewart</v>
      </c>
      <c r="I1840" s="24" t="s">
        <v>6244</v>
      </c>
      <c r="J1840" s="22">
        <v>39260.0</v>
      </c>
      <c r="K1840" s="22" t="s">
        <v>6245</v>
      </c>
      <c r="L1840" s="22">
        <v>129.0</v>
      </c>
      <c r="M1840" s="22" t="s">
        <v>24</v>
      </c>
      <c r="N1840" s="22" t="s">
        <v>25</v>
      </c>
      <c r="O1840" s="23">
        <v>1.0E7</v>
      </c>
      <c r="P1840" s="10">
        <f t="shared" si="2"/>
        <v>0</v>
      </c>
      <c r="Q1840" s="12">
        <f t="shared" si="3"/>
        <v>6428265</v>
      </c>
      <c r="R1840" s="22">
        <v>2010.0</v>
      </c>
      <c r="S1840" s="22">
        <v>6.6</v>
      </c>
    </row>
    <row r="1841" ht="15.75" customHeight="1">
      <c r="A1841" s="13" t="s">
        <v>896</v>
      </c>
      <c r="B1841" s="8" t="str">
        <f>IFERROR(__xludf.DUMMYFUNCTION("REGEXREPLACE(A1841, ""[^0-9a-zA-Z .'Ã]"","""")"),"Kevin Smith")</f>
        <v>Kevin Smith</v>
      </c>
      <c r="C1841" s="14">
        <v>181.0</v>
      </c>
      <c r="D1841" s="15">
        <v>3.0059386E7</v>
      </c>
      <c r="E1841" s="14" t="s">
        <v>137</v>
      </c>
      <c r="F1841" s="9">
        <f t="shared" si="1"/>
        <v>1</v>
      </c>
      <c r="G1841" s="14" t="s">
        <v>441</v>
      </c>
      <c r="H1841" s="11" t="str">
        <f>IFERROR(__xludf.DUMMYFUNCTION("REGEXREPLACE(G1841, ""[^0-9a-zA-Z .'Ã]"","""")"),"Will Ferrell")</f>
        <v>Will Ferrell</v>
      </c>
      <c r="I1841" s="16" t="s">
        <v>6246</v>
      </c>
      <c r="J1841" s="14">
        <v>128593.0</v>
      </c>
      <c r="K1841" s="14" t="s">
        <v>6247</v>
      </c>
      <c r="L1841" s="14">
        <v>867.0</v>
      </c>
      <c r="M1841" s="14" t="s">
        <v>24</v>
      </c>
      <c r="N1841" s="14" t="s">
        <v>25</v>
      </c>
      <c r="O1841" s="15">
        <v>2.2E7</v>
      </c>
      <c r="P1841" s="10">
        <f t="shared" si="2"/>
        <v>8059386</v>
      </c>
      <c r="Q1841" s="12">
        <f t="shared" si="3"/>
        <v>0</v>
      </c>
      <c r="R1841" s="14">
        <v>2001.0</v>
      </c>
      <c r="S1841" s="14">
        <v>6.9</v>
      </c>
    </row>
    <row r="1842" ht="15.75" customHeight="1">
      <c r="A1842" s="25" t="s">
        <v>2879</v>
      </c>
      <c r="B1842" s="8" t="str">
        <f>IFERROR(__xludf.DUMMYFUNCTION("REGEXREPLACE(A1842, ""[^0-9a-zA-Z .'Ã]"","""")"),"Gil Junger")</f>
        <v>Gil Junger</v>
      </c>
      <c r="C1842" s="26">
        <v>46.0</v>
      </c>
      <c r="D1842" s="27">
        <v>3.3422806E7</v>
      </c>
      <c r="E1842" s="26" t="s">
        <v>2656</v>
      </c>
      <c r="F1842" s="9">
        <f t="shared" si="1"/>
        <v>3</v>
      </c>
      <c r="G1842" s="26" t="s">
        <v>1490</v>
      </c>
      <c r="H1842" s="11" t="str">
        <f>IFERROR(__xludf.DUMMYFUNCTION("REGEXREPLACE(G1842, ""[^0-9a-zA-Z .'Ã]"","""")"),"Tom Wilkinson")</f>
        <v>Tom Wilkinson</v>
      </c>
      <c r="I1842" s="28" t="s">
        <v>6248</v>
      </c>
      <c r="J1842" s="26">
        <v>30771.0</v>
      </c>
      <c r="K1842" s="26" t="s">
        <v>6249</v>
      </c>
      <c r="L1842" s="26">
        <v>164.0</v>
      </c>
      <c r="M1842" s="26" t="s">
        <v>24</v>
      </c>
      <c r="N1842" s="26" t="s">
        <v>25</v>
      </c>
      <c r="O1842" s="27">
        <v>5.0E7</v>
      </c>
      <c r="P1842" s="10">
        <f t="shared" si="2"/>
        <v>0</v>
      </c>
      <c r="Q1842" s="12">
        <f t="shared" si="3"/>
        <v>16577194</v>
      </c>
      <c r="R1842" s="26">
        <v>2001.0</v>
      </c>
      <c r="S1842" s="26">
        <v>4.8</v>
      </c>
    </row>
    <row r="1843" ht="15.75" customHeight="1">
      <c r="A1843" s="25" t="s">
        <v>3389</v>
      </c>
      <c r="B1843" s="8" t="str">
        <f>IFERROR(__xludf.DUMMYFUNCTION("REGEXREPLACE(A1843, ""[^0-9a-zA-Z .'Ã]"","""")"),"Mike Nawrocki")</f>
        <v>Mike Nawrocki</v>
      </c>
      <c r="C1843" s="26">
        <v>37.0</v>
      </c>
      <c r="D1843" s="27">
        <v>1.270188E7</v>
      </c>
      <c r="E1843" s="26" t="s">
        <v>1813</v>
      </c>
      <c r="F1843" s="9">
        <f t="shared" si="1"/>
        <v>4</v>
      </c>
      <c r="G1843" s="26" t="s">
        <v>6250</v>
      </c>
      <c r="H1843" s="11" t="str">
        <f>IFERROR(__xludf.DUMMYFUNCTION("REGEXREPLACE(G1843, ""[^0-9a-zA-Z .'Ã]"","""")"),"Yuri Lowenthal")</f>
        <v>Yuri Lowenthal</v>
      </c>
      <c r="I1843" s="28" t="s">
        <v>6251</v>
      </c>
      <c r="J1843" s="26">
        <v>2037.0</v>
      </c>
      <c r="K1843" s="26" t="s">
        <v>6252</v>
      </c>
      <c r="L1843" s="26">
        <v>22.0</v>
      </c>
      <c r="M1843" s="26" t="s">
        <v>24</v>
      </c>
      <c r="N1843" s="26" t="s">
        <v>25</v>
      </c>
      <c r="O1843" s="27">
        <v>1.5E7</v>
      </c>
      <c r="P1843" s="10">
        <f t="shared" si="2"/>
        <v>0</v>
      </c>
      <c r="Q1843" s="12">
        <f t="shared" si="3"/>
        <v>2298120</v>
      </c>
      <c r="R1843" s="26">
        <v>2008.0</v>
      </c>
      <c r="S1843" s="26">
        <v>5.7</v>
      </c>
    </row>
    <row r="1844" ht="15.75" customHeight="1">
      <c r="A1844" s="21" t="s">
        <v>775</v>
      </c>
      <c r="B1844" s="8" t="str">
        <f>IFERROR(__xludf.DUMMYFUNCTION("REGEXREPLACE(A1844, ""[^0-9a-zA-Z .'Ã]"","""")"),"Neil Burger")</f>
        <v>Neil Burger</v>
      </c>
      <c r="C1844" s="22">
        <v>57.0</v>
      </c>
      <c r="D1844" s="23">
        <v>183088.0</v>
      </c>
      <c r="E1844" s="22" t="s">
        <v>2117</v>
      </c>
      <c r="F1844" s="9">
        <f t="shared" si="1"/>
        <v>3</v>
      </c>
      <c r="G1844" s="22" t="s">
        <v>4913</v>
      </c>
      <c r="H1844" s="11" t="str">
        <f>IFERROR(__xludf.DUMMYFUNCTION("REGEXREPLACE(G1844, ""[^0-9a-zA-Z .'Ã]"","""")"),"John Heard")</f>
        <v>John Heard</v>
      </c>
      <c r="I1844" s="24" t="s">
        <v>6253</v>
      </c>
      <c r="J1844" s="22">
        <v>11704.0</v>
      </c>
      <c r="K1844" s="22" t="s">
        <v>6254</v>
      </c>
      <c r="L1844" s="22">
        <v>36.0</v>
      </c>
      <c r="M1844" s="22" t="s">
        <v>24</v>
      </c>
      <c r="N1844" s="22" t="s">
        <v>25</v>
      </c>
      <c r="O1844" s="23">
        <v>1.5E7</v>
      </c>
      <c r="P1844" s="10">
        <f t="shared" si="2"/>
        <v>0</v>
      </c>
      <c r="Q1844" s="12">
        <f t="shared" si="3"/>
        <v>14816912</v>
      </c>
      <c r="R1844" s="22">
        <v>2008.0</v>
      </c>
      <c r="S1844" s="22">
        <v>7.0</v>
      </c>
    </row>
    <row r="1845" ht="15.75" customHeight="1">
      <c r="A1845" s="13" t="s">
        <v>6255</v>
      </c>
      <c r="B1845" s="8" t="str">
        <f>IFERROR(__xludf.DUMMYFUNCTION("REGEXREPLACE(A1845, ""[^0-9a-zA-Z .'Ã]"","""")"),"Vivek Agnihotri")</f>
        <v>Vivek Agnihotri</v>
      </c>
      <c r="C1845" s="14">
        <v>4.0</v>
      </c>
      <c r="D1845" s="15">
        <v>49000.0</v>
      </c>
      <c r="E1845" s="14" t="s">
        <v>6256</v>
      </c>
      <c r="F1845" s="9">
        <f t="shared" si="1"/>
        <v>1</v>
      </c>
      <c r="G1845" s="14" t="s">
        <v>6257</v>
      </c>
      <c r="H1845" s="11" t="str">
        <f>IFERROR(__xludf.DUMMYFUNCTION("REGEXREPLACE(G1845, ""[^0-9a-zA-Z .'Ã]"","""")"),"Emraan Hashmi")</f>
        <v>Emraan Hashmi</v>
      </c>
      <c r="I1845" s="16" t="s">
        <v>6258</v>
      </c>
      <c r="J1845" s="14">
        <v>1524.0</v>
      </c>
      <c r="K1845" s="14" t="s">
        <v>6259</v>
      </c>
      <c r="L1845" s="14">
        <v>30.0</v>
      </c>
      <c r="M1845" s="14" t="s">
        <v>670</v>
      </c>
      <c r="N1845" s="14" t="s">
        <v>671</v>
      </c>
      <c r="O1845" s="15">
        <v>1500000.0</v>
      </c>
      <c r="P1845" s="10">
        <f t="shared" si="2"/>
        <v>0</v>
      </c>
      <c r="Q1845" s="12">
        <f t="shared" si="3"/>
        <v>1451000</v>
      </c>
      <c r="R1845" s="14">
        <v>2005.0</v>
      </c>
      <c r="S1845" s="14">
        <v>4.8</v>
      </c>
    </row>
    <row r="1846" ht="15.75" customHeight="1">
      <c r="A1846" s="25" t="s">
        <v>6260</v>
      </c>
      <c r="B1846" s="8" t="str">
        <f>IFERROR(__xludf.DUMMYFUNCTION("REGEXREPLACE(A1846, ""[^0-9a-zA-Z .'Ã]"","""")"),"Bruce Dellis")</f>
        <v>Bruce Dellis</v>
      </c>
      <c r="C1846" s="26">
        <v>10.0</v>
      </c>
      <c r="D1846" s="27">
        <v>2468.0</v>
      </c>
      <c r="E1846" s="26" t="s">
        <v>6256</v>
      </c>
      <c r="F1846" s="9">
        <f t="shared" si="1"/>
        <v>1</v>
      </c>
      <c r="G1846" s="26" t="s">
        <v>6261</v>
      </c>
      <c r="H1846" s="11" t="str">
        <f>IFERROR(__xludf.DUMMYFUNCTION("REGEXREPLACE(G1846, ""[^0-9a-zA-Z .'Ã]"","""")"),"Tatyana Ali")</f>
        <v>Tatyana Ali</v>
      </c>
      <c r="I1846" s="28" t="s">
        <v>6262</v>
      </c>
      <c r="J1846" s="26">
        <v>241.0</v>
      </c>
      <c r="K1846" s="26" t="s">
        <v>6263</v>
      </c>
      <c r="L1846" s="26">
        <v>5.0</v>
      </c>
      <c r="M1846" s="26" t="s">
        <v>24</v>
      </c>
      <c r="N1846" s="26" t="s">
        <v>25</v>
      </c>
      <c r="O1846" s="27">
        <v>300000.0</v>
      </c>
      <c r="P1846" s="10">
        <f t="shared" si="2"/>
        <v>0</v>
      </c>
      <c r="Q1846" s="12">
        <f t="shared" si="3"/>
        <v>297532</v>
      </c>
      <c r="R1846" s="26">
        <v>2014.0</v>
      </c>
      <c r="S1846" s="26">
        <v>4.8</v>
      </c>
    </row>
    <row r="1847" ht="15.75" customHeight="1">
      <c r="A1847" s="7" t="s">
        <v>305</v>
      </c>
      <c r="B1847" s="8" t="str">
        <f>IFERROR(__xludf.DUMMYFUNCTION("REGEXREPLACE(A1847, ""[^0-9a-zA-Z .'Ã]"","""")"),"M. Night Shyamalan")</f>
        <v>M. Night Shyamalan</v>
      </c>
      <c r="C1847" s="9">
        <v>323.0</v>
      </c>
      <c r="D1847" s="10">
        <v>6.4505912E7</v>
      </c>
      <c r="E1847" s="9" t="s">
        <v>6264</v>
      </c>
      <c r="F1847" s="9">
        <f t="shared" si="1"/>
        <v>2</v>
      </c>
      <c r="G1847" s="9" t="s">
        <v>3033</v>
      </c>
      <c r="H1847" s="11" t="str">
        <f>IFERROR(__xludf.DUMMYFUNCTION("REGEXREPLACE(G1847, ""[^0-9a-zA-Z .'Ã]"","""")"),"Zooey Deschanel")</f>
        <v>Zooey Deschanel</v>
      </c>
      <c r="I1847" s="11" t="s">
        <v>6265</v>
      </c>
      <c r="J1847" s="9">
        <v>163130.0</v>
      </c>
      <c r="K1847" s="9" t="s">
        <v>6266</v>
      </c>
      <c r="L1847" s="9">
        <v>1264.0</v>
      </c>
      <c r="M1847" s="9" t="s">
        <v>24</v>
      </c>
      <c r="N1847" s="9" t="s">
        <v>25</v>
      </c>
      <c r="O1847" s="10">
        <v>4.8E7</v>
      </c>
      <c r="P1847" s="10">
        <f t="shared" si="2"/>
        <v>16505912</v>
      </c>
      <c r="Q1847" s="12">
        <f t="shared" si="3"/>
        <v>0</v>
      </c>
      <c r="R1847" s="9">
        <v>2008.0</v>
      </c>
      <c r="S1847" s="9">
        <v>5.0</v>
      </c>
    </row>
    <row r="1848" ht="15.75" customHeight="1">
      <c r="A1848" s="17" t="s">
        <v>6267</v>
      </c>
      <c r="B1848" s="8" t="str">
        <f>IFERROR(__xludf.DUMMYFUNCTION("REGEXREPLACE(A1848, ""[^0-9a-zA-Z .'Ã]"","""")"),"Olatunde Osunsanmi")</f>
        <v>Olatunde Osunsanmi</v>
      </c>
      <c r="C1848" s="18">
        <v>183.0</v>
      </c>
      <c r="D1848" s="19">
        <v>2.546448E7</v>
      </c>
      <c r="E1848" s="18" t="s">
        <v>5549</v>
      </c>
      <c r="F1848" s="9">
        <f t="shared" si="1"/>
        <v>3</v>
      </c>
      <c r="G1848" s="18" t="s">
        <v>65</v>
      </c>
      <c r="H1848" s="11" t="str">
        <f>IFERROR(__xludf.DUMMYFUNCTION("REGEXREPLACE(G1848, ""[^0-9a-zA-Z .'Ã]"","""")"),"Milla Jovovich")</f>
        <v>Milla Jovovich</v>
      </c>
      <c r="I1848" s="20" t="s">
        <v>6268</v>
      </c>
      <c r="J1848" s="18">
        <v>63108.0</v>
      </c>
      <c r="K1848" s="18" t="s">
        <v>6269</v>
      </c>
      <c r="L1848" s="18">
        <v>330.0</v>
      </c>
      <c r="M1848" s="18" t="s">
        <v>24</v>
      </c>
      <c r="N1848" s="18" t="s">
        <v>25</v>
      </c>
      <c r="O1848" s="19">
        <v>1.0E7</v>
      </c>
      <c r="P1848" s="10">
        <f t="shared" si="2"/>
        <v>15464480</v>
      </c>
      <c r="Q1848" s="12">
        <f t="shared" si="3"/>
        <v>0</v>
      </c>
      <c r="R1848" s="18">
        <v>2009.0</v>
      </c>
      <c r="S1848" s="18">
        <v>5.9</v>
      </c>
    </row>
    <row r="1849" ht="15.75" customHeight="1">
      <c r="A1849" s="7" t="s">
        <v>6270</v>
      </c>
      <c r="B1849" s="8" t="str">
        <f>IFERROR(__xludf.DUMMYFUNCTION("REGEXREPLACE(A1849, ""[^0-9a-zA-Z .'Ã]"","""")"),"Oliver Hirschbiegel")</f>
        <v>Oliver Hirschbiegel</v>
      </c>
      <c r="C1849" s="9">
        <v>232.0</v>
      </c>
      <c r="D1849" s="10">
        <v>1.5071514E7</v>
      </c>
      <c r="E1849" s="9" t="s">
        <v>6264</v>
      </c>
      <c r="F1849" s="9">
        <f t="shared" si="1"/>
        <v>2</v>
      </c>
      <c r="G1849" s="9" t="s">
        <v>3192</v>
      </c>
      <c r="H1849" s="11" t="str">
        <f>IFERROR(__xludf.DUMMYFUNCTION("REGEXREPLACE(G1849, ""[^0-9a-zA-Z .'Ã]"","""")"),"Roger Rees")</f>
        <v>Roger Rees</v>
      </c>
      <c r="I1849" s="11" t="s">
        <v>6271</v>
      </c>
      <c r="J1849" s="9">
        <v>65037.0</v>
      </c>
      <c r="K1849" s="9" t="s">
        <v>6272</v>
      </c>
      <c r="L1849" s="9">
        <v>273.0</v>
      </c>
      <c r="M1849" s="9" t="s">
        <v>24</v>
      </c>
      <c r="N1849" s="9" t="s">
        <v>25</v>
      </c>
      <c r="O1849" s="10">
        <v>8.0E7</v>
      </c>
      <c r="P1849" s="10">
        <f t="shared" si="2"/>
        <v>0</v>
      </c>
      <c r="Q1849" s="12">
        <f t="shared" si="3"/>
        <v>64928486</v>
      </c>
      <c r="R1849" s="9">
        <v>2007.0</v>
      </c>
      <c r="S1849" s="9">
        <v>5.9</v>
      </c>
    </row>
    <row r="1850" ht="15.75" customHeight="1">
      <c r="A1850" s="7" t="s">
        <v>6273</v>
      </c>
      <c r="B1850" s="8" t="str">
        <f>IFERROR(__xludf.DUMMYFUNCTION("REGEXREPLACE(A1850, ""[^0-9a-zA-Z .'Ã]"","""")"),"Panos Cosmatos")</f>
        <v>Panos Cosmatos</v>
      </c>
      <c r="C1850" s="9">
        <v>97.0</v>
      </c>
      <c r="D1850" s="10">
        <v>56129.0</v>
      </c>
      <c r="E1850" s="9" t="s">
        <v>6264</v>
      </c>
      <c r="F1850" s="9">
        <f t="shared" si="1"/>
        <v>2</v>
      </c>
      <c r="G1850" s="9" t="s">
        <v>6274</v>
      </c>
      <c r="H1850" s="11" t="str">
        <f>IFERROR(__xludf.DUMMYFUNCTION("REGEXREPLACE(G1850, ""[^0-9a-zA-Z .'Ã]"","""")"),"Chris Gauthier")</f>
        <v>Chris Gauthier</v>
      </c>
      <c r="I1850" s="11" t="s">
        <v>6275</v>
      </c>
      <c r="J1850" s="9">
        <v>6555.0</v>
      </c>
      <c r="K1850" s="9" t="s">
        <v>6276</v>
      </c>
      <c r="L1850" s="9">
        <v>82.0</v>
      </c>
      <c r="M1850" s="9" t="s">
        <v>24</v>
      </c>
      <c r="N1850" s="9" t="s">
        <v>624</v>
      </c>
      <c r="O1850" s="10">
        <v>1100000.0</v>
      </c>
      <c r="P1850" s="10">
        <f t="shared" si="2"/>
        <v>0</v>
      </c>
      <c r="Q1850" s="12">
        <f t="shared" si="3"/>
        <v>1043871</v>
      </c>
      <c r="R1850" s="9">
        <v>2010.0</v>
      </c>
      <c r="S1850" s="9">
        <v>6.1</v>
      </c>
    </row>
    <row r="1851" ht="15.75" customHeight="1">
      <c r="A1851" s="29" t="s">
        <v>6277</v>
      </c>
      <c r="B1851" s="8" t="str">
        <f>IFERROR(__xludf.DUMMYFUNCTION("REGEXREPLACE(A1851, ""[^0-9a-zA-Z .'Ã]"","""")"),"Hilary Brougher")</f>
        <v>Hilary Brougher</v>
      </c>
      <c r="C1851" s="30">
        <v>8.0</v>
      </c>
      <c r="D1851" s="31">
        <v>18195.0</v>
      </c>
      <c r="E1851" s="30" t="s">
        <v>6278</v>
      </c>
      <c r="F1851" s="9">
        <f t="shared" si="1"/>
        <v>1</v>
      </c>
      <c r="G1851" s="30" t="s">
        <v>6279</v>
      </c>
      <c r="H1851" s="11" t="str">
        <f>IFERROR(__xludf.DUMMYFUNCTION("REGEXREPLACE(G1851, ""[^0-9a-zA-Z .'Ã]"","""")"),"James Urbaniak")</f>
        <v>James Urbaniak</v>
      </c>
      <c r="I1851" s="32" t="s">
        <v>6280</v>
      </c>
      <c r="J1851" s="30">
        <v>336.0</v>
      </c>
      <c r="K1851" s="30" t="s">
        <v>6281</v>
      </c>
      <c r="L1851" s="30">
        <v>7.0</v>
      </c>
      <c r="M1851" s="30" t="s">
        <v>24</v>
      </c>
      <c r="N1851" s="30" t="s">
        <v>25</v>
      </c>
      <c r="O1851" s="31">
        <v>250000.0</v>
      </c>
      <c r="P1851" s="10">
        <f t="shared" si="2"/>
        <v>0</v>
      </c>
      <c r="Q1851" s="12">
        <f t="shared" si="3"/>
        <v>231805</v>
      </c>
      <c r="R1851" s="30">
        <v>1997.0</v>
      </c>
      <c r="S1851" s="30">
        <v>6.3</v>
      </c>
    </row>
    <row r="1852" ht="15.75" customHeight="1">
      <c r="A1852" s="25" t="s">
        <v>6282</v>
      </c>
      <c r="B1852" s="8" t="str">
        <f>IFERROR(__xludf.DUMMYFUNCTION("REGEXREPLACE(A1852, ""[^0-9a-zA-Z .'Ã]"","""")"),"Neill Dela Llana")</f>
        <v>Neill Dela Llana</v>
      </c>
      <c r="C1852" s="26">
        <v>35.0</v>
      </c>
      <c r="D1852" s="27">
        <v>70071.0</v>
      </c>
      <c r="E1852" s="26" t="s">
        <v>6256</v>
      </c>
      <c r="F1852" s="9">
        <f t="shared" si="1"/>
        <v>1</v>
      </c>
      <c r="G1852" s="26" t="s">
        <v>6283</v>
      </c>
      <c r="H1852" s="11" t="str">
        <f>IFERROR(__xludf.DUMMYFUNCTION("REGEXREPLACE(G1852, ""[^0-9a-zA-Z .'Ã]"","""")"),"Ian Gamazon")</f>
        <v>Ian Gamazon</v>
      </c>
      <c r="I1852" s="28" t="s">
        <v>6284</v>
      </c>
      <c r="J1852" s="26">
        <v>589.0</v>
      </c>
      <c r="K1852" s="26" t="s">
        <v>6285</v>
      </c>
      <c r="L1852" s="26">
        <v>35.0</v>
      </c>
      <c r="M1852" s="26" t="s">
        <v>24</v>
      </c>
      <c r="N1852" s="26" t="s">
        <v>6286</v>
      </c>
      <c r="O1852" s="27">
        <v>7000.0</v>
      </c>
      <c r="P1852" s="10">
        <f t="shared" si="2"/>
        <v>63071</v>
      </c>
      <c r="Q1852" s="12">
        <f t="shared" si="3"/>
        <v>0</v>
      </c>
      <c r="R1852" s="26">
        <v>2005.0</v>
      </c>
      <c r="S1852" s="26">
        <v>6.3</v>
      </c>
    </row>
    <row r="1853" ht="15.75" customHeight="1">
      <c r="A1853" s="17" t="s">
        <v>6287</v>
      </c>
      <c r="B1853" s="8" t="str">
        <f>IFERROR(__xludf.DUMMYFUNCTION("REGEXREPLACE(A1853, ""[^0-9a-zA-Z .'Ã]"","""")"),"Dean Israelite")</f>
        <v>Dean Israelite</v>
      </c>
      <c r="C1853" s="18">
        <v>177.0</v>
      </c>
      <c r="D1853" s="19">
        <v>2.2331028E7</v>
      </c>
      <c r="E1853" s="18" t="s">
        <v>6264</v>
      </c>
      <c r="F1853" s="9">
        <f t="shared" si="1"/>
        <v>2</v>
      </c>
      <c r="G1853" s="18" t="s">
        <v>6288</v>
      </c>
      <c r="H1853" s="11" t="str">
        <f>IFERROR(__xludf.DUMMYFUNCTION("REGEXREPLACE(G1853, ""[^0-9a-zA-Z .'Ã]"","""")"),"Gary Weeks")</f>
        <v>Gary Weeks</v>
      </c>
      <c r="I1853" s="20" t="s">
        <v>6289</v>
      </c>
      <c r="J1853" s="18">
        <v>57349.0</v>
      </c>
      <c r="K1853" s="18" t="s">
        <v>6290</v>
      </c>
      <c r="L1853" s="18">
        <v>177.0</v>
      </c>
      <c r="M1853" s="18" t="s">
        <v>24</v>
      </c>
      <c r="N1853" s="18" t="s">
        <v>25</v>
      </c>
      <c r="O1853" s="19">
        <v>1.2E7</v>
      </c>
      <c r="P1853" s="10">
        <f t="shared" si="2"/>
        <v>10331028</v>
      </c>
      <c r="Q1853" s="12">
        <f t="shared" si="3"/>
        <v>0</v>
      </c>
      <c r="R1853" s="18">
        <v>2015.0</v>
      </c>
      <c r="S1853" s="18">
        <v>6.4</v>
      </c>
    </row>
    <row r="1854" ht="15.75" customHeight="1">
      <c r="A1854" s="17" t="s">
        <v>529</v>
      </c>
      <c r="B1854" s="8" t="str">
        <f>IFERROR(__xludf.DUMMYFUNCTION("REGEXREPLACE(A1854, ""[^0-9a-zA-Z .'Ã]"","""")"),"Joel Schumacher")</f>
        <v>Joel Schumacher</v>
      </c>
      <c r="C1854" s="18">
        <v>138.0</v>
      </c>
      <c r="D1854" s="19">
        <v>3.6283504E7</v>
      </c>
      <c r="E1854" s="18" t="s">
        <v>6291</v>
      </c>
      <c r="F1854" s="9">
        <f t="shared" si="1"/>
        <v>2</v>
      </c>
      <c r="G1854" s="18" t="s">
        <v>458</v>
      </c>
      <c r="H1854" s="11" t="str">
        <f>IFERROR(__xludf.DUMMYFUNCTION("REGEXREPLACE(G1854, ""[^0-9a-zA-Z .'Ã]"","""")"),"Nicolas Cage")</f>
        <v>Nicolas Cage</v>
      </c>
      <c r="I1854" s="20" t="s">
        <v>6292</v>
      </c>
      <c r="J1854" s="18">
        <v>104564.0</v>
      </c>
      <c r="K1854" s="18" t="s">
        <v>6293</v>
      </c>
      <c r="L1854" s="18">
        <v>587.0</v>
      </c>
      <c r="M1854" s="18" t="s">
        <v>24</v>
      </c>
      <c r="N1854" s="18" t="s">
        <v>173</v>
      </c>
      <c r="O1854" s="19">
        <v>4.0E7</v>
      </c>
      <c r="P1854" s="10">
        <f t="shared" si="2"/>
        <v>0</v>
      </c>
      <c r="Q1854" s="12">
        <f t="shared" si="3"/>
        <v>3716496</v>
      </c>
      <c r="R1854" s="18">
        <v>1999.0</v>
      </c>
      <c r="S1854" s="18">
        <v>6.5</v>
      </c>
    </row>
    <row r="1855" ht="15.75" customHeight="1">
      <c r="A1855" s="7" t="s">
        <v>147</v>
      </c>
      <c r="B1855" s="8" t="str">
        <f>IFERROR(__xludf.DUMMYFUNCTION("REGEXREPLACE(A1855, ""[^0-9a-zA-Z .'Ã]"","""")"),"Wes Craven")</f>
        <v>Wes Craven</v>
      </c>
      <c r="C1855" s="9">
        <v>224.0</v>
      </c>
      <c r="D1855" s="10">
        <v>5.7859105E7</v>
      </c>
      <c r="E1855" s="9" t="s">
        <v>6291</v>
      </c>
      <c r="F1855" s="9">
        <f t="shared" si="1"/>
        <v>2</v>
      </c>
      <c r="G1855" s="9" t="s">
        <v>6294</v>
      </c>
      <c r="H1855" s="11" t="str">
        <f>IFERROR(__xludf.DUMMYFUNCTION("REGEXREPLACE(G1855, ""[^0-9a-zA-Z .'Ã]"","""")"),"Robert Pine")</f>
        <v>Robert Pine</v>
      </c>
      <c r="I1855" s="11" t="s">
        <v>6295</v>
      </c>
      <c r="J1855" s="9">
        <v>94108.0</v>
      </c>
      <c r="K1855" s="9" t="s">
        <v>6296</v>
      </c>
      <c r="L1855" s="9">
        <v>673.0</v>
      </c>
      <c r="M1855" s="9" t="s">
        <v>24</v>
      </c>
      <c r="N1855" s="9" t="s">
        <v>25</v>
      </c>
      <c r="O1855" s="10">
        <v>2.6E7</v>
      </c>
      <c r="P1855" s="10">
        <f t="shared" si="2"/>
        <v>31859105</v>
      </c>
      <c r="Q1855" s="12">
        <f t="shared" si="3"/>
        <v>0</v>
      </c>
      <c r="R1855" s="9">
        <v>2005.0</v>
      </c>
      <c r="S1855" s="9">
        <v>6.5</v>
      </c>
    </row>
    <row r="1856" ht="15.75" customHeight="1">
      <c r="A1856" s="17" t="s">
        <v>1946</v>
      </c>
      <c r="B1856" s="8" t="str">
        <f>IFERROR(__xludf.DUMMYFUNCTION("REGEXREPLACE(A1856, ""[^0-9a-zA-Z .'Ã]"","""")"),"David Koepp")</f>
        <v>David Koepp</v>
      </c>
      <c r="C1856" s="18">
        <v>195.0</v>
      </c>
      <c r="D1856" s="19">
        <v>4.7781388E7</v>
      </c>
      <c r="E1856" s="18" t="s">
        <v>6291</v>
      </c>
      <c r="F1856" s="9">
        <f t="shared" si="1"/>
        <v>2</v>
      </c>
      <c r="G1856" s="18" t="s">
        <v>85</v>
      </c>
      <c r="H1856" s="11" t="str">
        <f>IFERROR(__xludf.DUMMYFUNCTION("REGEXREPLACE(G1856, ""[^0-9a-zA-Z .'Ã]"","""")"),"Johnny Depp")</f>
        <v>Johnny Depp</v>
      </c>
      <c r="I1856" s="20" t="s">
        <v>6297</v>
      </c>
      <c r="J1856" s="18">
        <v>147504.0</v>
      </c>
      <c r="K1856" s="18" t="s">
        <v>6298</v>
      </c>
      <c r="L1856" s="18">
        <v>531.0</v>
      </c>
      <c r="M1856" s="18" t="s">
        <v>24</v>
      </c>
      <c r="N1856" s="18" t="s">
        <v>25</v>
      </c>
      <c r="O1856" s="19">
        <v>4.0E7</v>
      </c>
      <c r="P1856" s="10">
        <f t="shared" si="2"/>
        <v>7781388</v>
      </c>
      <c r="Q1856" s="12">
        <f t="shared" si="3"/>
        <v>0</v>
      </c>
      <c r="R1856" s="18">
        <v>2004.0</v>
      </c>
      <c r="S1856" s="18">
        <v>6.6</v>
      </c>
    </row>
    <row r="1857" ht="15.75" customHeight="1">
      <c r="A1857" s="25" t="s">
        <v>1123</v>
      </c>
      <c r="B1857" s="8" t="str">
        <f>IFERROR(__xludf.DUMMYFUNCTION("REGEXREPLACE(A1857, ""[^0-9a-zA-Z .'Ã]"","""")"),"Ron Howard")</f>
        <v>Ron Howard</v>
      </c>
      <c r="C1857" s="26">
        <v>294.0</v>
      </c>
      <c r="D1857" s="27">
        <v>2.17536138E8</v>
      </c>
      <c r="E1857" s="26" t="s">
        <v>6291</v>
      </c>
      <c r="F1857" s="9">
        <f t="shared" si="1"/>
        <v>2</v>
      </c>
      <c r="G1857" s="26" t="s">
        <v>461</v>
      </c>
      <c r="H1857" s="11" t="str">
        <f>IFERROR(__xludf.DUMMYFUNCTION("REGEXREPLACE(G1857, ""[^0-9a-zA-Z .'Ã]"","""")"),"Tom Hanks")</f>
        <v>Tom Hanks</v>
      </c>
      <c r="I1857" s="28" t="s">
        <v>6299</v>
      </c>
      <c r="J1857" s="26">
        <v>314253.0</v>
      </c>
      <c r="K1857" s="26" t="s">
        <v>6300</v>
      </c>
      <c r="L1857" s="26">
        <v>1966.0</v>
      </c>
      <c r="M1857" s="26" t="s">
        <v>24</v>
      </c>
      <c r="N1857" s="26" t="s">
        <v>25</v>
      </c>
      <c r="O1857" s="27">
        <v>1.25E8</v>
      </c>
      <c r="P1857" s="10">
        <f t="shared" si="2"/>
        <v>92536138</v>
      </c>
      <c r="Q1857" s="12">
        <f t="shared" si="3"/>
        <v>0</v>
      </c>
      <c r="R1857" s="26">
        <v>2006.0</v>
      </c>
      <c r="S1857" s="26">
        <v>6.6</v>
      </c>
    </row>
    <row r="1858" ht="15.75" customHeight="1">
      <c r="A1858" s="29" t="s">
        <v>1123</v>
      </c>
      <c r="B1858" s="8" t="str">
        <f>IFERROR(__xludf.DUMMYFUNCTION("REGEXREPLACE(A1858, ""[^0-9a-zA-Z .'Ã]"","""")"),"Ron Howard")</f>
        <v>Ron Howard</v>
      </c>
      <c r="C1858" s="30">
        <v>298.0</v>
      </c>
      <c r="D1858" s="31">
        <v>1.33375846E8</v>
      </c>
      <c r="E1858" s="30" t="s">
        <v>6291</v>
      </c>
      <c r="F1858" s="9">
        <f t="shared" si="1"/>
        <v>2</v>
      </c>
      <c r="G1858" s="30" t="s">
        <v>461</v>
      </c>
      <c r="H1858" s="11" t="str">
        <f>IFERROR(__xludf.DUMMYFUNCTION("REGEXREPLACE(G1858, ""[^0-9a-zA-Z .'Ã]"","""")"),"Tom Hanks")</f>
        <v>Tom Hanks</v>
      </c>
      <c r="I1858" s="32" t="s">
        <v>6301</v>
      </c>
      <c r="J1858" s="30">
        <v>207839.0</v>
      </c>
      <c r="K1858" s="30" t="s">
        <v>6302</v>
      </c>
      <c r="L1858" s="30">
        <v>435.0</v>
      </c>
      <c r="M1858" s="30" t="s">
        <v>24</v>
      </c>
      <c r="N1858" s="30" t="s">
        <v>25</v>
      </c>
      <c r="O1858" s="31">
        <v>1.5E8</v>
      </c>
      <c r="P1858" s="10">
        <f t="shared" si="2"/>
        <v>0</v>
      </c>
      <c r="Q1858" s="12">
        <f t="shared" si="3"/>
        <v>16624154</v>
      </c>
      <c r="R1858" s="30">
        <v>2009.0</v>
      </c>
      <c r="S1858" s="30">
        <v>6.7</v>
      </c>
    </row>
    <row r="1859" ht="15.75" customHeight="1">
      <c r="A1859" s="13" t="s">
        <v>6303</v>
      </c>
      <c r="B1859" s="8" t="str">
        <f>IFERROR(__xludf.DUMMYFUNCTION("REGEXREPLACE(A1859, ""[^0-9a-zA-Z .'Ã]"","""")"),"Josef Rusnak")</f>
        <v>Josef Rusnak</v>
      </c>
      <c r="C1859" s="14">
        <v>111.0</v>
      </c>
      <c r="D1859" s="15">
        <v>1.55E7</v>
      </c>
      <c r="E1859" s="14" t="s">
        <v>5549</v>
      </c>
      <c r="F1859" s="9">
        <f t="shared" si="1"/>
        <v>3</v>
      </c>
      <c r="G1859" s="14" t="s">
        <v>1375</v>
      </c>
      <c r="H1859" s="11" t="str">
        <f>IFERROR(__xludf.DUMMYFUNCTION("REGEXREPLACE(G1859, ""[^0-9a-zA-Z .'Ã]"","""")"),"Gretchen Mol")</f>
        <v>Gretchen Mol</v>
      </c>
      <c r="I1859" s="16" t="s">
        <v>6304</v>
      </c>
      <c r="J1859" s="14">
        <v>51996.0</v>
      </c>
      <c r="K1859" s="14" t="s">
        <v>6305</v>
      </c>
      <c r="L1859" s="14">
        <v>302.0</v>
      </c>
      <c r="M1859" s="14" t="s">
        <v>24</v>
      </c>
      <c r="N1859" s="14" t="s">
        <v>173</v>
      </c>
      <c r="O1859" s="15">
        <v>1.6E7</v>
      </c>
      <c r="P1859" s="10">
        <f t="shared" si="2"/>
        <v>0</v>
      </c>
      <c r="Q1859" s="12">
        <f t="shared" si="3"/>
        <v>500000</v>
      </c>
      <c r="R1859" s="14">
        <v>1999.0</v>
      </c>
      <c r="S1859" s="14">
        <v>7.0</v>
      </c>
    </row>
    <row r="1860" ht="15.75" customHeight="1">
      <c r="A1860" s="7" t="s">
        <v>6306</v>
      </c>
      <c r="B1860" s="8" t="str">
        <f>IFERROR(__xludf.DUMMYFUNCTION("REGEXREPLACE(A1860, ""[^0-9a-zA-Z .'Ã]"","""")"),"Joel Edgerton")</f>
        <v>Joel Edgerton</v>
      </c>
      <c r="C1860" s="9">
        <v>297.0</v>
      </c>
      <c r="D1860" s="10">
        <v>4.3771291E7</v>
      </c>
      <c r="E1860" s="9" t="s">
        <v>6291</v>
      </c>
      <c r="F1860" s="9">
        <f t="shared" si="1"/>
        <v>2</v>
      </c>
      <c r="G1860" s="9" t="s">
        <v>4572</v>
      </c>
      <c r="H1860" s="11" t="str">
        <f>IFERROR(__xludf.DUMMYFUNCTION("REGEXREPLACE(G1860, ""[^0-9a-zA-Z .'Ã]"","""")"),"Busy Philipps")</f>
        <v>Busy Philipps</v>
      </c>
      <c r="I1860" s="11" t="s">
        <v>6307</v>
      </c>
      <c r="J1860" s="9">
        <v>79909.0</v>
      </c>
      <c r="K1860" s="9" t="s">
        <v>6308</v>
      </c>
      <c r="L1860" s="9">
        <v>279.0</v>
      </c>
      <c r="M1860" s="9" t="s">
        <v>24</v>
      </c>
      <c r="N1860" s="9" t="s">
        <v>25</v>
      </c>
      <c r="O1860" s="10">
        <v>5000000.0</v>
      </c>
      <c r="P1860" s="10">
        <f t="shared" si="2"/>
        <v>38771291</v>
      </c>
      <c r="Q1860" s="12">
        <f t="shared" si="3"/>
        <v>0</v>
      </c>
      <c r="R1860" s="9">
        <v>2015.0</v>
      </c>
      <c r="S1860" s="9">
        <v>7.1</v>
      </c>
    </row>
    <row r="1861" ht="15.75" customHeight="1">
      <c r="A1861" s="7" t="s">
        <v>6309</v>
      </c>
      <c r="B1861" s="8" t="str">
        <f>IFERROR(__xludf.DUMMYFUNCTION("REGEXREPLACE(A1861, ""[^0-9a-zA-Z .'Ã]"","""")"),"George Nolfi")</f>
        <v>George Nolfi</v>
      </c>
      <c r="C1861" s="9">
        <v>413.0</v>
      </c>
      <c r="D1861" s="10">
        <v>6.2453315E7</v>
      </c>
      <c r="E1861" s="9" t="s">
        <v>6310</v>
      </c>
      <c r="F1861" s="9">
        <f t="shared" si="1"/>
        <v>3</v>
      </c>
      <c r="G1861" s="9" t="s">
        <v>585</v>
      </c>
      <c r="H1861" s="11" t="str">
        <f>IFERROR(__xludf.DUMMYFUNCTION("REGEXREPLACE(G1861, ""[^0-9a-zA-Z .'Ã]"","""")"),"Matt Damon")</f>
        <v>Matt Damon</v>
      </c>
      <c r="I1861" s="11" t="s">
        <v>6311</v>
      </c>
      <c r="J1861" s="9">
        <v>200035.0</v>
      </c>
      <c r="K1861" s="9" t="s">
        <v>6312</v>
      </c>
      <c r="L1861" s="9">
        <v>407.0</v>
      </c>
      <c r="M1861" s="9" t="s">
        <v>24</v>
      </c>
      <c r="N1861" s="9" t="s">
        <v>25</v>
      </c>
      <c r="O1861" s="10">
        <v>5.02E7</v>
      </c>
      <c r="P1861" s="10">
        <f t="shared" si="2"/>
        <v>12253315</v>
      </c>
      <c r="Q1861" s="12">
        <f t="shared" si="3"/>
        <v>0</v>
      </c>
      <c r="R1861" s="9">
        <v>2011.0</v>
      </c>
      <c r="S1861" s="9">
        <v>7.1</v>
      </c>
    </row>
    <row r="1862" ht="15.75" customHeight="1">
      <c r="A1862" s="13" t="s">
        <v>6313</v>
      </c>
      <c r="B1862" s="8" t="str">
        <f>IFERROR(__xludf.DUMMYFUNCTION("REGEXREPLACE(A1862, ""[^0-9a-zA-Z .'Ã]"","""")"),"John Badham")</f>
        <v>John Badham</v>
      </c>
      <c r="C1862" s="14">
        <v>84.0</v>
      </c>
      <c r="D1862" s="15">
        <v>7.9568E7</v>
      </c>
      <c r="E1862" s="14" t="s">
        <v>6264</v>
      </c>
      <c r="F1862" s="9">
        <f t="shared" si="1"/>
        <v>2</v>
      </c>
      <c r="G1862" s="14" t="s">
        <v>2192</v>
      </c>
      <c r="H1862" s="11" t="str">
        <f>IFERROR(__xludf.DUMMYFUNCTION("REGEXREPLACE(G1862, ""[^0-9a-zA-Z .'Ã]"","""")"),"Matthew Broderick")</f>
        <v>Matthew Broderick</v>
      </c>
      <c r="I1862" s="16" t="s">
        <v>6314</v>
      </c>
      <c r="J1862" s="14">
        <v>71842.0</v>
      </c>
      <c r="K1862" s="14" t="s">
        <v>6315</v>
      </c>
      <c r="L1862" s="14">
        <v>152.0</v>
      </c>
      <c r="M1862" s="14" t="s">
        <v>24</v>
      </c>
      <c r="N1862" s="14" t="s">
        <v>25</v>
      </c>
      <c r="O1862" s="15">
        <v>1.2E7</v>
      </c>
      <c r="P1862" s="10">
        <f t="shared" si="2"/>
        <v>67568000</v>
      </c>
      <c r="Q1862" s="12">
        <f t="shared" si="3"/>
        <v>0</v>
      </c>
      <c r="R1862" s="14">
        <v>1983.0</v>
      </c>
      <c r="S1862" s="14">
        <v>7.1</v>
      </c>
    </row>
    <row r="1863" ht="15.75" customHeight="1">
      <c r="A1863" s="25" t="s">
        <v>6316</v>
      </c>
      <c r="B1863" s="8" t="str">
        <f>IFERROR(__xludf.DUMMYFUNCTION("REGEXREPLACE(A1863, ""[^0-9a-zA-Z .'Ã]"","""")"),"Roman Polanski")</f>
        <v>Roman Polanski</v>
      </c>
      <c r="C1863" s="26">
        <v>343.0</v>
      </c>
      <c r="D1863" s="27">
        <v>1.5523168E7</v>
      </c>
      <c r="E1863" s="26" t="s">
        <v>6291</v>
      </c>
      <c r="F1863" s="9">
        <f t="shared" si="1"/>
        <v>2</v>
      </c>
      <c r="G1863" s="26" t="s">
        <v>6317</v>
      </c>
      <c r="H1863" s="11" t="str">
        <f>IFERROR(__xludf.DUMMYFUNCTION("REGEXREPLACE(G1863, ""[^0-9a-zA-Z .'Ã]"","""")"),"Jim Belushi")</f>
        <v>Jim Belushi</v>
      </c>
      <c r="I1863" s="28" t="s">
        <v>6318</v>
      </c>
      <c r="J1863" s="26">
        <v>132423.0</v>
      </c>
      <c r="K1863" s="26" t="s">
        <v>6319</v>
      </c>
      <c r="L1863" s="26">
        <v>349.0</v>
      </c>
      <c r="M1863" s="26" t="s">
        <v>24</v>
      </c>
      <c r="N1863" s="26" t="s">
        <v>608</v>
      </c>
      <c r="O1863" s="27">
        <v>4.5E7</v>
      </c>
      <c r="P1863" s="10">
        <f t="shared" si="2"/>
        <v>0</v>
      </c>
      <c r="Q1863" s="12">
        <f t="shared" si="3"/>
        <v>29476832</v>
      </c>
      <c r="R1863" s="26">
        <v>2010.0</v>
      </c>
      <c r="S1863" s="26">
        <v>7.2</v>
      </c>
    </row>
    <row r="1864" ht="15.75" customHeight="1">
      <c r="A1864" s="21" t="s">
        <v>218</v>
      </c>
      <c r="B1864" s="8" t="str">
        <f>IFERROR(__xludf.DUMMYFUNCTION("REGEXREPLACE(A1864, ""[^0-9a-zA-Z .'Ã]"","""")"),"James Mangold")</f>
        <v>James Mangold</v>
      </c>
      <c r="C1864" s="22">
        <v>136.0</v>
      </c>
      <c r="D1864" s="23">
        <v>5.1475962E7</v>
      </c>
      <c r="E1864" s="22" t="s">
        <v>6291</v>
      </c>
      <c r="F1864" s="9">
        <f t="shared" si="1"/>
        <v>2</v>
      </c>
      <c r="G1864" s="22" t="s">
        <v>5383</v>
      </c>
      <c r="H1864" s="11" t="str">
        <f>IFERROR(__xludf.DUMMYFUNCTION("REGEXREPLACE(G1864, ""[^0-9a-zA-Z .'Ã]"","""")"),"Clea DuVall")</f>
        <v>Clea DuVall</v>
      </c>
      <c r="I1864" s="24" t="s">
        <v>6320</v>
      </c>
      <c r="J1864" s="22">
        <v>177828.0</v>
      </c>
      <c r="K1864" s="22" t="s">
        <v>6321</v>
      </c>
      <c r="L1864" s="22">
        <v>714.0</v>
      </c>
      <c r="M1864" s="22" t="s">
        <v>24</v>
      </c>
      <c r="N1864" s="22" t="s">
        <v>25</v>
      </c>
      <c r="O1864" s="23">
        <v>3.0E7</v>
      </c>
      <c r="P1864" s="10">
        <f t="shared" si="2"/>
        <v>21475962</v>
      </c>
      <c r="Q1864" s="12">
        <f t="shared" si="3"/>
        <v>0</v>
      </c>
      <c r="R1864" s="22">
        <v>2003.0</v>
      </c>
      <c r="S1864" s="22">
        <v>7.3</v>
      </c>
    </row>
    <row r="1865" ht="15.75" customHeight="1">
      <c r="A1865" s="7" t="s">
        <v>38</v>
      </c>
      <c r="B1865" s="8" t="str">
        <f>IFERROR(__xludf.DUMMYFUNCTION("REGEXREPLACE(A1865, ""[^0-9a-zA-Z .'Ã]"","""")"),"Clint Eastwood")</f>
        <v>Clint Eastwood</v>
      </c>
      <c r="C1865" s="9">
        <v>38.0</v>
      </c>
      <c r="D1865" s="10">
        <v>4.14E7</v>
      </c>
      <c r="E1865" s="9" t="s">
        <v>6322</v>
      </c>
      <c r="F1865" s="9">
        <f t="shared" si="1"/>
        <v>1</v>
      </c>
      <c r="G1865" s="9" t="s">
        <v>38</v>
      </c>
      <c r="H1865" s="11" t="str">
        <f>IFERROR(__xludf.DUMMYFUNCTION("REGEXREPLACE(G1865, ""[^0-9a-zA-Z .'Ã]"","""")"),"Clint Eastwood")</f>
        <v>Clint Eastwood</v>
      </c>
      <c r="I1865" s="11" t="s">
        <v>6323</v>
      </c>
      <c r="J1865" s="9">
        <v>39451.0</v>
      </c>
      <c r="K1865" s="9" t="s">
        <v>6324</v>
      </c>
      <c r="L1865" s="9">
        <v>138.0</v>
      </c>
      <c r="M1865" s="9" t="s">
        <v>24</v>
      </c>
      <c r="N1865" s="9" t="s">
        <v>25</v>
      </c>
      <c r="O1865" s="10">
        <v>6900000.0</v>
      </c>
      <c r="P1865" s="10">
        <f t="shared" si="2"/>
        <v>34500000</v>
      </c>
      <c r="Q1865" s="12">
        <f t="shared" si="3"/>
        <v>0</v>
      </c>
      <c r="R1865" s="9">
        <v>1985.0</v>
      </c>
      <c r="S1865" s="9">
        <v>7.3</v>
      </c>
    </row>
    <row r="1866" ht="15.75" customHeight="1">
      <c r="A1866" s="17" t="s">
        <v>6325</v>
      </c>
      <c r="B1866" s="8" t="str">
        <f>IFERROR(__xludf.DUMMYFUNCTION("REGEXREPLACE(A1866, ""[^0-9a-zA-Z .'Ã]"","""")"),"Eric Bress")</f>
        <v>Eric Bress</v>
      </c>
      <c r="C1866" s="18">
        <v>185.0</v>
      </c>
      <c r="D1866" s="19">
        <v>23947.0</v>
      </c>
      <c r="E1866" s="18" t="s">
        <v>6264</v>
      </c>
      <c r="F1866" s="9">
        <f t="shared" si="1"/>
        <v>2</v>
      </c>
      <c r="G1866" s="18" t="s">
        <v>2013</v>
      </c>
      <c r="H1866" s="11" t="str">
        <f>IFERROR(__xludf.DUMMYFUNCTION("REGEXREPLACE(G1866, ""[^0-9a-zA-Z .'Ã]"","""")"),"Logan Lerman")</f>
        <v>Logan Lerman</v>
      </c>
      <c r="I1866" s="20" t="s">
        <v>6326</v>
      </c>
      <c r="J1866" s="18">
        <v>357579.0</v>
      </c>
      <c r="K1866" s="18" t="s">
        <v>6327</v>
      </c>
      <c r="L1866" s="18">
        <v>1100.0</v>
      </c>
      <c r="M1866" s="18" t="s">
        <v>24</v>
      </c>
      <c r="N1866" s="18" t="s">
        <v>25</v>
      </c>
      <c r="O1866" s="19">
        <v>1.3E7</v>
      </c>
      <c r="P1866" s="10">
        <f t="shared" si="2"/>
        <v>0</v>
      </c>
      <c r="Q1866" s="12">
        <f t="shared" si="3"/>
        <v>12976053</v>
      </c>
      <c r="R1866" s="18">
        <v>2004.0</v>
      </c>
      <c r="S1866" s="18">
        <v>7.7</v>
      </c>
    </row>
    <row r="1867" ht="15.75" customHeight="1">
      <c r="A1867" s="21" t="s">
        <v>36</v>
      </c>
      <c r="B1867" s="8" t="str">
        <f>IFERROR(__xludf.DUMMYFUNCTION("REGEXREPLACE(A1867, ""[^0-9a-zA-Z .'Ã]"","""")"),"Sergio Leone")</f>
        <v>Sergio Leone</v>
      </c>
      <c r="C1867" s="22">
        <v>181.0</v>
      </c>
      <c r="D1867" s="23">
        <v>6100000.0</v>
      </c>
      <c r="E1867" s="22" t="s">
        <v>6322</v>
      </c>
      <c r="F1867" s="9">
        <f t="shared" si="1"/>
        <v>1</v>
      </c>
      <c r="G1867" s="22" t="s">
        <v>38</v>
      </c>
      <c r="H1867" s="11" t="str">
        <f>IFERROR(__xludf.DUMMYFUNCTION("REGEXREPLACE(G1867, ""[^0-9a-zA-Z .'Ã]"","""")"),"Clint Eastwood")</f>
        <v>Clint Eastwood</v>
      </c>
      <c r="I1867" s="24" t="s">
        <v>6328</v>
      </c>
      <c r="J1867" s="22">
        <v>503509.0</v>
      </c>
      <c r="K1867" s="22" t="s">
        <v>6329</v>
      </c>
      <c r="L1867" s="22">
        <v>780.0</v>
      </c>
      <c r="M1867" s="22" t="s">
        <v>41</v>
      </c>
      <c r="N1867" s="22" t="s">
        <v>42</v>
      </c>
      <c r="O1867" s="23">
        <v>1200000.0</v>
      </c>
      <c r="P1867" s="10">
        <f t="shared" si="2"/>
        <v>4900000</v>
      </c>
      <c r="Q1867" s="12">
        <f t="shared" si="3"/>
        <v>0</v>
      </c>
      <c r="R1867" s="22">
        <v>1966.0</v>
      </c>
      <c r="S1867" s="22">
        <v>8.9</v>
      </c>
    </row>
    <row r="1868" ht="15.75" customHeight="1">
      <c r="A1868" s="7" t="s">
        <v>1350</v>
      </c>
      <c r="B1868" s="8" t="str">
        <f>IFERROR(__xludf.DUMMYFUNCTION("REGEXREPLACE(A1868, ""[^0-9a-zA-Z .'Ã]"","""")"),"Christopher Nolan")</f>
        <v>Christopher Nolan</v>
      </c>
      <c r="C1868" s="9">
        <v>274.0</v>
      </c>
      <c r="D1868" s="10">
        <v>2.5530884E7</v>
      </c>
      <c r="E1868" s="9" t="s">
        <v>6291</v>
      </c>
      <c r="F1868" s="9">
        <f t="shared" si="1"/>
        <v>2</v>
      </c>
      <c r="G1868" s="9" t="s">
        <v>6330</v>
      </c>
      <c r="H1868" s="11" t="str">
        <f>IFERROR(__xludf.DUMMYFUNCTION("REGEXREPLACE(G1868, ""[^0-9a-zA-Z .'Ã]"","""")"),"Callum Rennie")</f>
        <v>Callum Rennie</v>
      </c>
      <c r="I1868" s="11" t="s">
        <v>6331</v>
      </c>
      <c r="J1868" s="9">
        <v>845580.0</v>
      </c>
      <c r="K1868" s="9" t="s">
        <v>6332</v>
      </c>
      <c r="L1868" s="9">
        <v>2067.0</v>
      </c>
      <c r="M1868" s="9" t="s">
        <v>24</v>
      </c>
      <c r="N1868" s="9" t="s">
        <v>25</v>
      </c>
      <c r="O1868" s="10">
        <v>9000000.0</v>
      </c>
      <c r="P1868" s="10">
        <f t="shared" si="2"/>
        <v>16530884</v>
      </c>
      <c r="Q1868" s="12">
        <f t="shared" si="3"/>
        <v>0</v>
      </c>
      <c r="R1868" s="9">
        <v>2000.0</v>
      </c>
      <c r="S1868" s="9">
        <v>8.5</v>
      </c>
    </row>
    <row r="1869" ht="15.75" customHeight="1">
      <c r="A1869" s="7" t="s">
        <v>73</v>
      </c>
      <c r="B1869" s="8" t="str">
        <f>IFERROR(__xludf.DUMMYFUNCTION("REGEXREPLACE(A1869, ""[^0-9a-zA-Z .'Ã]"","""")"),"Ridley Scott")</f>
        <v>Ridley Scott</v>
      </c>
      <c r="C1869" s="9">
        <v>302.0</v>
      </c>
      <c r="D1869" s="10">
        <v>2.7E7</v>
      </c>
      <c r="E1869" s="9" t="s">
        <v>6264</v>
      </c>
      <c r="F1869" s="9">
        <f t="shared" si="1"/>
        <v>2</v>
      </c>
      <c r="G1869" s="9" t="s">
        <v>637</v>
      </c>
      <c r="H1869" s="11" t="str">
        <f>IFERROR(__xludf.DUMMYFUNCTION("REGEXREPLACE(G1869, ""[^0-9a-zA-Z .'Ã]"","""")"),"Harrison Ford")</f>
        <v>Harrison Ford</v>
      </c>
      <c r="I1869" s="11" t="s">
        <v>6333</v>
      </c>
      <c r="J1869" s="9">
        <v>461609.0</v>
      </c>
      <c r="K1869" s="9" t="s">
        <v>6334</v>
      </c>
      <c r="L1869" s="9">
        <v>1168.0</v>
      </c>
      <c r="M1869" s="9" t="s">
        <v>24</v>
      </c>
      <c r="N1869" s="9" t="s">
        <v>25</v>
      </c>
      <c r="O1869" s="10">
        <v>2.8E7</v>
      </c>
      <c r="P1869" s="10">
        <f t="shared" si="2"/>
        <v>0</v>
      </c>
      <c r="Q1869" s="12">
        <f t="shared" si="3"/>
        <v>1000000</v>
      </c>
      <c r="R1869" s="9">
        <v>1982.0</v>
      </c>
      <c r="S1869" s="9">
        <v>8.2</v>
      </c>
    </row>
    <row r="1870" ht="15.75" customHeight="1">
      <c r="A1870" s="17" t="s">
        <v>760</v>
      </c>
      <c r="B1870" s="8" t="str">
        <f>IFERROR(__xludf.DUMMYFUNCTION("REGEXREPLACE(A1870, ""[^0-9a-zA-Z .'Ã]"","""")"),"Martin Scorsese")</f>
        <v>Martin Scorsese</v>
      </c>
      <c r="C1870" s="18">
        <v>490.0</v>
      </c>
      <c r="D1870" s="19">
        <v>1.27968405E8</v>
      </c>
      <c r="E1870" s="18" t="s">
        <v>6291</v>
      </c>
      <c r="F1870" s="9">
        <f t="shared" si="1"/>
        <v>2</v>
      </c>
      <c r="G1870" s="18" t="s">
        <v>1351</v>
      </c>
      <c r="H1870" s="11" t="str">
        <f>IFERROR(__xludf.DUMMYFUNCTION("REGEXREPLACE(G1870, ""[^0-9a-zA-Z .'Ã]"","""")"),"Leonardo DiCaprio")</f>
        <v>Leonardo DiCaprio</v>
      </c>
      <c r="I1870" s="20" t="s">
        <v>6335</v>
      </c>
      <c r="J1870" s="18">
        <v>786092.0</v>
      </c>
      <c r="K1870" s="18" t="s">
        <v>6336</v>
      </c>
      <c r="L1870" s="18">
        <v>964.0</v>
      </c>
      <c r="M1870" s="18" t="s">
        <v>24</v>
      </c>
      <c r="N1870" s="18" t="s">
        <v>25</v>
      </c>
      <c r="O1870" s="19">
        <v>8.0E7</v>
      </c>
      <c r="P1870" s="10">
        <f t="shared" si="2"/>
        <v>47968405</v>
      </c>
      <c r="Q1870" s="12">
        <f t="shared" si="3"/>
        <v>0</v>
      </c>
      <c r="R1870" s="18">
        <v>2010.0</v>
      </c>
      <c r="S1870" s="18">
        <v>8.1</v>
      </c>
    </row>
    <row r="1871" ht="15.75" customHeight="1">
      <c r="A1871" s="7" t="s">
        <v>3386</v>
      </c>
      <c r="B1871" s="8" t="str">
        <f>IFERROR(__xludf.DUMMYFUNCTION("REGEXREPLACE(A1871, ""[^0-9a-zA-Z .'Ã]"","""")"),"Andrew Niccol")</f>
        <v>Andrew Niccol</v>
      </c>
      <c r="C1871" s="9">
        <v>360.0</v>
      </c>
      <c r="D1871" s="10">
        <v>3.7553932E7</v>
      </c>
      <c r="E1871" s="9" t="s">
        <v>1734</v>
      </c>
      <c r="F1871" s="9">
        <f t="shared" si="1"/>
        <v>3</v>
      </c>
      <c r="G1871" s="9" t="s">
        <v>1585</v>
      </c>
      <c r="H1871" s="11" t="str">
        <f>IFERROR(__xludf.DUMMYFUNCTION("REGEXREPLACE(G1871, ""[^0-9a-zA-Z .'Ã]"","""")"),"Matt Bomer")</f>
        <v>Matt Bomer</v>
      </c>
      <c r="I1871" s="11" t="s">
        <v>6337</v>
      </c>
      <c r="J1871" s="9">
        <v>304318.0</v>
      </c>
      <c r="K1871" s="9" t="s">
        <v>6338</v>
      </c>
      <c r="L1871" s="9">
        <v>463.0</v>
      </c>
      <c r="M1871" s="9" t="s">
        <v>24</v>
      </c>
      <c r="N1871" s="9" t="s">
        <v>25</v>
      </c>
      <c r="O1871" s="10">
        <v>4.0E7</v>
      </c>
      <c r="P1871" s="10">
        <f t="shared" si="2"/>
        <v>0</v>
      </c>
      <c r="Q1871" s="12">
        <f t="shared" si="3"/>
        <v>2446068</v>
      </c>
      <c r="R1871" s="9">
        <v>2011.0</v>
      </c>
      <c r="S1871" s="9">
        <v>6.7</v>
      </c>
    </row>
    <row r="1872" ht="15.75" customHeight="1">
      <c r="A1872" s="7" t="s">
        <v>1142</v>
      </c>
      <c r="B1872" s="8" t="str">
        <f>IFERROR(__xludf.DUMMYFUNCTION("REGEXREPLACE(A1872, ""[^0-9a-zA-Z .'Ã]"","""")"),"David Twohy")</f>
        <v>David Twohy</v>
      </c>
      <c r="C1872" s="9">
        <v>214.0</v>
      </c>
      <c r="D1872" s="10">
        <v>3.9235088E7</v>
      </c>
      <c r="E1872" s="9" t="s">
        <v>1321</v>
      </c>
      <c r="F1872" s="9">
        <f t="shared" si="1"/>
        <v>2</v>
      </c>
      <c r="G1872" s="9" t="s">
        <v>917</v>
      </c>
      <c r="H1872" s="11" t="str">
        <f>IFERROR(__xludf.DUMMYFUNCTION("REGEXREPLACE(G1872, ""[^0-9a-zA-Z .'Ã]"","""")"),"Vin Diesel")</f>
        <v>Vin Diesel</v>
      </c>
      <c r="I1872" s="11" t="s">
        <v>6339</v>
      </c>
      <c r="J1872" s="9">
        <v>193962.0</v>
      </c>
      <c r="K1872" s="9" t="s">
        <v>6340</v>
      </c>
      <c r="L1872" s="9">
        <v>805.0</v>
      </c>
      <c r="M1872" s="9" t="s">
        <v>24</v>
      </c>
      <c r="N1872" s="9" t="s">
        <v>25</v>
      </c>
      <c r="O1872" s="10">
        <v>2.3E7</v>
      </c>
      <c r="P1872" s="10">
        <f t="shared" si="2"/>
        <v>16235088</v>
      </c>
      <c r="Q1872" s="12">
        <f t="shared" si="3"/>
        <v>0</v>
      </c>
      <c r="R1872" s="9">
        <v>2000.0</v>
      </c>
      <c r="S1872" s="9">
        <v>7.1</v>
      </c>
    </row>
    <row r="1873" ht="15.75" customHeight="1">
      <c r="A1873" s="17" t="s">
        <v>6341</v>
      </c>
      <c r="B1873" s="8" t="str">
        <f>IFERROR(__xludf.DUMMYFUNCTION("REGEXREPLACE(A1873, ""[^0-9a-zA-Z .'Ã]"","""")"),"Gareth Evans")</f>
        <v>Gareth Evans</v>
      </c>
      <c r="C1873" s="18">
        <v>481.0</v>
      </c>
      <c r="D1873" s="19">
        <v>4105123.0</v>
      </c>
      <c r="E1873" s="18" t="s">
        <v>152</v>
      </c>
      <c r="F1873" s="9">
        <f t="shared" si="1"/>
        <v>3</v>
      </c>
      <c r="G1873" s="18" t="s">
        <v>6342</v>
      </c>
      <c r="H1873" s="11" t="str">
        <f>IFERROR(__xludf.DUMMYFUNCTION("REGEXREPLACE(G1873, ""[^0-9a-zA-Z .'Ã]"","""")"),"Iko Uwais")</f>
        <v>Iko Uwais</v>
      </c>
      <c r="I1873" s="20" t="s">
        <v>6343</v>
      </c>
      <c r="J1873" s="18">
        <v>148221.0</v>
      </c>
      <c r="K1873" s="18" t="s">
        <v>6344</v>
      </c>
      <c r="L1873" s="18">
        <v>316.0</v>
      </c>
      <c r="M1873" s="18" t="s">
        <v>6345</v>
      </c>
      <c r="N1873" s="18" t="s">
        <v>6346</v>
      </c>
      <c r="O1873" s="19">
        <v>1100000.0</v>
      </c>
      <c r="P1873" s="10">
        <f t="shared" si="2"/>
        <v>3005123</v>
      </c>
      <c r="Q1873" s="12">
        <f t="shared" si="3"/>
        <v>0</v>
      </c>
      <c r="R1873" s="18">
        <v>2011.0</v>
      </c>
      <c r="S1873" s="18">
        <v>7.6</v>
      </c>
    </row>
    <row r="1874" ht="15.75" customHeight="1">
      <c r="A1874" s="7" t="s">
        <v>6347</v>
      </c>
      <c r="B1874" s="8" t="str">
        <f>IFERROR(__xludf.DUMMYFUNCTION("REGEXREPLACE(A1874, ""[^0-9a-zA-Z .'Ã]"","""")"),"Robert Marcarelli")</f>
        <v>Robert Marcarelli</v>
      </c>
      <c r="C1874" s="9">
        <v>39.0</v>
      </c>
      <c r="D1874" s="10">
        <v>1.2610552E7</v>
      </c>
      <c r="E1874" s="9" t="s">
        <v>449</v>
      </c>
      <c r="F1874" s="9">
        <f t="shared" si="1"/>
        <v>5</v>
      </c>
      <c r="G1874" s="9" t="s">
        <v>6348</v>
      </c>
      <c r="H1874" s="11" t="str">
        <f>IFERROR(__xludf.DUMMYFUNCTION("REGEXREPLACE(G1874, ""[^0-9a-zA-Z .'Ã]"","""")"),"George Coe")</f>
        <v>George Coe</v>
      </c>
      <c r="I1874" s="11" t="s">
        <v>6349</v>
      </c>
      <c r="J1874" s="9">
        <v>4682.0</v>
      </c>
      <c r="K1874" s="9" t="s">
        <v>6350</v>
      </c>
      <c r="L1874" s="9">
        <v>206.0</v>
      </c>
      <c r="M1874" s="9" t="s">
        <v>24</v>
      </c>
      <c r="N1874" s="9" t="s">
        <v>25</v>
      </c>
      <c r="O1874" s="10">
        <v>7500000.0</v>
      </c>
      <c r="P1874" s="10">
        <f t="shared" si="2"/>
        <v>5110552</v>
      </c>
      <c r="Q1874" s="12">
        <f t="shared" si="3"/>
        <v>0</v>
      </c>
      <c r="R1874" s="9">
        <v>1999.0</v>
      </c>
      <c r="S1874" s="9">
        <v>3.5</v>
      </c>
    </row>
    <row r="1875" ht="15.75" customHeight="1">
      <c r="A1875" s="7" t="s">
        <v>6351</v>
      </c>
      <c r="B1875" s="8" t="str">
        <f>IFERROR(__xludf.DUMMYFUNCTION("REGEXREPLACE(A1875, ""[^0-9a-zA-Z .'Ã]"","""")"),"Gregor Jordan")</f>
        <v>Gregor Jordan</v>
      </c>
      <c r="C1875" s="9">
        <v>109.0</v>
      </c>
      <c r="D1875" s="10">
        <v>353743.0</v>
      </c>
      <c r="E1875" s="9" t="s">
        <v>6352</v>
      </c>
      <c r="F1875" s="9">
        <f t="shared" si="1"/>
        <v>5</v>
      </c>
      <c r="G1875" s="9" t="s">
        <v>5894</v>
      </c>
      <c r="H1875" s="11" t="str">
        <f>IFERROR(__xludf.DUMMYFUNCTION("REGEXREPLACE(G1875, ""[^0-9a-zA-Z .'Ã]"","""")"),"Dean Stockwell")</f>
        <v>Dean Stockwell</v>
      </c>
      <c r="I1875" s="11" t="s">
        <v>6353</v>
      </c>
      <c r="J1875" s="9">
        <v>20730.0</v>
      </c>
      <c r="K1875" s="9" t="s">
        <v>6354</v>
      </c>
      <c r="L1875" s="9">
        <v>111.0</v>
      </c>
      <c r="M1875" s="9" t="s">
        <v>24</v>
      </c>
      <c r="N1875" s="9" t="s">
        <v>130</v>
      </c>
      <c r="O1875" s="10">
        <v>1.5E7</v>
      </c>
      <c r="P1875" s="10">
        <f t="shared" si="2"/>
        <v>0</v>
      </c>
      <c r="Q1875" s="12">
        <f t="shared" si="3"/>
        <v>14646257</v>
      </c>
      <c r="R1875" s="9">
        <v>2001.0</v>
      </c>
      <c r="S1875" s="9">
        <v>6.9</v>
      </c>
    </row>
    <row r="1876" ht="15.75" customHeight="1">
      <c r="A1876" s="21" t="s">
        <v>2258</v>
      </c>
      <c r="B1876" s="8" t="str">
        <f>IFERROR(__xludf.DUMMYFUNCTION("REGEXREPLACE(A1876, ""[^0-9a-zA-Z .'Ã]"","""")"),"Thor Freudenthal")</f>
        <v>Thor Freudenthal</v>
      </c>
      <c r="C1876" s="22">
        <v>107.0</v>
      </c>
      <c r="D1876" s="23">
        <v>7.3023275E7</v>
      </c>
      <c r="E1876" s="22" t="s">
        <v>857</v>
      </c>
      <c r="F1876" s="9">
        <f t="shared" si="1"/>
        <v>2</v>
      </c>
      <c r="G1876" s="22" t="s">
        <v>590</v>
      </c>
      <c r="H1876" s="11" t="str">
        <f>IFERROR(__xludf.DUMMYFUNCTION("REGEXREPLACE(G1876, ""[^0-9a-zA-Z .'Ã]"","""")"),"Don Cheadle")</f>
        <v>Don Cheadle</v>
      </c>
      <c r="I1876" s="24" t="s">
        <v>6355</v>
      </c>
      <c r="J1876" s="22">
        <v>16271.0</v>
      </c>
      <c r="K1876" s="22" t="s">
        <v>6356</v>
      </c>
      <c r="L1876" s="22">
        <v>57.0</v>
      </c>
      <c r="M1876" s="22" t="s">
        <v>24</v>
      </c>
      <c r="N1876" s="22" t="s">
        <v>25</v>
      </c>
      <c r="O1876" s="23">
        <v>3.5E7</v>
      </c>
      <c r="P1876" s="10">
        <f t="shared" si="2"/>
        <v>38023275</v>
      </c>
      <c r="Q1876" s="12">
        <f t="shared" si="3"/>
        <v>0</v>
      </c>
      <c r="R1876" s="22">
        <v>2009.0</v>
      </c>
      <c r="S1876" s="22">
        <v>5.4</v>
      </c>
    </row>
    <row r="1877" ht="15.75" customHeight="1">
      <c r="A1877" s="13" t="s">
        <v>3541</v>
      </c>
      <c r="B1877" s="8" t="str">
        <f>IFERROR(__xludf.DUMMYFUNCTION("REGEXREPLACE(A1877, ""[^0-9a-zA-Z .'Ã]"","""")"),"Steve Pink")</f>
        <v>Steve Pink</v>
      </c>
      <c r="C1877" s="14">
        <v>265.0</v>
      </c>
      <c r="D1877" s="15">
        <v>5.0213619E7</v>
      </c>
      <c r="E1877" s="14" t="s">
        <v>3542</v>
      </c>
      <c r="F1877" s="9">
        <f t="shared" si="1"/>
        <v>2</v>
      </c>
      <c r="G1877" s="14" t="s">
        <v>6357</v>
      </c>
      <c r="H1877" s="11" t="str">
        <f>IFERROR(__xludf.DUMMYFUNCTION("REGEXREPLACE(G1877, ""[^0-9a-zA-Z .'Ã]"","""")"),"Charlie McDermott")</f>
        <v>Charlie McDermott</v>
      </c>
      <c r="I1877" s="16" t="s">
        <v>6358</v>
      </c>
      <c r="J1877" s="14">
        <v>139184.0</v>
      </c>
      <c r="K1877" s="14" t="s">
        <v>6359</v>
      </c>
      <c r="L1877" s="14">
        <v>243.0</v>
      </c>
      <c r="M1877" s="14" t="s">
        <v>24</v>
      </c>
      <c r="N1877" s="14" t="s">
        <v>25</v>
      </c>
      <c r="O1877" s="15">
        <v>3.6E7</v>
      </c>
      <c r="P1877" s="10">
        <f t="shared" si="2"/>
        <v>14213619</v>
      </c>
      <c r="Q1877" s="12">
        <f t="shared" si="3"/>
        <v>0</v>
      </c>
      <c r="R1877" s="14">
        <v>2010.0</v>
      </c>
      <c r="S1877" s="14">
        <v>6.4</v>
      </c>
    </row>
    <row r="1878" ht="15.75" customHeight="1">
      <c r="A1878" s="17" t="s">
        <v>6360</v>
      </c>
      <c r="B1878" s="8" t="str">
        <f>IFERROR(__xludf.DUMMYFUNCTION("REGEXREPLACE(A1878, ""[^0-9a-zA-Z .'Ã]"","""")"),"Fred Dekker")</f>
        <v>Fred Dekker</v>
      </c>
      <c r="C1878" s="18">
        <v>75.0</v>
      </c>
      <c r="D1878" s="19">
        <v>1.069621E7</v>
      </c>
      <c r="E1878" s="18" t="s">
        <v>771</v>
      </c>
      <c r="F1878" s="9">
        <f t="shared" si="1"/>
        <v>4</v>
      </c>
      <c r="G1878" s="18" t="s">
        <v>6361</v>
      </c>
      <c r="H1878" s="11" t="str">
        <f>IFERROR(__xludf.DUMMYFUNCTION("REGEXREPLACE(G1878, ""[^0-9a-zA-Z .'Ã]"","""")"),"CCH Pounder")</f>
        <v>CCH Pounder</v>
      </c>
      <c r="I1878" s="20" t="s">
        <v>6362</v>
      </c>
      <c r="J1878" s="18">
        <v>35018.0</v>
      </c>
      <c r="K1878" s="18" t="s">
        <v>6363</v>
      </c>
      <c r="L1878" s="18">
        <v>180.0</v>
      </c>
      <c r="M1878" s="18" t="s">
        <v>24</v>
      </c>
      <c r="N1878" s="18" t="s">
        <v>25</v>
      </c>
      <c r="O1878" s="19">
        <v>2.35E7</v>
      </c>
      <c r="P1878" s="10">
        <f t="shared" si="2"/>
        <v>0</v>
      </c>
      <c r="Q1878" s="12">
        <f t="shared" si="3"/>
        <v>12803790</v>
      </c>
      <c r="R1878" s="18">
        <v>1993.0</v>
      </c>
      <c r="S1878" s="18">
        <v>3.9</v>
      </c>
    </row>
    <row r="1879" ht="15.75" customHeight="1">
      <c r="A1879" s="7" t="s">
        <v>2302</v>
      </c>
      <c r="B1879" s="8" t="str">
        <f>IFERROR(__xludf.DUMMYFUNCTION("REGEXREPLACE(A1879, ""[^0-9a-zA-Z .'Ã]"","""")"),"George Tillman Jr.")</f>
        <v>George Tillman Jr.</v>
      </c>
      <c r="C1879" s="9">
        <v>117.0</v>
      </c>
      <c r="D1879" s="10">
        <v>3.7432299E7</v>
      </c>
      <c r="E1879" s="9" t="s">
        <v>232</v>
      </c>
      <c r="F1879" s="9">
        <f t="shared" si="1"/>
        <v>2</v>
      </c>
      <c r="G1879" s="9" t="s">
        <v>6364</v>
      </c>
      <c r="H1879" s="11" t="str">
        <f>IFERROR(__xludf.DUMMYFUNCTION("REGEXREPLACE(G1879, ""[^0-9a-zA-Z .'Ã]"","""")"),"Tiago Riani")</f>
        <v>Tiago Riani</v>
      </c>
      <c r="I1879" s="11" t="s">
        <v>6365</v>
      </c>
      <c r="J1879" s="9">
        <v>50041.0</v>
      </c>
      <c r="K1879" s="9" t="s">
        <v>6366</v>
      </c>
      <c r="L1879" s="9">
        <v>116.0</v>
      </c>
      <c r="M1879" s="9" t="s">
        <v>24</v>
      </c>
      <c r="N1879" s="9" t="s">
        <v>25</v>
      </c>
      <c r="O1879" s="10">
        <v>3.4E7</v>
      </c>
      <c r="P1879" s="10">
        <f t="shared" si="2"/>
        <v>3432299</v>
      </c>
      <c r="Q1879" s="12">
        <f t="shared" si="3"/>
        <v>0</v>
      </c>
      <c r="R1879" s="9">
        <v>2015.0</v>
      </c>
      <c r="S1879" s="9">
        <v>7.1</v>
      </c>
    </row>
    <row r="1880" ht="15.75" customHeight="1">
      <c r="A1880" s="17" t="s">
        <v>6367</v>
      </c>
      <c r="B1880" s="8" t="str">
        <f>IFERROR(__xludf.DUMMYFUNCTION("REGEXREPLACE(A1880, ""[^0-9a-zA-Z .'Ã]"","""")"),"George Hickenlooper")</f>
        <v>George Hickenlooper</v>
      </c>
      <c r="C1880" s="18">
        <v>117.0</v>
      </c>
      <c r="D1880" s="19">
        <v>1039869.0</v>
      </c>
      <c r="E1880" s="18" t="s">
        <v>6368</v>
      </c>
      <c r="F1880" s="9">
        <f t="shared" si="1"/>
        <v>4</v>
      </c>
      <c r="G1880" s="18" t="s">
        <v>483</v>
      </c>
      <c r="H1880" s="11" t="str">
        <f>IFERROR(__xludf.DUMMYFUNCTION("REGEXREPLACE(G1880, ""[^0-9a-zA-Z .'Ã]"","""")"),"Kevin Spacey")</f>
        <v>Kevin Spacey</v>
      </c>
      <c r="I1880" s="20" t="s">
        <v>6369</v>
      </c>
      <c r="J1880" s="18">
        <v>14757.0</v>
      </c>
      <c r="K1880" s="18" t="s">
        <v>6370</v>
      </c>
      <c r="L1880" s="18">
        <v>51.0</v>
      </c>
      <c r="M1880" s="18" t="s">
        <v>24</v>
      </c>
      <c r="N1880" s="18" t="s">
        <v>624</v>
      </c>
      <c r="O1880" s="19">
        <v>1.5E7</v>
      </c>
      <c r="P1880" s="10">
        <f t="shared" si="2"/>
        <v>0</v>
      </c>
      <c r="Q1880" s="12">
        <f t="shared" si="3"/>
        <v>13960131</v>
      </c>
      <c r="R1880" s="18">
        <v>2010.0</v>
      </c>
      <c r="S1880" s="18">
        <v>6.2</v>
      </c>
    </row>
    <row r="1881" ht="15.75" customHeight="1">
      <c r="A1881" s="25" t="s">
        <v>6371</v>
      </c>
      <c r="B1881" s="8" t="str">
        <f>IFERROR(__xludf.DUMMYFUNCTION("REGEXREPLACE(A1881, ""[^0-9a-zA-Z .'Ã]"","""")"),"Brian Robbins")</f>
        <v>Brian Robbins</v>
      </c>
      <c r="C1881" s="26">
        <v>70.0</v>
      </c>
      <c r="D1881" s="27">
        <v>1.8438149E7</v>
      </c>
      <c r="E1881" s="26" t="s">
        <v>454</v>
      </c>
      <c r="F1881" s="9">
        <f t="shared" si="1"/>
        <v>2</v>
      </c>
      <c r="G1881" s="26" t="s">
        <v>272</v>
      </c>
      <c r="H1881" s="11" t="str">
        <f>IFERROR(__xludf.DUMMYFUNCTION("REGEXREPLACE(G1881, ""[^0-9a-zA-Z .'Ã]"","""")"),"John Gatins")</f>
        <v>John Gatins</v>
      </c>
      <c r="I1881" s="28" t="s">
        <v>6372</v>
      </c>
      <c r="J1881" s="26">
        <v>30842.0</v>
      </c>
      <c r="K1881" s="26" t="s">
        <v>6373</v>
      </c>
      <c r="L1881" s="26">
        <v>93.0</v>
      </c>
      <c r="M1881" s="26" t="s">
        <v>24</v>
      </c>
      <c r="N1881" s="26" t="s">
        <v>25</v>
      </c>
      <c r="O1881" s="27">
        <v>4.0E7</v>
      </c>
      <c r="P1881" s="10">
        <f t="shared" si="2"/>
        <v>0</v>
      </c>
      <c r="Q1881" s="12">
        <f t="shared" si="3"/>
        <v>21561851</v>
      </c>
      <c r="R1881" s="26">
        <v>2012.0</v>
      </c>
      <c r="S1881" s="26">
        <v>5.9</v>
      </c>
    </row>
    <row r="1882" ht="15.75" customHeight="1">
      <c r="A1882" s="7" t="s">
        <v>767</v>
      </c>
      <c r="B1882" s="8" t="str">
        <f>IFERROR(__xludf.DUMMYFUNCTION("REGEXREPLACE(A1882, ""[^0-9a-zA-Z .'Ã]"","""")"),"Mike Binder")</f>
        <v>Mike Binder</v>
      </c>
      <c r="C1882" s="9">
        <v>125.0</v>
      </c>
      <c r="D1882" s="10">
        <v>1.8761993E7</v>
      </c>
      <c r="E1882" s="9" t="s">
        <v>454</v>
      </c>
      <c r="F1882" s="9">
        <f t="shared" si="1"/>
        <v>2</v>
      </c>
      <c r="G1882" s="9" t="s">
        <v>1800</v>
      </c>
      <c r="H1882" s="11" t="str">
        <f>IFERROR(__xludf.DUMMYFUNCTION("REGEXREPLACE(G1882, ""[^0-9a-zA-Z .'Ã]"","""")"),"Alicia Witt")</f>
        <v>Alicia Witt</v>
      </c>
      <c r="I1882" s="11" t="s">
        <v>6374</v>
      </c>
      <c r="J1882" s="9">
        <v>19007.0</v>
      </c>
      <c r="K1882" s="9" t="s">
        <v>6375</v>
      </c>
      <c r="L1882" s="9">
        <v>219.0</v>
      </c>
      <c r="M1882" s="9" t="s">
        <v>24</v>
      </c>
      <c r="N1882" s="9" t="s">
        <v>25</v>
      </c>
      <c r="O1882" s="10">
        <v>9000000.0</v>
      </c>
      <c r="P1882" s="10">
        <f t="shared" si="2"/>
        <v>9761993</v>
      </c>
      <c r="Q1882" s="12">
        <f t="shared" si="3"/>
        <v>0</v>
      </c>
      <c r="R1882" s="9">
        <v>2005.0</v>
      </c>
      <c r="S1882" s="9">
        <v>6.9</v>
      </c>
    </row>
    <row r="1883" ht="15.75" customHeight="1">
      <c r="A1883" s="25" t="s">
        <v>1767</v>
      </c>
      <c r="B1883" s="8" t="str">
        <f>IFERROR(__xludf.DUMMYFUNCTION("REGEXREPLACE(A1883, ""[^0-9a-zA-Z .'Ã]"","""")"),"Barry Levinson")</f>
        <v>Barry Levinson</v>
      </c>
      <c r="C1883" s="26">
        <v>132.0</v>
      </c>
      <c r="D1883" s="27">
        <v>4.1523271E7</v>
      </c>
      <c r="E1883" s="26" t="s">
        <v>1600</v>
      </c>
      <c r="F1883" s="9">
        <f t="shared" si="1"/>
        <v>4</v>
      </c>
      <c r="G1883" s="26" t="s">
        <v>55</v>
      </c>
      <c r="H1883" s="11" t="str">
        <f>IFERROR(__xludf.DUMMYFUNCTION("REGEXREPLACE(G1883, ""[^0-9a-zA-Z .'Ã]"","""")"),"Bruce Willis")</f>
        <v>Bruce Willis</v>
      </c>
      <c r="I1883" s="28" t="s">
        <v>6376</v>
      </c>
      <c r="J1883" s="26">
        <v>57038.0</v>
      </c>
      <c r="K1883" s="26" t="s">
        <v>6377</v>
      </c>
      <c r="L1883" s="26">
        <v>261.0</v>
      </c>
      <c r="M1883" s="26" t="s">
        <v>24</v>
      </c>
      <c r="N1883" s="26" t="s">
        <v>25</v>
      </c>
      <c r="O1883" s="27">
        <v>8.0E7</v>
      </c>
      <c r="P1883" s="10">
        <f t="shared" si="2"/>
        <v>0</v>
      </c>
      <c r="Q1883" s="12">
        <f t="shared" si="3"/>
        <v>38476729</v>
      </c>
      <c r="R1883" s="26">
        <v>2001.0</v>
      </c>
      <c r="S1883" s="26">
        <v>6.6</v>
      </c>
    </row>
    <row r="1884" ht="15.75" customHeight="1">
      <c r="A1884" s="7" t="s">
        <v>70</v>
      </c>
      <c r="B1884" s="8" t="str">
        <f>IFERROR(__xludf.DUMMYFUNCTION("REGEXREPLACE(A1884, ""[^0-9a-zA-Z .'Ã]"","""")"),"Denzel Washington")</f>
        <v>Denzel Washington</v>
      </c>
      <c r="C1884" s="9">
        <v>112.0</v>
      </c>
      <c r="D1884" s="10">
        <v>3.0226144E7</v>
      </c>
      <c r="E1884" s="9" t="s">
        <v>359</v>
      </c>
      <c r="F1884" s="9">
        <f t="shared" si="1"/>
        <v>2</v>
      </c>
      <c r="G1884" s="9" t="s">
        <v>70</v>
      </c>
      <c r="H1884" s="11" t="str">
        <f>IFERROR(__xludf.DUMMYFUNCTION("REGEXREPLACE(G1884, ""[^0-9a-zA-Z .'Ã]"","""")"),"Denzel Washington")</f>
        <v>Denzel Washington</v>
      </c>
      <c r="I1884" s="11" t="s">
        <v>6378</v>
      </c>
      <c r="J1884" s="9">
        <v>47626.0</v>
      </c>
      <c r="K1884" s="9" t="s">
        <v>6379</v>
      </c>
      <c r="L1884" s="9">
        <v>118.0</v>
      </c>
      <c r="M1884" s="9" t="s">
        <v>24</v>
      </c>
      <c r="N1884" s="9" t="s">
        <v>25</v>
      </c>
      <c r="O1884" s="10">
        <v>1.5E7</v>
      </c>
      <c r="P1884" s="10">
        <f t="shared" si="2"/>
        <v>15226144</v>
      </c>
      <c r="Q1884" s="12">
        <f t="shared" si="3"/>
        <v>0</v>
      </c>
      <c r="R1884" s="9">
        <v>2007.0</v>
      </c>
      <c r="S1884" s="9">
        <v>7.6</v>
      </c>
    </row>
    <row r="1885" ht="15.75" customHeight="1">
      <c r="A1885" s="7" t="s">
        <v>2499</v>
      </c>
      <c r="B1885" s="8" t="str">
        <f>IFERROR(__xludf.DUMMYFUNCTION("REGEXREPLACE(A1885, ""[^0-9a-zA-Z .'Ã]"","""")"),"Joe Wright")</f>
        <v>Joe Wright</v>
      </c>
      <c r="C1885" s="9">
        <v>177.0</v>
      </c>
      <c r="D1885" s="10">
        <v>3.8372662E7</v>
      </c>
      <c r="E1885" s="9" t="s">
        <v>232</v>
      </c>
      <c r="F1885" s="9">
        <f t="shared" si="1"/>
        <v>2</v>
      </c>
      <c r="G1885" s="9" t="s">
        <v>6380</v>
      </c>
      <c r="H1885" s="11" t="str">
        <f>IFERROR(__xludf.DUMMYFUNCTION("REGEXREPLACE(G1885, ""[^0-9a-zA-Z .'Ã]"","""")"),"Talulah Riley")</f>
        <v>Talulah Riley</v>
      </c>
      <c r="I1885" s="11" t="s">
        <v>6381</v>
      </c>
      <c r="J1885" s="9">
        <v>193455.0</v>
      </c>
      <c r="K1885" s="9" t="s">
        <v>6382</v>
      </c>
      <c r="L1885" s="9">
        <v>1058.0</v>
      </c>
      <c r="M1885" s="9" t="s">
        <v>24</v>
      </c>
      <c r="N1885" s="9" t="s">
        <v>608</v>
      </c>
      <c r="O1885" s="10">
        <v>2.8E7</v>
      </c>
      <c r="P1885" s="10">
        <f t="shared" si="2"/>
        <v>10372662</v>
      </c>
      <c r="Q1885" s="12">
        <f t="shared" si="3"/>
        <v>0</v>
      </c>
      <c r="R1885" s="9">
        <v>2005.0</v>
      </c>
      <c r="S1885" s="9">
        <v>7.8</v>
      </c>
    </row>
    <row r="1886" ht="15.75" customHeight="1">
      <c r="A1886" s="25" t="s">
        <v>1350</v>
      </c>
      <c r="B1886" s="8" t="str">
        <f>IFERROR(__xludf.DUMMYFUNCTION("REGEXREPLACE(A1886, ""[^0-9a-zA-Z .'Ã]"","""")"),"Christopher Nolan")</f>
        <v>Christopher Nolan</v>
      </c>
      <c r="C1886" s="26">
        <v>645.0</v>
      </c>
      <c r="D1886" s="27">
        <v>5.33316061E8</v>
      </c>
      <c r="E1886" s="26" t="s">
        <v>501</v>
      </c>
      <c r="F1886" s="9">
        <f t="shared" si="1"/>
        <v>4</v>
      </c>
      <c r="G1886" s="26" t="s">
        <v>1579</v>
      </c>
      <c r="H1886" s="11" t="str">
        <f>IFERROR(__xludf.DUMMYFUNCTION("REGEXREPLACE(G1886, ""[^0-9a-zA-Z .'Ã]"","""")"),"Christian Bale")</f>
        <v>Christian Bale</v>
      </c>
      <c r="I1886" s="28" t="s">
        <v>6383</v>
      </c>
      <c r="J1886" s="26">
        <v>1676169.0</v>
      </c>
      <c r="K1886" s="26" t="s">
        <v>6384</v>
      </c>
      <c r="L1886" s="26">
        <v>4667.0</v>
      </c>
      <c r="M1886" s="26" t="s">
        <v>24</v>
      </c>
      <c r="N1886" s="26" t="s">
        <v>25</v>
      </c>
      <c r="O1886" s="27">
        <v>1.85E8</v>
      </c>
      <c r="P1886" s="10">
        <f t="shared" si="2"/>
        <v>348316061</v>
      </c>
      <c r="Q1886" s="12">
        <f t="shared" si="3"/>
        <v>0</v>
      </c>
      <c r="R1886" s="26">
        <v>2008.0</v>
      </c>
      <c r="S1886" s="26">
        <v>9.0</v>
      </c>
    </row>
    <row r="1887" ht="15.75" customHeight="1">
      <c r="A1887" s="21" t="s">
        <v>5963</v>
      </c>
      <c r="B1887" s="8" t="str">
        <f>IFERROR(__xludf.DUMMYFUNCTION("REGEXREPLACE(A1887, ""[^0-9a-zA-Z .'Ã]"","""")"),"Mark Pellington")</f>
        <v>Mark Pellington</v>
      </c>
      <c r="C1887" s="22">
        <v>166.0</v>
      </c>
      <c r="D1887" s="23">
        <v>3.5228696E7</v>
      </c>
      <c r="E1887" s="22" t="s">
        <v>2384</v>
      </c>
      <c r="F1887" s="9">
        <f t="shared" si="1"/>
        <v>4</v>
      </c>
      <c r="G1887" s="22" t="s">
        <v>6385</v>
      </c>
      <c r="H1887" s="11" t="str">
        <f>IFERROR(__xludf.DUMMYFUNCTION("REGEXREPLACE(G1887, ""[^0-9a-zA-Z .'Ã]"","""")"),"Debra Messing")</f>
        <v>Debra Messing</v>
      </c>
      <c r="I1887" s="24" t="s">
        <v>6386</v>
      </c>
      <c r="J1887" s="22">
        <v>63677.0</v>
      </c>
      <c r="K1887" s="22" t="s">
        <v>6387</v>
      </c>
      <c r="L1887" s="22">
        <v>460.0</v>
      </c>
      <c r="M1887" s="22" t="s">
        <v>24</v>
      </c>
      <c r="N1887" s="22" t="s">
        <v>25</v>
      </c>
      <c r="O1887" s="23">
        <v>3.2E7</v>
      </c>
      <c r="P1887" s="10">
        <f t="shared" si="2"/>
        <v>3228696</v>
      </c>
      <c r="Q1887" s="12">
        <f t="shared" si="3"/>
        <v>0</v>
      </c>
      <c r="R1887" s="22">
        <v>2002.0</v>
      </c>
      <c r="S1887" s="22">
        <v>6.5</v>
      </c>
    </row>
    <row r="1888" ht="15.75" customHeight="1">
      <c r="A1888" s="17" t="s">
        <v>6388</v>
      </c>
      <c r="B1888" s="8" t="str">
        <f>IFERROR(__xludf.DUMMYFUNCTION("REGEXREPLACE(A1888, ""[^0-9a-zA-Z .'Ã]"","""")"),"Marc Forby")</f>
        <v>Marc Forby</v>
      </c>
      <c r="C1888" s="18">
        <v>26.0</v>
      </c>
      <c r="D1888" s="19">
        <v>883887.0</v>
      </c>
      <c r="E1888" s="18" t="s">
        <v>103</v>
      </c>
      <c r="F1888" s="9">
        <f t="shared" si="1"/>
        <v>1</v>
      </c>
      <c r="G1888" s="18" t="s">
        <v>6389</v>
      </c>
      <c r="H1888" s="11" t="str">
        <f>IFERROR(__xludf.DUMMYFUNCTION("REGEXREPLACE(G1888, ""[^0-9a-zA-Z .'Ã]"","""")"),"Q'orianka Kilcher")</f>
        <v>Q'orianka Kilcher</v>
      </c>
      <c r="I1888" s="20" t="s">
        <v>6390</v>
      </c>
      <c r="J1888" s="18">
        <v>1201.0</v>
      </c>
      <c r="K1888" s="18" t="s">
        <v>6391</v>
      </c>
      <c r="L1888" s="18">
        <v>14.0</v>
      </c>
      <c r="M1888" s="18" t="s">
        <v>24</v>
      </c>
      <c r="N1888" s="18" t="s">
        <v>25</v>
      </c>
      <c r="O1888" s="19">
        <v>9000000.0</v>
      </c>
      <c r="P1888" s="10">
        <f t="shared" si="2"/>
        <v>0</v>
      </c>
      <c r="Q1888" s="12">
        <f t="shared" si="3"/>
        <v>8116113</v>
      </c>
      <c r="R1888" s="18">
        <v>2009.0</v>
      </c>
      <c r="S1888" s="18">
        <v>6.2</v>
      </c>
    </row>
    <row r="1889" ht="15.75" customHeight="1">
      <c r="A1889" s="21" t="s">
        <v>368</v>
      </c>
      <c r="B1889" s="8" t="str">
        <f>IFERROR(__xludf.DUMMYFUNCTION("REGEXREPLACE(A1889, ""[^0-9a-zA-Z .'Ã]"","""")"),"Jon Turteltaub")</f>
        <v>Jon Turteltaub</v>
      </c>
      <c r="C1889" s="22">
        <v>53.0</v>
      </c>
      <c r="D1889" s="23">
        <v>1.04632573E8</v>
      </c>
      <c r="E1889" s="22" t="s">
        <v>4559</v>
      </c>
      <c r="F1889" s="9">
        <f t="shared" si="1"/>
        <v>4</v>
      </c>
      <c r="G1889" s="22" t="s">
        <v>410</v>
      </c>
      <c r="H1889" s="11" t="str">
        <f>IFERROR(__xludf.DUMMYFUNCTION("REGEXREPLACE(G1889, ""[^0-9a-zA-Z .'Ã]"","""")"),"Robert Duvall")</f>
        <v>Robert Duvall</v>
      </c>
      <c r="I1889" s="24" t="s">
        <v>6392</v>
      </c>
      <c r="J1889" s="22">
        <v>63839.0</v>
      </c>
      <c r="K1889" s="22" t="s">
        <v>6393</v>
      </c>
      <c r="L1889" s="22">
        <v>118.0</v>
      </c>
      <c r="M1889" s="22" t="s">
        <v>24</v>
      </c>
      <c r="N1889" s="22" t="s">
        <v>25</v>
      </c>
      <c r="O1889" s="23">
        <v>3.2E7</v>
      </c>
      <c r="P1889" s="10">
        <f t="shared" si="2"/>
        <v>72632573</v>
      </c>
      <c r="Q1889" s="12">
        <f t="shared" si="3"/>
        <v>0</v>
      </c>
      <c r="R1889" s="22">
        <v>1996.0</v>
      </c>
      <c r="S1889" s="22">
        <v>6.4</v>
      </c>
    </row>
    <row r="1890" ht="15.75" customHeight="1">
      <c r="A1890" s="17" t="s">
        <v>5972</v>
      </c>
      <c r="B1890" s="8" t="str">
        <f>IFERROR(__xludf.DUMMYFUNCTION("REGEXREPLACE(A1890, ""[^0-9a-zA-Z .'Ã]"","""")"),"William Malone")</f>
        <v>William Malone</v>
      </c>
      <c r="C1890" s="18">
        <v>104.0</v>
      </c>
      <c r="D1890" s="19">
        <v>1.3208023E7</v>
      </c>
      <c r="E1890" s="18" t="s">
        <v>3477</v>
      </c>
      <c r="F1890" s="9">
        <f t="shared" si="1"/>
        <v>3</v>
      </c>
      <c r="G1890" s="18" t="s">
        <v>2113</v>
      </c>
      <c r="H1890" s="11" t="str">
        <f>IFERROR(__xludf.DUMMYFUNCTION("REGEXREPLACE(G1890, ""[^0-9a-zA-Z .'Ã]"","""")"),"Natascha McElhone")</f>
        <v>Natascha McElhone</v>
      </c>
      <c r="I1890" s="20" t="s">
        <v>6394</v>
      </c>
      <c r="J1890" s="18">
        <v>17309.0</v>
      </c>
      <c r="K1890" s="18" t="s">
        <v>6395</v>
      </c>
      <c r="L1890" s="18">
        <v>388.0</v>
      </c>
      <c r="M1890" s="18" t="s">
        <v>24</v>
      </c>
      <c r="N1890" s="18" t="s">
        <v>130</v>
      </c>
      <c r="O1890" s="19">
        <v>4.2E7</v>
      </c>
      <c r="P1890" s="10">
        <f t="shared" si="2"/>
        <v>0</v>
      </c>
      <c r="Q1890" s="12">
        <f t="shared" si="3"/>
        <v>28791977</v>
      </c>
      <c r="R1890" s="18">
        <v>2002.0</v>
      </c>
      <c r="S1890" s="18">
        <v>3.3</v>
      </c>
    </row>
    <row r="1891" ht="15.75" customHeight="1">
      <c r="A1891" s="21" t="s">
        <v>1346</v>
      </c>
      <c r="B1891" s="8" t="str">
        <f>IFERROR(__xludf.DUMMYFUNCTION("REGEXREPLACE(A1891, ""[^0-9a-zA-Z .'Ã]"","""")"),"Sam Raimi")</f>
        <v>Sam Raimi</v>
      </c>
      <c r="C1891" s="22">
        <v>113.0</v>
      </c>
      <c r="D1891" s="23">
        <v>3.5168395E7</v>
      </c>
      <c r="E1891" s="22" t="s">
        <v>6081</v>
      </c>
      <c r="F1891" s="9">
        <f t="shared" si="1"/>
        <v>3</v>
      </c>
      <c r="G1891" s="22" t="s">
        <v>878</v>
      </c>
      <c r="H1891" s="11" t="str">
        <f>IFERROR(__xludf.DUMMYFUNCTION("REGEXREPLACE(G1891, ""[^0-9a-zA-Z .'Ã]"","""")"),"J.K. Simmons")</f>
        <v>J.K. Simmons</v>
      </c>
      <c r="I1891" s="24" t="s">
        <v>6396</v>
      </c>
      <c r="J1891" s="22">
        <v>26034.0</v>
      </c>
      <c r="K1891" s="22" t="s">
        <v>6397</v>
      </c>
      <c r="L1891" s="22">
        <v>226.0</v>
      </c>
      <c r="M1891" s="22" t="s">
        <v>24</v>
      </c>
      <c r="N1891" s="22" t="s">
        <v>25</v>
      </c>
      <c r="O1891" s="23">
        <v>5.0E7</v>
      </c>
      <c r="P1891" s="10">
        <f t="shared" si="2"/>
        <v>0</v>
      </c>
      <c r="Q1891" s="12">
        <f t="shared" si="3"/>
        <v>14831605</v>
      </c>
      <c r="R1891" s="22">
        <v>1999.0</v>
      </c>
      <c r="S1891" s="22">
        <v>6.5</v>
      </c>
    </row>
    <row r="1892" ht="15.75" customHeight="1">
      <c r="A1892" s="17" t="s">
        <v>6398</v>
      </c>
      <c r="B1892" s="8" t="str">
        <f>IFERROR(__xludf.DUMMYFUNCTION("REGEXREPLACE(A1892, ""[^0-9a-zA-Z .'Ã]"","""")"),"Charles S. Dutton")</f>
        <v>Charles S. Dutton</v>
      </c>
      <c r="C1892" s="18">
        <v>76.0</v>
      </c>
      <c r="D1892" s="19">
        <v>5881504.0</v>
      </c>
      <c r="E1892" s="18" t="s">
        <v>5359</v>
      </c>
      <c r="F1892" s="9">
        <f t="shared" si="1"/>
        <v>4</v>
      </c>
      <c r="G1892" s="18" t="s">
        <v>3499</v>
      </c>
      <c r="H1892" s="11" t="str">
        <f>IFERROR(__xludf.DUMMYFUNCTION("REGEXREPLACE(G1892, ""[^0-9a-zA-Z .'Ã]"","""")"),"Omar Epps")</f>
        <v>Omar Epps</v>
      </c>
      <c r="I1892" s="20" t="s">
        <v>6399</v>
      </c>
      <c r="J1892" s="18">
        <v>5917.0</v>
      </c>
      <c r="K1892" s="18" t="s">
        <v>6400</v>
      </c>
      <c r="L1892" s="18">
        <v>50.0</v>
      </c>
      <c r="M1892" s="18" t="s">
        <v>24</v>
      </c>
      <c r="N1892" s="18" t="s">
        <v>25</v>
      </c>
      <c r="O1892" s="19">
        <v>3.9E7</v>
      </c>
      <c r="P1892" s="10">
        <f t="shared" si="2"/>
        <v>0</v>
      </c>
      <c r="Q1892" s="12">
        <f t="shared" si="3"/>
        <v>33118496</v>
      </c>
      <c r="R1892" s="18">
        <v>2004.0</v>
      </c>
      <c r="S1892" s="18">
        <v>5.3</v>
      </c>
    </row>
    <row r="1893" ht="15.75" customHeight="1">
      <c r="A1893" s="21" t="s">
        <v>3651</v>
      </c>
      <c r="B1893" s="8" t="str">
        <f>IFERROR(__xludf.DUMMYFUNCTION("REGEXREPLACE(A1893, ""[^0-9a-zA-Z .'Ã]"","""")"),"Uwe Boll")</f>
        <v>Uwe Boll</v>
      </c>
      <c r="C1893" s="22">
        <v>148.0</v>
      </c>
      <c r="D1893" s="23">
        <v>5132655.0</v>
      </c>
      <c r="E1893" s="22" t="s">
        <v>1321</v>
      </c>
      <c r="F1893" s="9">
        <f t="shared" si="1"/>
        <v>2</v>
      </c>
      <c r="G1893" s="22" t="s">
        <v>6401</v>
      </c>
      <c r="H1893" s="11" t="str">
        <f>IFERROR(__xludf.DUMMYFUNCTION("REGEXREPLACE(G1893, ""[^0-9a-zA-Z .'Ã]"","""")"),"Catherine Lough Haggquist")</f>
        <v>Catherine Lough Haggquist</v>
      </c>
      <c r="I1893" s="24" t="s">
        <v>6402</v>
      </c>
      <c r="J1893" s="22">
        <v>37626.0</v>
      </c>
      <c r="K1893" s="22" t="s">
        <v>6403</v>
      </c>
      <c r="L1893" s="22">
        <v>521.0</v>
      </c>
      <c r="M1893" s="22" t="s">
        <v>24</v>
      </c>
      <c r="N1893" s="22" t="s">
        <v>624</v>
      </c>
      <c r="O1893" s="23">
        <v>2.0E7</v>
      </c>
      <c r="P1893" s="10">
        <f t="shared" si="2"/>
        <v>0</v>
      </c>
      <c r="Q1893" s="12">
        <f t="shared" si="3"/>
        <v>14867345</v>
      </c>
      <c r="R1893" s="22">
        <v>2005.0</v>
      </c>
      <c r="S1893" s="22">
        <v>2.3</v>
      </c>
    </row>
    <row r="1894" ht="15.75" customHeight="1">
      <c r="A1894" s="21" t="s">
        <v>478</v>
      </c>
      <c r="B1894" s="8" t="str">
        <f>IFERROR(__xludf.DUMMYFUNCTION("REGEXREPLACE(A1894, ""[^0-9a-zA-Z .'Ã]"","""")"),"Tommy Wirkola")</f>
        <v>Tommy Wirkola</v>
      </c>
      <c r="C1894" s="22">
        <v>224.0</v>
      </c>
      <c r="D1894" s="23">
        <v>41709.0</v>
      </c>
      <c r="E1894" s="22" t="s">
        <v>364</v>
      </c>
      <c r="F1894" s="9">
        <f t="shared" si="1"/>
        <v>2</v>
      </c>
      <c r="G1894" s="22" t="s">
        <v>6404</v>
      </c>
      <c r="H1894" s="11" t="str">
        <f>IFERROR(__xludf.DUMMYFUNCTION("REGEXREPLACE(G1894, ""[^0-9a-zA-Z .'Ã]"","""")"),"BjÃrn Sundquist")</f>
        <v>BjÃrn Sundquist</v>
      </c>
      <c r="I1894" s="24" t="s">
        <v>6405</v>
      </c>
      <c r="J1894" s="22">
        <v>54601.0</v>
      </c>
      <c r="K1894" s="22" t="s">
        <v>6406</v>
      </c>
      <c r="L1894" s="22">
        <v>200.0</v>
      </c>
      <c r="M1894" s="22" t="s">
        <v>5137</v>
      </c>
      <c r="N1894" s="22" t="s">
        <v>5138</v>
      </c>
      <c r="O1894" s="23">
        <v>800000.0</v>
      </c>
      <c r="P1894" s="10">
        <f t="shared" si="2"/>
        <v>0</v>
      </c>
      <c r="Q1894" s="12">
        <f t="shared" si="3"/>
        <v>758291</v>
      </c>
      <c r="R1894" s="22">
        <v>2009.0</v>
      </c>
      <c r="S1894" s="22">
        <v>6.4</v>
      </c>
    </row>
    <row r="1895" ht="15.75" customHeight="1">
      <c r="A1895" s="13" t="s">
        <v>860</v>
      </c>
      <c r="B1895" s="8" t="str">
        <f>IFERROR(__xludf.DUMMYFUNCTION("REGEXREPLACE(A1895, ""[^0-9a-zA-Z .'Ã]"","""")"),"Michael Bay")</f>
        <v>Michael Bay</v>
      </c>
      <c r="C1895" s="14">
        <v>204.0</v>
      </c>
      <c r="D1895" s="15">
        <v>5.2822418E7</v>
      </c>
      <c r="E1895" s="14" t="s">
        <v>688</v>
      </c>
      <c r="F1895" s="9">
        <f t="shared" si="1"/>
        <v>4</v>
      </c>
      <c r="G1895" s="14" t="s">
        <v>6407</v>
      </c>
      <c r="H1895" s="11" t="str">
        <f>IFERROR(__xludf.DUMMYFUNCTION("REGEXREPLACE(G1895, ""[^0-9a-zA-Z .'Ã]"","""")"),"Toby Stephens")</f>
        <v>Toby Stephens</v>
      </c>
      <c r="I1895" s="16" t="s">
        <v>6408</v>
      </c>
      <c r="J1895" s="14">
        <v>47764.0</v>
      </c>
      <c r="K1895" s="14" t="s">
        <v>6409</v>
      </c>
      <c r="L1895" s="14">
        <v>219.0</v>
      </c>
      <c r="M1895" s="14" t="s">
        <v>24</v>
      </c>
      <c r="N1895" s="14" t="s">
        <v>25</v>
      </c>
      <c r="O1895" s="15">
        <v>5.0E7</v>
      </c>
      <c r="P1895" s="10">
        <f t="shared" si="2"/>
        <v>2822418</v>
      </c>
      <c r="Q1895" s="12">
        <f t="shared" si="3"/>
        <v>0</v>
      </c>
      <c r="R1895" s="14">
        <v>2016.0</v>
      </c>
      <c r="S1895" s="14">
        <v>7.4</v>
      </c>
    </row>
    <row r="1896" ht="15.75" customHeight="1">
      <c r="A1896" s="13" t="s">
        <v>6410</v>
      </c>
      <c r="B1896" s="8" t="str">
        <f>IFERROR(__xludf.DUMMYFUNCTION("REGEXREPLACE(A1896, ""[^0-9a-zA-Z .'Ã]"","""")"),"Cathy Malkasian")</f>
        <v>Cathy Malkasian</v>
      </c>
      <c r="C1896" s="14">
        <v>38.0</v>
      </c>
      <c r="D1896" s="15">
        <v>3.9880476E7</v>
      </c>
      <c r="E1896" s="14" t="s">
        <v>301</v>
      </c>
      <c r="F1896" s="9">
        <f t="shared" si="1"/>
        <v>5</v>
      </c>
      <c r="G1896" s="14" t="s">
        <v>3363</v>
      </c>
      <c r="H1896" s="11" t="str">
        <f>IFERROR(__xludf.DUMMYFUNCTION("REGEXREPLACE(G1896, ""[^0-9a-zA-Z .'Ã]"","""")"),"Alfre Woodard")</f>
        <v>Alfre Woodard</v>
      </c>
      <c r="I1896" s="16" t="s">
        <v>6411</v>
      </c>
      <c r="J1896" s="14">
        <v>12218.0</v>
      </c>
      <c r="K1896" s="14" t="s">
        <v>6412</v>
      </c>
      <c r="L1896" s="14">
        <v>33.0</v>
      </c>
      <c r="M1896" s="14" t="s">
        <v>24</v>
      </c>
      <c r="N1896" s="14" t="s">
        <v>25</v>
      </c>
      <c r="O1896" s="15">
        <v>2.5E7</v>
      </c>
      <c r="P1896" s="10">
        <f t="shared" si="2"/>
        <v>14880476</v>
      </c>
      <c r="Q1896" s="12">
        <f t="shared" si="3"/>
        <v>0</v>
      </c>
      <c r="R1896" s="14">
        <v>2002.0</v>
      </c>
      <c r="S1896" s="14">
        <v>5.2</v>
      </c>
    </row>
    <row r="1897" ht="15.75" customHeight="1">
      <c r="A1897" s="17" t="s">
        <v>6413</v>
      </c>
      <c r="B1897" s="8" t="str">
        <f>IFERROR(__xludf.DUMMYFUNCTION("REGEXREPLACE(A1897, ""[^0-9a-zA-Z -.'Ã]"","""")"),"Timothy BjÃrklund")</f>
        <v>Timothy BjÃrklund</v>
      </c>
      <c r="C1897" s="18">
        <v>33.0</v>
      </c>
      <c r="D1897" s="19">
        <v>6491350.0</v>
      </c>
      <c r="E1897" s="18" t="s">
        <v>6414</v>
      </c>
      <c r="F1897" s="9">
        <f t="shared" si="1"/>
        <v>5</v>
      </c>
      <c r="G1897" s="18" t="s">
        <v>6415</v>
      </c>
      <c r="H1897" s="11" t="str">
        <f>IFERROR(__xludf.DUMMYFUNCTION("REGEXREPLACE(G1897, ""[^0-9a-zA-Z .'Ã]"","""")"),"Nathan Lane")</f>
        <v>Nathan Lane</v>
      </c>
      <c r="I1897" s="20" t="s">
        <v>6416</v>
      </c>
      <c r="J1897" s="18">
        <v>1231.0</v>
      </c>
      <c r="K1897" s="18" t="s">
        <v>6417</v>
      </c>
      <c r="L1897" s="18">
        <v>26.0</v>
      </c>
      <c r="M1897" s="18" t="s">
        <v>24</v>
      </c>
      <c r="N1897" s="18" t="s">
        <v>25</v>
      </c>
      <c r="O1897" s="19">
        <v>1.0E7</v>
      </c>
      <c r="P1897" s="10">
        <f t="shared" si="2"/>
        <v>0</v>
      </c>
      <c r="Q1897" s="12">
        <f t="shared" si="3"/>
        <v>3508650</v>
      </c>
      <c r="R1897" s="18">
        <v>2004.0</v>
      </c>
      <c r="S1897" s="18">
        <v>5.8</v>
      </c>
    </row>
    <row r="1898" ht="15.75" customHeight="1">
      <c r="A1898" s="21" t="s">
        <v>986</v>
      </c>
      <c r="B1898" s="8" t="str">
        <f>IFERROR(__xludf.DUMMYFUNCTION("REGEXREPLACE(A1898, ""[^0-9a-zA-Z .'Ã]"","""")"),"Simon West")</f>
        <v>Simon West</v>
      </c>
      <c r="C1898" s="22">
        <v>152.0</v>
      </c>
      <c r="D1898" s="23">
        <v>4.7860214E7</v>
      </c>
      <c r="E1898" s="22" t="s">
        <v>306</v>
      </c>
      <c r="F1898" s="9">
        <f t="shared" si="1"/>
        <v>2</v>
      </c>
      <c r="G1898" s="22" t="s">
        <v>515</v>
      </c>
      <c r="H1898" s="11" t="str">
        <f>IFERROR(__xludf.DUMMYFUNCTION("REGEXREPLACE(G1898, ""[^0-9a-zA-Z .'Ã]"","""")"),"Madeline Carroll")</f>
        <v>Madeline Carroll</v>
      </c>
      <c r="I1898" s="24" t="s">
        <v>6418</v>
      </c>
      <c r="J1898" s="22">
        <v>34711.0</v>
      </c>
      <c r="K1898" s="22" t="s">
        <v>6419</v>
      </c>
      <c r="L1898" s="22">
        <v>468.0</v>
      </c>
      <c r="M1898" s="22" t="s">
        <v>24</v>
      </c>
      <c r="N1898" s="22" t="s">
        <v>25</v>
      </c>
      <c r="O1898" s="23">
        <v>1.5E7</v>
      </c>
      <c r="P1898" s="10">
        <f t="shared" si="2"/>
        <v>32860214</v>
      </c>
      <c r="Q1898" s="12">
        <f t="shared" si="3"/>
        <v>0</v>
      </c>
      <c r="R1898" s="22">
        <v>2006.0</v>
      </c>
      <c r="S1898" s="22">
        <v>5.0</v>
      </c>
    </row>
    <row r="1899" ht="15.75" customHeight="1">
      <c r="A1899" s="21" t="s">
        <v>521</v>
      </c>
      <c r="B1899" s="8" t="str">
        <f>IFERROR(__xludf.DUMMYFUNCTION("REGEXREPLACE(A1899, ""[^0-9a-zA-Z .'Ã]"","""")"),"Phillip Noyce")</f>
        <v>Phillip Noyce</v>
      </c>
      <c r="C1899" s="22">
        <v>74.0</v>
      </c>
      <c r="D1899" s="23">
        <v>6165429.0</v>
      </c>
      <c r="E1899" s="22" t="s">
        <v>6420</v>
      </c>
      <c r="F1899" s="9">
        <f t="shared" si="1"/>
        <v>4</v>
      </c>
      <c r="G1899" s="22" t="s">
        <v>6421</v>
      </c>
      <c r="H1899" s="11" t="str">
        <f>IFERROR(__xludf.DUMMYFUNCTION("REGEXREPLACE(G1899, ""[^0-9a-zA-Z .'Ã]"","""")"),"Roy Billing")</f>
        <v>Roy Billing</v>
      </c>
      <c r="I1899" s="24" t="s">
        <v>6422</v>
      </c>
      <c r="J1899" s="22">
        <v>23486.0</v>
      </c>
      <c r="K1899" s="22" t="s">
        <v>6423</v>
      </c>
      <c r="L1899" s="22">
        <v>249.0</v>
      </c>
      <c r="M1899" s="22" t="s">
        <v>2375</v>
      </c>
      <c r="N1899" s="22" t="s">
        <v>146</v>
      </c>
      <c r="O1899" s="23">
        <v>6000000.0</v>
      </c>
      <c r="P1899" s="10">
        <f t="shared" si="2"/>
        <v>165429</v>
      </c>
      <c r="Q1899" s="12">
        <f t="shared" si="3"/>
        <v>0</v>
      </c>
      <c r="R1899" s="22">
        <v>2002.0</v>
      </c>
      <c r="S1899" s="22">
        <v>7.5</v>
      </c>
    </row>
    <row r="1900" ht="15.75" customHeight="1">
      <c r="A1900" s="7" t="s">
        <v>6424</v>
      </c>
      <c r="B1900" s="8" t="str">
        <f>IFERROR(__xludf.DUMMYFUNCTION("REGEXREPLACE(A1900, ""[^0-9a-zA-Z .'Ã]"","""")"),"Richard Raymond")</f>
        <v>Richard Raymond</v>
      </c>
      <c r="C1900" s="9">
        <v>31.0</v>
      </c>
      <c r="D1900" s="10">
        <v>143653.0</v>
      </c>
      <c r="E1900" s="9" t="s">
        <v>359</v>
      </c>
      <c r="F1900" s="9">
        <f t="shared" si="1"/>
        <v>2</v>
      </c>
      <c r="G1900" s="9" t="s">
        <v>6425</v>
      </c>
      <c r="H1900" s="11" t="str">
        <f>IFERROR(__xludf.DUMMYFUNCTION("REGEXREPLACE(G1900, ""[^0-9a-zA-Z .'Ã]"","""")"),"Tom Cullen")</f>
        <v>Tom Cullen</v>
      </c>
      <c r="I1900" s="11" t="s">
        <v>6426</v>
      </c>
      <c r="J1900" s="9">
        <v>1177.0</v>
      </c>
      <c r="K1900" s="9" t="s">
        <v>6427</v>
      </c>
      <c r="L1900" s="9">
        <v>10.0</v>
      </c>
      <c r="M1900" s="9" t="s">
        <v>24</v>
      </c>
      <c r="N1900" s="9" t="s">
        <v>130</v>
      </c>
      <c r="O1900" s="10">
        <v>4000000.0</v>
      </c>
      <c r="P1900" s="10">
        <f t="shared" si="2"/>
        <v>0</v>
      </c>
      <c r="Q1900" s="12">
        <f t="shared" si="3"/>
        <v>3856347</v>
      </c>
      <c r="R1900" s="9">
        <v>2014.0</v>
      </c>
      <c r="S1900" s="9">
        <v>6.0</v>
      </c>
    </row>
    <row r="1901" ht="15.75" customHeight="1">
      <c r="A1901" s="17" t="s">
        <v>6428</v>
      </c>
      <c r="B1901" s="8" t="str">
        <f>IFERROR(__xludf.DUMMYFUNCTION("REGEXREPLACE(A1901, ""[^0-9a-zA-Z .'Ã]"","""")"),"Gary Trousdale")</f>
        <v>Gary Trousdale</v>
      </c>
      <c r="C1901" s="18">
        <v>146.0</v>
      </c>
      <c r="D1901" s="19">
        <v>8.4037039E7</v>
      </c>
      <c r="E1901" s="18" t="s">
        <v>6429</v>
      </c>
      <c r="F1901" s="9">
        <f t="shared" si="1"/>
        <v>6</v>
      </c>
      <c r="G1901" s="18" t="s">
        <v>6430</v>
      </c>
      <c r="H1901" s="11" t="str">
        <f>IFERROR(__xludf.DUMMYFUNCTION("REGEXREPLACE(G1901, ""[^0-9a-zA-Z .'Ã]"","""")"),"Leonard Nimoy")</f>
        <v>Leonard Nimoy</v>
      </c>
      <c r="I1901" s="20" t="s">
        <v>6431</v>
      </c>
      <c r="J1901" s="18">
        <v>72591.0</v>
      </c>
      <c r="K1901" s="18" t="s">
        <v>6432</v>
      </c>
      <c r="L1901" s="18">
        <v>289.0</v>
      </c>
      <c r="M1901" s="18" t="s">
        <v>24</v>
      </c>
      <c r="N1901" s="18" t="s">
        <v>25</v>
      </c>
      <c r="O1901" s="19">
        <v>1.2E8</v>
      </c>
      <c r="P1901" s="10">
        <f t="shared" si="2"/>
        <v>0</v>
      </c>
      <c r="Q1901" s="12">
        <f t="shared" si="3"/>
        <v>35962961</v>
      </c>
      <c r="R1901" s="18">
        <v>2001.0</v>
      </c>
      <c r="S1901" s="18">
        <v>6.8</v>
      </c>
    </row>
    <row r="1902" ht="15.75" customHeight="1">
      <c r="A1902" s="21" t="s">
        <v>4001</v>
      </c>
      <c r="B1902" s="8" t="str">
        <f>IFERROR(__xludf.DUMMYFUNCTION("REGEXREPLACE(A1902, ""[^0-9a-zA-Z .'Ã]"","""")"),"Garry Marshall")</f>
        <v>Garry Marshall</v>
      </c>
      <c r="C1902" s="22">
        <v>200.0</v>
      </c>
      <c r="D1902" s="23">
        <v>5.4540525E7</v>
      </c>
      <c r="E1902" s="22" t="s">
        <v>89</v>
      </c>
      <c r="F1902" s="9">
        <f t="shared" si="1"/>
        <v>2</v>
      </c>
      <c r="G1902" s="22" t="s">
        <v>883</v>
      </c>
      <c r="H1902" s="11" t="str">
        <f>IFERROR(__xludf.DUMMYFUNCTION("REGEXREPLACE(G1902, ""[^0-9a-zA-Z .'Ã]"","""")"),"Robert De Niro")</f>
        <v>Robert De Niro</v>
      </c>
      <c r="I1902" s="24" t="s">
        <v>6433</v>
      </c>
      <c r="J1902" s="22">
        <v>66579.0</v>
      </c>
      <c r="K1902" s="22" t="s">
        <v>6434</v>
      </c>
      <c r="L1902" s="22">
        <v>134.0</v>
      </c>
      <c r="M1902" s="22" t="s">
        <v>24</v>
      </c>
      <c r="N1902" s="22" t="s">
        <v>25</v>
      </c>
      <c r="O1902" s="23">
        <v>5.6E7</v>
      </c>
      <c r="P1902" s="10">
        <f t="shared" si="2"/>
        <v>0</v>
      </c>
      <c r="Q1902" s="12">
        <f t="shared" si="3"/>
        <v>1459475</v>
      </c>
      <c r="R1902" s="22">
        <v>2011.0</v>
      </c>
      <c r="S1902" s="22">
        <v>5.7</v>
      </c>
    </row>
    <row r="1903" ht="15.75" customHeight="1">
      <c r="A1903" s="17" t="s">
        <v>6435</v>
      </c>
      <c r="B1903" s="8" t="str">
        <f>IFERROR(__xludf.DUMMYFUNCTION("REGEXREPLACE(A1903, ""[^0-9a-zA-Z -.'Ã]"","""")"),"Joon-ho Bong")</f>
        <v>Joon-ho Bong</v>
      </c>
      <c r="C1903" s="18">
        <v>488.0</v>
      </c>
      <c r="D1903" s="19">
        <v>4563029.0</v>
      </c>
      <c r="E1903" s="18" t="s">
        <v>1546</v>
      </c>
      <c r="F1903" s="9">
        <f t="shared" si="1"/>
        <v>4</v>
      </c>
      <c r="G1903" s="18" t="s">
        <v>983</v>
      </c>
      <c r="H1903" s="11" t="str">
        <f>IFERROR(__xludf.DUMMYFUNCTION("REGEXREPLACE(G1903, ""[^0-9a-zA-Z .'Ã]"","""")"),"Chris Evans")</f>
        <v>Chris Evans</v>
      </c>
      <c r="I1903" s="20" t="s">
        <v>6436</v>
      </c>
      <c r="J1903" s="18">
        <v>181472.0</v>
      </c>
      <c r="K1903" s="18" t="s">
        <v>6437</v>
      </c>
      <c r="L1903" s="18">
        <v>514.0</v>
      </c>
      <c r="M1903" s="18" t="s">
        <v>24</v>
      </c>
      <c r="N1903" s="18" t="s">
        <v>1766</v>
      </c>
      <c r="O1903" s="19">
        <v>3.92E7</v>
      </c>
      <c r="P1903" s="10">
        <f t="shared" si="2"/>
        <v>0</v>
      </c>
      <c r="Q1903" s="12">
        <f t="shared" si="3"/>
        <v>34636971</v>
      </c>
      <c r="R1903" s="18">
        <v>2013.0</v>
      </c>
      <c r="S1903" s="18">
        <v>7.0</v>
      </c>
    </row>
    <row r="1904" ht="15.75" customHeight="1">
      <c r="A1904" s="7" t="s">
        <v>6438</v>
      </c>
      <c r="B1904" s="8" t="str">
        <f>IFERROR(__xludf.DUMMYFUNCTION("REGEXREPLACE(A1904, ""[^0-9a-zA-Z .'Ã]"","""")"),"Bob Spiers")</f>
        <v>Bob Spiers</v>
      </c>
      <c r="C1904" s="9">
        <v>33.0</v>
      </c>
      <c r="D1904" s="10">
        <v>2.9247405E7</v>
      </c>
      <c r="E1904" s="9" t="s">
        <v>6439</v>
      </c>
      <c r="F1904" s="9">
        <f t="shared" si="1"/>
        <v>3</v>
      </c>
      <c r="G1904" s="9" t="s">
        <v>6440</v>
      </c>
      <c r="H1904" s="11" t="str">
        <f>IFERROR(__xludf.DUMMYFUNCTION("REGEXREPLACE(G1904, ""[^0-9a-zA-Z .'Ã]"","""")"),"Jason Flemyng")</f>
        <v>Jason Flemyng</v>
      </c>
      <c r="I1904" s="11" t="s">
        <v>6441</v>
      </c>
      <c r="J1904" s="9">
        <v>28377.0</v>
      </c>
      <c r="K1904" s="9" t="s">
        <v>6442</v>
      </c>
      <c r="L1904" s="9">
        <v>261.0</v>
      </c>
      <c r="M1904" s="9" t="s">
        <v>24</v>
      </c>
      <c r="N1904" s="9" t="s">
        <v>130</v>
      </c>
      <c r="O1904" s="10">
        <v>2.5E7</v>
      </c>
      <c r="P1904" s="10">
        <f t="shared" si="2"/>
        <v>4247405</v>
      </c>
      <c r="Q1904" s="12">
        <f t="shared" si="3"/>
        <v>0</v>
      </c>
      <c r="R1904" s="9">
        <v>1997.0</v>
      </c>
      <c r="S1904" s="9">
        <v>3.3</v>
      </c>
    </row>
    <row r="1905" ht="15.75" customHeight="1">
      <c r="A1905" s="7" t="s">
        <v>6443</v>
      </c>
      <c r="B1905" s="8" t="str">
        <f>IFERROR(__xludf.DUMMYFUNCTION("REGEXREPLACE(A1905, ""[^0-9a-zA-Z .'Ã]"","""")"),"Bill Condon")</f>
        <v>Bill Condon</v>
      </c>
      <c r="C1905" s="9">
        <v>224.0</v>
      </c>
      <c r="D1905" s="10">
        <v>3254172.0</v>
      </c>
      <c r="E1905" s="9" t="s">
        <v>431</v>
      </c>
      <c r="F1905" s="9">
        <f t="shared" si="1"/>
        <v>3</v>
      </c>
      <c r="G1905" s="9" t="s">
        <v>558</v>
      </c>
      <c r="H1905" s="11" t="str">
        <f>IFERROR(__xludf.DUMMYFUNCTION("REGEXREPLACE(G1905, ""[^0-9a-zA-Z .'Ã]"","""")"),"Benedict Cumberbatch")</f>
        <v>Benedict Cumberbatch</v>
      </c>
      <c r="I1905" s="11" t="s">
        <v>6444</v>
      </c>
      <c r="J1905" s="9">
        <v>29282.0</v>
      </c>
      <c r="K1905" s="9" t="s">
        <v>6445</v>
      </c>
      <c r="L1905" s="9">
        <v>105.0</v>
      </c>
      <c r="M1905" s="9" t="s">
        <v>24</v>
      </c>
      <c r="N1905" s="9" t="s">
        <v>25</v>
      </c>
      <c r="O1905" s="10">
        <v>2.8E7</v>
      </c>
      <c r="P1905" s="10">
        <f t="shared" si="2"/>
        <v>0</v>
      </c>
      <c r="Q1905" s="12">
        <f t="shared" si="3"/>
        <v>24745828</v>
      </c>
      <c r="R1905" s="9">
        <v>2013.0</v>
      </c>
      <c r="S1905" s="9">
        <v>6.2</v>
      </c>
    </row>
    <row r="1906" ht="15.75" customHeight="1">
      <c r="A1906" s="25" t="s">
        <v>4050</v>
      </c>
      <c r="B1906" s="8" t="str">
        <f>IFERROR(__xludf.DUMMYFUNCTION("REGEXREPLACE(A1906, ""[^0-9a-zA-Z -.'Ã]"","""")"),"Alfonso CuarÃn")</f>
        <v>Alfonso CuarÃn</v>
      </c>
      <c r="C1906" s="26">
        <v>738.0</v>
      </c>
      <c r="D1906" s="27">
        <v>2.74084951E8</v>
      </c>
      <c r="E1906" s="26" t="s">
        <v>628</v>
      </c>
      <c r="F1906" s="9">
        <f t="shared" si="1"/>
        <v>4</v>
      </c>
      <c r="G1906" s="26" t="s">
        <v>6446</v>
      </c>
      <c r="H1906" s="11" t="str">
        <f>IFERROR(__xludf.DUMMYFUNCTION("REGEXREPLACE(G1906, ""[^0-9a-zA-Z .'Ã]"","""")"),"Phaldut Sharma")</f>
        <v>Phaldut Sharma</v>
      </c>
      <c r="I1906" s="28" t="s">
        <v>6447</v>
      </c>
      <c r="J1906" s="26">
        <v>582917.0</v>
      </c>
      <c r="K1906" s="26" t="s">
        <v>6448</v>
      </c>
      <c r="L1906" s="26">
        <v>1885.0</v>
      </c>
      <c r="M1906" s="26" t="s">
        <v>24</v>
      </c>
      <c r="N1906" s="26" t="s">
        <v>130</v>
      </c>
      <c r="O1906" s="27">
        <v>1.0E8</v>
      </c>
      <c r="P1906" s="10">
        <f t="shared" si="2"/>
        <v>174084951</v>
      </c>
      <c r="Q1906" s="12">
        <f t="shared" si="3"/>
        <v>0</v>
      </c>
      <c r="R1906" s="26">
        <v>2013.0</v>
      </c>
      <c r="S1906" s="26">
        <v>7.8</v>
      </c>
    </row>
    <row r="1907" ht="15.75" customHeight="1">
      <c r="A1907" s="7" t="s">
        <v>6449</v>
      </c>
      <c r="B1907" s="8" t="str">
        <f>IFERROR(__xludf.DUMMYFUNCTION("REGEXREPLACE(A1907, ""[^0-9a-zA-Z .'Ã]"","""")"),"William Shatner")</f>
        <v>William Shatner</v>
      </c>
      <c r="C1907" s="9">
        <v>98.0</v>
      </c>
      <c r="D1907" s="10">
        <v>5.5210049E7</v>
      </c>
      <c r="E1907" s="9" t="s">
        <v>794</v>
      </c>
      <c r="F1907" s="9">
        <f t="shared" si="1"/>
        <v>4</v>
      </c>
      <c r="G1907" s="9" t="s">
        <v>6430</v>
      </c>
      <c r="H1907" s="11" t="str">
        <f>IFERROR(__xludf.DUMMYFUNCTION("REGEXREPLACE(G1907, ""[^0-9a-zA-Z .'Ã]"","""")"),"Leonard Nimoy")</f>
        <v>Leonard Nimoy</v>
      </c>
      <c r="I1907" s="11" t="s">
        <v>6450</v>
      </c>
      <c r="J1907" s="9">
        <v>43743.0</v>
      </c>
      <c r="K1907" s="9" t="s">
        <v>6451</v>
      </c>
      <c r="L1907" s="9">
        <v>293.0</v>
      </c>
      <c r="M1907" s="9" t="s">
        <v>24</v>
      </c>
      <c r="N1907" s="9" t="s">
        <v>25</v>
      </c>
      <c r="O1907" s="10">
        <v>2.78E7</v>
      </c>
      <c r="P1907" s="10">
        <f t="shared" si="2"/>
        <v>27410049</v>
      </c>
      <c r="Q1907" s="12">
        <f t="shared" si="3"/>
        <v>0</v>
      </c>
      <c r="R1907" s="9">
        <v>1989.0</v>
      </c>
      <c r="S1907" s="9">
        <v>5.4</v>
      </c>
    </row>
    <row r="1908" ht="15.75" customHeight="1">
      <c r="A1908" s="29" t="s">
        <v>218</v>
      </c>
      <c r="B1908" s="8" t="str">
        <f>IFERROR(__xludf.DUMMYFUNCTION("REGEXREPLACE(A1908, ""[^0-9a-zA-Z .'Ã]"","""")"),"James Mangold")</f>
        <v>James Mangold</v>
      </c>
      <c r="C1908" s="30">
        <v>125.0</v>
      </c>
      <c r="D1908" s="31">
        <v>4.7095453E7</v>
      </c>
      <c r="E1908" s="30" t="s">
        <v>1741</v>
      </c>
      <c r="F1908" s="9">
        <f t="shared" si="1"/>
        <v>3</v>
      </c>
      <c r="G1908" s="30" t="s">
        <v>974</v>
      </c>
      <c r="H1908" s="11" t="str">
        <f>IFERROR(__xludf.DUMMYFUNCTION("REGEXREPLACE(G1908, ""[^0-9a-zA-Z .'Ã]"","""")"),"Hugh Jackman")</f>
        <v>Hugh Jackman</v>
      </c>
      <c r="I1908" s="32" t="s">
        <v>6452</v>
      </c>
      <c r="J1908" s="30">
        <v>64595.0</v>
      </c>
      <c r="K1908" s="30" t="s">
        <v>6453</v>
      </c>
      <c r="L1908" s="30">
        <v>316.0</v>
      </c>
      <c r="M1908" s="30" t="s">
        <v>24</v>
      </c>
      <c r="N1908" s="30" t="s">
        <v>25</v>
      </c>
      <c r="O1908" s="31">
        <v>4.8E7</v>
      </c>
      <c r="P1908" s="10">
        <f t="shared" si="2"/>
        <v>0</v>
      </c>
      <c r="Q1908" s="12">
        <f t="shared" si="3"/>
        <v>904547</v>
      </c>
      <c r="R1908" s="30">
        <v>2001.0</v>
      </c>
      <c r="S1908" s="30">
        <v>6.4</v>
      </c>
    </row>
    <row r="1909" ht="15.75" customHeight="1">
      <c r="A1909" s="21" t="s">
        <v>1740</v>
      </c>
      <c r="B1909" s="8" t="str">
        <f>IFERROR(__xludf.DUMMYFUNCTION("REGEXREPLACE(A1909, ""[^0-9a-zA-Z .'Ã]"","""")"),"Woody Allen")</f>
        <v>Woody Allen</v>
      </c>
      <c r="C1909" s="22">
        <v>42.0</v>
      </c>
      <c r="D1909" s="23">
        <v>1.0763469E7</v>
      </c>
      <c r="E1909" s="22" t="s">
        <v>159</v>
      </c>
      <c r="F1909" s="9">
        <f t="shared" si="1"/>
        <v>3</v>
      </c>
      <c r="G1909" s="22" t="s">
        <v>1740</v>
      </c>
      <c r="H1909" s="11" t="str">
        <f>IFERROR(__xludf.DUMMYFUNCTION("REGEXREPLACE(G1909, ""[^0-9a-zA-Z .'Ã]"","""")"),"Woody Allen")</f>
        <v>Woody Allen</v>
      </c>
      <c r="I1909" s="24" t="s">
        <v>6454</v>
      </c>
      <c r="J1909" s="22">
        <v>13692.0</v>
      </c>
      <c r="K1909" s="22" t="s">
        <v>6455</v>
      </c>
      <c r="L1909" s="22">
        <v>55.0</v>
      </c>
      <c r="M1909" s="22" t="s">
        <v>24</v>
      </c>
      <c r="N1909" s="22" t="s">
        <v>25</v>
      </c>
      <c r="O1909" s="23">
        <v>1.5E7</v>
      </c>
      <c r="P1909" s="10">
        <f t="shared" si="2"/>
        <v>0</v>
      </c>
      <c r="Q1909" s="12">
        <f t="shared" si="3"/>
        <v>4236531</v>
      </c>
      <c r="R1909" s="22">
        <v>1989.0</v>
      </c>
      <c r="S1909" s="22">
        <v>6.4</v>
      </c>
    </row>
    <row r="1910" ht="15.75" customHeight="1">
      <c r="A1910" s="13" t="s">
        <v>2020</v>
      </c>
      <c r="B1910" s="8" t="str">
        <f>IFERROR(__xludf.DUMMYFUNCTION("REGEXREPLACE(A1910, ""[^0-9a-zA-Z .'Ã]"","""")"),"Darren Aronofsky")</f>
        <v>Darren Aronofsky</v>
      </c>
      <c r="C1910" s="14">
        <v>669.0</v>
      </c>
      <c r="D1910" s="15">
        <v>1.06952327E8</v>
      </c>
      <c r="E1910" s="14" t="s">
        <v>369</v>
      </c>
      <c r="F1910" s="9">
        <f t="shared" si="1"/>
        <v>2</v>
      </c>
      <c r="G1910" s="14" t="s">
        <v>1088</v>
      </c>
      <c r="H1910" s="11" t="str">
        <f>IFERROR(__xludf.DUMMYFUNCTION("REGEXREPLACE(G1910, ""[^0-9a-zA-Z .'Ã]"","""")"),"Natalie Portman")</f>
        <v>Natalie Portman</v>
      </c>
      <c r="I1910" s="16" t="s">
        <v>6456</v>
      </c>
      <c r="J1910" s="14">
        <v>551363.0</v>
      </c>
      <c r="K1910" s="14" t="s">
        <v>6457</v>
      </c>
      <c r="L1910" s="14">
        <v>1140.0</v>
      </c>
      <c r="M1910" s="14" t="s">
        <v>24</v>
      </c>
      <c r="N1910" s="14" t="s">
        <v>25</v>
      </c>
      <c r="O1910" s="15">
        <v>1.3E7</v>
      </c>
      <c r="P1910" s="10">
        <f t="shared" si="2"/>
        <v>93952327</v>
      </c>
      <c r="Q1910" s="12">
        <f t="shared" si="3"/>
        <v>0</v>
      </c>
      <c r="R1910" s="14">
        <v>2010.0</v>
      </c>
      <c r="S1910" s="14">
        <v>8.0</v>
      </c>
    </row>
    <row r="1911" ht="15.75" customHeight="1">
      <c r="A1911" s="7" t="s">
        <v>998</v>
      </c>
      <c r="B1911" s="8" t="str">
        <f>IFERROR(__xludf.DUMMYFUNCTION("REGEXREPLACE(A1911, ""[^0-9a-zA-Z .'Ã]"","""")"),"Peter Jackson")</f>
        <v>Peter Jackson</v>
      </c>
      <c r="C1911" s="9">
        <v>645.0</v>
      </c>
      <c r="D1911" s="10">
        <v>3.03001229E8</v>
      </c>
      <c r="E1911" s="9" t="s">
        <v>3101</v>
      </c>
      <c r="F1911" s="9">
        <f t="shared" si="1"/>
        <v>2</v>
      </c>
      <c r="G1911" s="9" t="s">
        <v>6458</v>
      </c>
      <c r="H1911" s="11" t="str">
        <f>IFERROR(__xludf.DUMMYFUNCTION("REGEXREPLACE(G1911, ""[^0-9a-zA-Z .'Ã]"","""")"),"Aidan Turner")</f>
        <v>Aidan Turner</v>
      </c>
      <c r="I1911" s="11" t="s">
        <v>6459</v>
      </c>
      <c r="J1911" s="9">
        <v>637246.0</v>
      </c>
      <c r="K1911" s="9" t="s">
        <v>6460</v>
      </c>
      <c r="L1911" s="9">
        <v>1367.0</v>
      </c>
      <c r="M1911" s="9" t="s">
        <v>24</v>
      </c>
      <c r="N1911" s="9" t="s">
        <v>25</v>
      </c>
      <c r="O1911" s="10">
        <v>1.8E8</v>
      </c>
      <c r="P1911" s="10">
        <f t="shared" si="2"/>
        <v>123001229</v>
      </c>
      <c r="Q1911" s="12">
        <f t="shared" si="3"/>
        <v>0</v>
      </c>
      <c r="R1911" s="9">
        <v>2012.0</v>
      </c>
      <c r="S1911" s="9">
        <v>7.9</v>
      </c>
    </row>
    <row r="1912" ht="15.75" customHeight="1">
      <c r="A1912" s="25" t="s">
        <v>1573</v>
      </c>
      <c r="B1912" s="8" t="str">
        <f>IFERROR(__xludf.DUMMYFUNCTION("REGEXREPLACE(A1912, ""[^0-9a-zA-Z .'Ã]"","""")"),"Ethan Coen")</f>
        <v>Ethan Coen</v>
      </c>
      <c r="C1912" s="26">
        <v>493.0</v>
      </c>
      <c r="D1912" s="27">
        <v>1.71031347E8</v>
      </c>
      <c r="E1912" s="26" t="s">
        <v>2055</v>
      </c>
      <c r="F1912" s="9">
        <f t="shared" si="1"/>
        <v>3</v>
      </c>
      <c r="G1912" s="26" t="s">
        <v>585</v>
      </c>
      <c r="H1912" s="11" t="str">
        <f>IFERROR(__xludf.DUMMYFUNCTION("REGEXREPLACE(G1912, ""[^0-9a-zA-Z .'Ã]"","""")"),"Matt Damon")</f>
        <v>Matt Damon</v>
      </c>
      <c r="I1912" s="28" t="s">
        <v>6461</v>
      </c>
      <c r="J1912" s="26">
        <v>240962.0</v>
      </c>
      <c r="K1912" s="26" t="s">
        <v>6462</v>
      </c>
      <c r="L1912" s="26">
        <v>724.0</v>
      </c>
      <c r="M1912" s="26" t="s">
        <v>24</v>
      </c>
      <c r="N1912" s="26" t="s">
        <v>25</v>
      </c>
      <c r="O1912" s="27">
        <v>3.8E7</v>
      </c>
      <c r="P1912" s="10">
        <f t="shared" si="2"/>
        <v>133031347</v>
      </c>
      <c r="Q1912" s="12">
        <f t="shared" si="3"/>
        <v>0</v>
      </c>
      <c r="R1912" s="26">
        <v>2010.0</v>
      </c>
      <c r="S1912" s="26">
        <v>7.7</v>
      </c>
    </row>
    <row r="1913" ht="15.75" customHeight="1">
      <c r="A1913" s="13" t="s">
        <v>509</v>
      </c>
      <c r="B1913" s="8" t="str">
        <f>IFERROR(__xludf.DUMMYFUNCTION("REGEXREPLACE(A1913, ""[^0-9a-zA-Z .'Ã]"","""")"),"Todd Graff")</f>
        <v>Todd Graff</v>
      </c>
      <c r="C1913" s="14">
        <v>79.0</v>
      </c>
      <c r="D1913" s="15">
        <v>5205343.0</v>
      </c>
      <c r="E1913" s="14" t="s">
        <v>343</v>
      </c>
      <c r="F1913" s="9">
        <f t="shared" si="1"/>
        <v>5</v>
      </c>
      <c r="G1913" s="14" t="s">
        <v>5194</v>
      </c>
      <c r="H1913" s="11" t="str">
        <f>IFERROR(__xludf.DUMMYFUNCTION("REGEXREPLACE(G1913, ""[^0-9a-zA-Z .'Ã]"","""")"),"Scott Porter")</f>
        <v>Scott Porter</v>
      </c>
      <c r="I1913" s="16" t="s">
        <v>6463</v>
      </c>
      <c r="J1913" s="14">
        <v>11958.0</v>
      </c>
      <c r="K1913" s="14" t="s">
        <v>6464</v>
      </c>
      <c r="L1913" s="14">
        <v>39.0</v>
      </c>
      <c r="M1913" s="14" t="s">
        <v>24</v>
      </c>
      <c r="N1913" s="14" t="s">
        <v>25</v>
      </c>
      <c r="O1913" s="15">
        <v>2.0E7</v>
      </c>
      <c r="P1913" s="10">
        <f t="shared" si="2"/>
        <v>0</v>
      </c>
      <c r="Q1913" s="12">
        <f t="shared" si="3"/>
        <v>14794657</v>
      </c>
      <c r="R1913" s="14">
        <v>2009.0</v>
      </c>
      <c r="S1913" s="14">
        <v>6.4</v>
      </c>
    </row>
    <row r="1914" ht="15.75" customHeight="1">
      <c r="A1914" s="13" t="s">
        <v>6465</v>
      </c>
      <c r="B1914" s="8" t="str">
        <f>IFERROR(__xludf.DUMMYFUNCTION("REGEXREPLACE(A1914, ""[^0-9a-zA-Z .'Ã]"","""")"),"Tom Putnam")</f>
        <v>Tom Putnam</v>
      </c>
      <c r="C1914" s="14">
        <v>22.0</v>
      </c>
      <c r="D1914" s="15">
        <v>111300.0</v>
      </c>
      <c r="E1914" s="14" t="s">
        <v>251</v>
      </c>
      <c r="F1914" s="9">
        <f t="shared" si="1"/>
        <v>1</v>
      </c>
      <c r="G1914" s="14" t="s">
        <v>6466</v>
      </c>
      <c r="H1914" s="11" t="str">
        <f>IFERROR(__xludf.DUMMYFUNCTION("REGEXREPLACE(G1914, ""[^0-9a-zA-Z .'Ã]"","""")"),"Brendan Doogie Milewski")</f>
        <v>Brendan Doogie Milewski</v>
      </c>
      <c r="I1914" s="16" t="s">
        <v>6467</v>
      </c>
      <c r="J1914" s="14">
        <v>575.0</v>
      </c>
      <c r="K1914" s="14" t="s">
        <v>6468</v>
      </c>
      <c r="L1914" s="14">
        <v>6.0</v>
      </c>
      <c r="M1914" s="14" t="s">
        <v>24</v>
      </c>
      <c r="N1914" s="14" t="s">
        <v>25</v>
      </c>
      <c r="O1914" s="15">
        <v>225000.0</v>
      </c>
      <c r="P1914" s="10">
        <f t="shared" si="2"/>
        <v>0</v>
      </c>
      <c r="Q1914" s="12">
        <f t="shared" si="3"/>
        <v>113700</v>
      </c>
      <c r="R1914" s="14">
        <v>2012.0</v>
      </c>
      <c r="S1914" s="14">
        <v>7.5</v>
      </c>
    </row>
    <row r="1915" ht="15.75" customHeight="1">
      <c r="A1915" s="25" t="s">
        <v>1501</v>
      </c>
      <c r="B1915" s="8" t="str">
        <f>IFERROR(__xludf.DUMMYFUNCTION("REGEXREPLACE(A1915, ""[^0-9a-zA-Z .'Ã]"","""")"),"Rob Bowman")</f>
        <v>Rob Bowman</v>
      </c>
      <c r="C1915" s="26">
        <v>138.0</v>
      </c>
      <c r="D1915" s="27">
        <v>4.3060566E7</v>
      </c>
      <c r="E1915" s="26" t="s">
        <v>449</v>
      </c>
      <c r="F1915" s="9">
        <f t="shared" si="1"/>
        <v>5</v>
      </c>
      <c r="G1915" s="26" t="s">
        <v>1579</v>
      </c>
      <c r="H1915" s="11" t="str">
        <f>IFERROR(__xludf.DUMMYFUNCTION("REGEXREPLACE(G1915, ""[^0-9a-zA-Z .'Ã]"","""")"),"Christian Bale")</f>
        <v>Christian Bale</v>
      </c>
      <c r="I1915" s="28" t="s">
        <v>6469</v>
      </c>
      <c r="J1915" s="26">
        <v>107859.0</v>
      </c>
      <c r="K1915" s="26" t="s">
        <v>6470</v>
      </c>
      <c r="L1915" s="26">
        <v>569.0</v>
      </c>
      <c r="M1915" s="26" t="s">
        <v>24</v>
      </c>
      <c r="N1915" s="26" t="s">
        <v>25</v>
      </c>
      <c r="O1915" s="27">
        <v>6.0E7</v>
      </c>
      <c r="P1915" s="10">
        <f t="shared" si="2"/>
        <v>0</v>
      </c>
      <c r="Q1915" s="12">
        <f t="shared" si="3"/>
        <v>16939434</v>
      </c>
      <c r="R1915" s="26">
        <v>2002.0</v>
      </c>
      <c r="S1915" s="26">
        <v>6.2</v>
      </c>
    </row>
    <row r="1916" ht="15.75" customHeight="1">
      <c r="A1916" s="17" t="s">
        <v>6471</v>
      </c>
      <c r="B1916" s="8" t="str">
        <f>IFERROR(__xludf.DUMMYFUNCTION("REGEXREPLACE(A1916, ""[^0-9a-zA-Z .'Ã]"","""")"),"Jon Kasdan")</f>
        <v>Jon Kasdan</v>
      </c>
      <c r="C1916" s="18">
        <v>81.0</v>
      </c>
      <c r="D1916" s="19">
        <v>1.1043445E7</v>
      </c>
      <c r="E1916" s="18" t="s">
        <v>159</v>
      </c>
      <c r="F1916" s="9">
        <f t="shared" si="1"/>
        <v>3</v>
      </c>
      <c r="G1916" s="18" t="s">
        <v>1969</v>
      </c>
      <c r="H1916" s="11" t="str">
        <f>IFERROR(__xludf.DUMMYFUNCTION("REGEXREPLACE(G1916, ""[^0-9a-zA-Z .'Ã]"","""")"),"Kristen Stewart")</f>
        <v>Kristen Stewart</v>
      </c>
      <c r="I1916" s="20" t="s">
        <v>6472</v>
      </c>
      <c r="J1916" s="18">
        <v>27689.0</v>
      </c>
      <c r="K1916" s="18" t="s">
        <v>6473</v>
      </c>
      <c r="L1916" s="18">
        <v>74.0</v>
      </c>
      <c r="M1916" s="18" t="s">
        <v>24</v>
      </c>
      <c r="N1916" s="18" t="s">
        <v>25</v>
      </c>
      <c r="O1916" s="19">
        <v>1.0E7</v>
      </c>
      <c r="P1916" s="10">
        <f t="shared" si="2"/>
        <v>1043445</v>
      </c>
      <c r="Q1916" s="12">
        <f t="shared" si="3"/>
        <v>0</v>
      </c>
      <c r="R1916" s="18">
        <v>2007.0</v>
      </c>
      <c r="S1916" s="18">
        <v>6.5</v>
      </c>
    </row>
    <row r="1917" ht="15.75" customHeight="1">
      <c r="A1917" s="13" t="s">
        <v>635</v>
      </c>
      <c r="B1917" s="8" t="str">
        <f>IFERROR(__xludf.DUMMYFUNCTION("REGEXREPLACE(A1917, ""[^0-9a-zA-Z .'Ã]"","""")"),"Steven Spielberg")</f>
        <v>Steven Spielberg</v>
      </c>
      <c r="C1917" s="14">
        <v>174.0</v>
      </c>
      <c r="D1917" s="15">
        <v>9.6067179E7</v>
      </c>
      <c r="E1917" s="14" t="s">
        <v>620</v>
      </c>
      <c r="F1917" s="9">
        <f t="shared" si="1"/>
        <v>3</v>
      </c>
      <c r="G1917" s="14" t="s">
        <v>605</v>
      </c>
      <c r="H1917" s="11" t="str">
        <f>IFERROR(__xludf.DUMMYFUNCTION("REGEXREPLACE(G1917, ""[^0-9a-zA-Z .'Ã]"","""")"),"Liam Neeson")</f>
        <v>Liam Neeson</v>
      </c>
      <c r="I1917" s="16" t="s">
        <v>6474</v>
      </c>
      <c r="J1917" s="14">
        <v>865020.0</v>
      </c>
      <c r="K1917" s="14" t="s">
        <v>6475</v>
      </c>
      <c r="L1917" s="14">
        <v>1273.0</v>
      </c>
      <c r="M1917" s="14" t="s">
        <v>24</v>
      </c>
      <c r="N1917" s="14" t="s">
        <v>25</v>
      </c>
      <c r="O1917" s="15">
        <v>2.2E7</v>
      </c>
      <c r="P1917" s="10">
        <f t="shared" si="2"/>
        <v>74067179</v>
      </c>
      <c r="Q1917" s="12">
        <f t="shared" si="3"/>
        <v>0</v>
      </c>
      <c r="R1917" s="14">
        <v>1993.0</v>
      </c>
      <c r="S1917" s="14">
        <v>8.9</v>
      </c>
    </row>
    <row r="1918" ht="15.75" customHeight="1">
      <c r="A1918" s="25" t="s">
        <v>6476</v>
      </c>
      <c r="B1918" s="8" t="str">
        <f>IFERROR(__xludf.DUMMYFUNCTION("REGEXREPLACE(A1918, ""[^0-9a-zA-Z .'Ã]"","""")"),"Ice Cube")</f>
        <v>Ice Cube</v>
      </c>
      <c r="C1918" s="26">
        <v>22.0</v>
      </c>
      <c r="D1918" s="27">
        <v>2.303139E7</v>
      </c>
      <c r="E1918" s="26" t="s">
        <v>454</v>
      </c>
      <c r="F1918" s="9">
        <f t="shared" si="1"/>
        <v>2</v>
      </c>
      <c r="G1918" s="26" t="s">
        <v>195</v>
      </c>
      <c r="H1918" s="11" t="str">
        <f>IFERROR(__xludf.DUMMYFUNCTION("REGEXREPLACE(G1918, ""[^0-9a-zA-Z .'Ã]"","""")"),"Bernie Mac")</f>
        <v>Bernie Mac</v>
      </c>
      <c r="I1918" s="28" t="s">
        <v>6477</v>
      </c>
      <c r="J1918" s="26">
        <v>4345.0</v>
      </c>
      <c r="K1918" s="26" t="s">
        <v>6478</v>
      </c>
      <c r="L1918" s="26">
        <v>26.0</v>
      </c>
      <c r="M1918" s="26" t="s">
        <v>24</v>
      </c>
      <c r="N1918" s="26" t="s">
        <v>25</v>
      </c>
      <c r="O1918" s="27">
        <v>4500000.0</v>
      </c>
      <c r="P1918" s="10">
        <f t="shared" si="2"/>
        <v>18531390</v>
      </c>
      <c r="Q1918" s="12">
        <f t="shared" si="3"/>
        <v>0</v>
      </c>
      <c r="R1918" s="26">
        <v>1998.0</v>
      </c>
      <c r="S1918" s="26">
        <v>5.6</v>
      </c>
    </row>
    <row r="1919" ht="15.75" customHeight="1">
      <c r="A1919" s="17" t="s">
        <v>6479</v>
      </c>
      <c r="B1919" s="8" t="str">
        <f>IFERROR(__xludf.DUMMYFUNCTION("REGEXREPLACE(A1919, ""[^0-9a-zA-Z .'Ã]"","""")"),"William H. Macy")</f>
        <v>William H. Macy</v>
      </c>
      <c r="C1919" s="18">
        <v>44.0</v>
      </c>
      <c r="D1919" s="19">
        <v>37440.0</v>
      </c>
      <c r="E1919" s="18" t="s">
        <v>462</v>
      </c>
      <c r="F1919" s="9">
        <f t="shared" si="1"/>
        <v>3</v>
      </c>
      <c r="G1919" s="18" t="s">
        <v>5440</v>
      </c>
      <c r="H1919" s="11" t="str">
        <f>IFERROR(__xludf.DUMMYFUNCTION("REGEXREPLACE(G1919, ""[^0-9a-zA-Z .'Ã]"","""")"),"Billy Crudup")</f>
        <v>Billy Crudup</v>
      </c>
      <c r="I1919" s="20" t="s">
        <v>6480</v>
      </c>
      <c r="J1919" s="18">
        <v>12672.0</v>
      </c>
      <c r="K1919" s="18" t="s">
        <v>6481</v>
      </c>
      <c r="L1919" s="18">
        <v>60.0</v>
      </c>
      <c r="M1919" s="18" t="s">
        <v>24</v>
      </c>
      <c r="N1919" s="18" t="s">
        <v>25</v>
      </c>
      <c r="O1919" s="19">
        <v>5000000.0</v>
      </c>
      <c r="P1919" s="10">
        <f t="shared" si="2"/>
        <v>0</v>
      </c>
      <c r="Q1919" s="12">
        <f t="shared" si="3"/>
        <v>4962560</v>
      </c>
      <c r="R1919" s="18">
        <v>2014.0</v>
      </c>
      <c r="S1919" s="18">
        <v>7.5</v>
      </c>
    </row>
    <row r="1920" ht="15.75" customHeight="1">
      <c r="A1920" s="7" t="s">
        <v>4606</v>
      </c>
      <c r="B1920" s="8" t="str">
        <f>IFERROR(__xludf.DUMMYFUNCTION("REGEXREPLACE(A1920, ""[^0-9a-zA-Z .'Ã]"","""")"),"Zack Snyder")</f>
        <v>Zack Snyder</v>
      </c>
      <c r="C1920" s="9">
        <v>460.0</v>
      </c>
      <c r="D1920" s="10">
        <v>2.1059259E8</v>
      </c>
      <c r="E1920" s="9" t="s">
        <v>6482</v>
      </c>
      <c r="F1920" s="9">
        <f t="shared" si="1"/>
        <v>4</v>
      </c>
      <c r="G1920" s="9" t="s">
        <v>830</v>
      </c>
      <c r="H1920" s="11" t="str">
        <f>IFERROR(__xludf.DUMMYFUNCTION("REGEXREPLACE(G1920, ""[^0-9a-zA-Z .'Ã]"","""")"),"Gerard Butler")</f>
        <v>Gerard Butler</v>
      </c>
      <c r="I1920" s="11" t="s">
        <v>6483</v>
      </c>
      <c r="J1920" s="9">
        <v>607235.0</v>
      </c>
      <c r="K1920" s="9" t="s">
        <v>6484</v>
      </c>
      <c r="L1920" s="9">
        <v>2073.0</v>
      </c>
      <c r="M1920" s="9" t="s">
        <v>24</v>
      </c>
      <c r="N1920" s="9" t="s">
        <v>25</v>
      </c>
      <c r="O1920" s="10">
        <v>6.5E7</v>
      </c>
      <c r="P1920" s="10">
        <f t="shared" si="2"/>
        <v>145592590</v>
      </c>
      <c r="Q1920" s="12">
        <f t="shared" si="3"/>
        <v>0</v>
      </c>
      <c r="R1920" s="9">
        <v>2006.0</v>
      </c>
      <c r="S1920" s="9">
        <v>7.7</v>
      </c>
    </row>
    <row r="1921" ht="15.75" customHeight="1">
      <c r="A1921" s="29" t="s">
        <v>5655</v>
      </c>
      <c r="B1921" s="8" t="str">
        <f>IFERROR(__xludf.DUMMYFUNCTION("REGEXREPLACE(A1921, ""[^0-9a-zA-Z .'Ã]"","""")"),"Darren Lynn Bousman")</f>
        <v>Darren Lynn Bousman</v>
      </c>
      <c r="C1921" s="30">
        <v>190.0</v>
      </c>
      <c r="D1921" s="31">
        <v>6.3270259E7</v>
      </c>
      <c r="E1921" s="30" t="s">
        <v>565</v>
      </c>
      <c r="F1921" s="9">
        <f t="shared" si="1"/>
        <v>2</v>
      </c>
      <c r="G1921" s="30" t="s">
        <v>3458</v>
      </c>
      <c r="H1921" s="11" t="str">
        <f>IFERROR(__xludf.DUMMYFUNCTION("REGEXREPLACE(G1921, ""[^0-9a-zA-Z .'Ã]"","""")"),"Costas Mandylor")</f>
        <v>Costas Mandylor</v>
      </c>
      <c r="I1921" s="32" t="s">
        <v>6485</v>
      </c>
      <c r="J1921" s="30">
        <v>111087.0</v>
      </c>
      <c r="K1921" s="30" t="s">
        <v>6486</v>
      </c>
      <c r="L1921" s="30">
        <v>319.0</v>
      </c>
      <c r="M1921" s="30" t="s">
        <v>24</v>
      </c>
      <c r="N1921" s="30" t="s">
        <v>25</v>
      </c>
      <c r="O1921" s="31">
        <v>1.0E7</v>
      </c>
      <c r="P1921" s="10">
        <f t="shared" si="2"/>
        <v>53270259</v>
      </c>
      <c r="Q1921" s="12">
        <f t="shared" si="3"/>
        <v>0</v>
      </c>
      <c r="R1921" s="30">
        <v>2007.0</v>
      </c>
      <c r="S1921" s="30">
        <v>5.9</v>
      </c>
    </row>
    <row r="1922" ht="15.75" customHeight="1">
      <c r="A1922" s="7" t="s">
        <v>3560</v>
      </c>
      <c r="B1922" s="8" t="str">
        <f>IFERROR(__xludf.DUMMYFUNCTION("REGEXREPLACE(A1922, ""[^0-9a-zA-Z .'Ã]"","""")"),"Sam Weisman")</f>
        <v>Sam Weisman</v>
      </c>
      <c r="C1922" s="9">
        <v>53.0</v>
      </c>
      <c r="D1922" s="10">
        <v>1.05263257E8</v>
      </c>
      <c r="E1922" s="9" t="s">
        <v>6487</v>
      </c>
      <c r="F1922" s="9">
        <f t="shared" si="1"/>
        <v>5</v>
      </c>
      <c r="G1922" s="9" t="s">
        <v>21</v>
      </c>
      <c r="H1922" s="11" t="str">
        <f>IFERROR(__xludf.DUMMYFUNCTION("REGEXREPLACE(G1922, ""[^0-9a-zA-Z .'Ã]"","""")"),"Brendan Fraser")</f>
        <v>Brendan Fraser</v>
      </c>
      <c r="I1922" s="11" t="s">
        <v>6488</v>
      </c>
      <c r="J1922" s="9">
        <v>56168.0</v>
      </c>
      <c r="K1922" s="9" t="s">
        <v>6489</v>
      </c>
      <c r="L1922" s="9">
        <v>103.0</v>
      </c>
      <c r="M1922" s="9" t="s">
        <v>24</v>
      </c>
      <c r="N1922" s="9" t="s">
        <v>25</v>
      </c>
      <c r="O1922" s="10">
        <v>5.5E7</v>
      </c>
      <c r="P1922" s="10">
        <f t="shared" si="2"/>
        <v>50263257</v>
      </c>
      <c r="Q1922" s="12">
        <f t="shared" si="3"/>
        <v>0</v>
      </c>
      <c r="R1922" s="9">
        <v>1997.0</v>
      </c>
      <c r="S1922" s="9">
        <v>5.4</v>
      </c>
    </row>
    <row r="1923" ht="15.75" customHeight="1">
      <c r="A1923" s="7" t="s">
        <v>6490</v>
      </c>
      <c r="B1923" s="8" t="str">
        <f>IFERROR(__xludf.DUMMYFUNCTION("REGEXREPLACE(A1923, ""[^0-9a-zA-Z .'Ã]"","""")"),"Katt Shea")</f>
        <v>Katt Shea</v>
      </c>
      <c r="C1923" s="9">
        <v>85.0</v>
      </c>
      <c r="D1923" s="10">
        <v>1.7757087E7</v>
      </c>
      <c r="E1923" s="9" t="s">
        <v>1017</v>
      </c>
      <c r="F1923" s="9">
        <f t="shared" si="1"/>
        <v>3</v>
      </c>
      <c r="G1923" s="9" t="s">
        <v>6491</v>
      </c>
      <c r="H1923" s="11" t="str">
        <f>IFERROR(__xludf.DUMMYFUNCTION("REGEXREPLACE(G1923, ""[^0-9a-zA-Z .'Ã]"","""")"),"Jason London")</f>
        <v>Jason London</v>
      </c>
      <c r="I1923" s="11" t="s">
        <v>6492</v>
      </c>
      <c r="J1923" s="9">
        <v>13065.0</v>
      </c>
      <c r="K1923" s="9" t="s">
        <v>6493</v>
      </c>
      <c r="L1923" s="9">
        <v>253.0</v>
      </c>
      <c r="M1923" s="9" t="s">
        <v>24</v>
      </c>
      <c r="N1923" s="9" t="s">
        <v>25</v>
      </c>
      <c r="O1923" s="10">
        <v>2.1E7</v>
      </c>
      <c r="P1923" s="10">
        <f t="shared" si="2"/>
        <v>0</v>
      </c>
      <c r="Q1923" s="12">
        <f t="shared" si="3"/>
        <v>3242913</v>
      </c>
      <c r="R1923" s="9">
        <v>1999.0</v>
      </c>
      <c r="S1923" s="9">
        <v>4.6</v>
      </c>
    </row>
    <row r="1924" ht="15.75" customHeight="1">
      <c r="A1924" s="7" t="s">
        <v>6494</v>
      </c>
      <c r="B1924" s="8" t="str">
        <f>IFERROR(__xludf.DUMMYFUNCTION("REGEXREPLACE(A1924, ""[^0-9a-zA-Z .'Ã]"","""")"),"Andrey Konchalovskiy")</f>
        <v>Andrey Konchalovskiy</v>
      </c>
      <c r="C1924" s="9">
        <v>47.0</v>
      </c>
      <c r="D1924" s="10">
        <v>190562.0</v>
      </c>
      <c r="E1924" s="9" t="s">
        <v>6495</v>
      </c>
      <c r="F1924" s="9">
        <f t="shared" si="1"/>
        <v>4</v>
      </c>
      <c r="G1924" s="9" t="s">
        <v>6496</v>
      </c>
      <c r="H1924" s="11" t="str">
        <f>IFERROR(__xludf.DUMMYFUNCTION("REGEXREPLACE(G1924, ""[^0-9a-zA-Z .'Ã]"","""")"),"Shirley Henderson")</f>
        <v>Shirley Henderson</v>
      </c>
      <c r="I1924" s="11" t="s">
        <v>6497</v>
      </c>
      <c r="J1924" s="9">
        <v>2508.0</v>
      </c>
      <c r="K1924" s="9" t="s">
        <v>6498</v>
      </c>
      <c r="L1924" s="9">
        <v>24.0</v>
      </c>
      <c r="M1924" s="9" t="s">
        <v>24</v>
      </c>
      <c r="N1924" s="9" t="s">
        <v>130</v>
      </c>
      <c r="O1924" s="10">
        <v>9.0E7</v>
      </c>
      <c r="P1924" s="10">
        <f t="shared" si="2"/>
        <v>0</v>
      </c>
      <c r="Q1924" s="12">
        <f t="shared" si="3"/>
        <v>89809438</v>
      </c>
      <c r="R1924" s="9">
        <v>2010.0</v>
      </c>
      <c r="S1924" s="9">
        <v>4.4</v>
      </c>
    </row>
    <row r="1925" ht="15.75" customHeight="1">
      <c r="A1925" s="21" t="s">
        <v>6499</v>
      </c>
      <c r="B1925" s="8" t="str">
        <f>IFERROR(__xludf.DUMMYFUNCTION("REGEXREPLACE(A1925, ""[^0-9a-zA-Z .'Ã]"","""")"),"Benh Zeitlin")</f>
        <v>Benh Zeitlin</v>
      </c>
      <c r="C1925" s="22">
        <v>663.0</v>
      </c>
      <c r="D1925" s="23">
        <v>1.2784397E7</v>
      </c>
      <c r="E1925" s="22" t="s">
        <v>683</v>
      </c>
      <c r="F1925" s="9">
        <f t="shared" si="1"/>
        <v>2</v>
      </c>
      <c r="G1925" s="22" t="s">
        <v>2900</v>
      </c>
      <c r="H1925" s="11" t="str">
        <f>IFERROR(__xludf.DUMMYFUNCTION("REGEXREPLACE(G1925, ""[^0-9a-zA-Z .'Ã]"","""")"),"QuvenzhanÃ Wallis")</f>
        <v>QuvenzhanÃ Wallis</v>
      </c>
      <c r="I1925" s="24" t="s">
        <v>6500</v>
      </c>
      <c r="J1925" s="22">
        <v>70336.0</v>
      </c>
      <c r="K1925" s="22" t="s">
        <v>6501</v>
      </c>
      <c r="L1925" s="22">
        <v>269.0</v>
      </c>
      <c r="M1925" s="22" t="s">
        <v>24</v>
      </c>
      <c r="N1925" s="22" t="s">
        <v>25</v>
      </c>
      <c r="O1925" s="23">
        <v>1800000.0</v>
      </c>
      <c r="P1925" s="10">
        <f t="shared" si="2"/>
        <v>10984397</v>
      </c>
      <c r="Q1925" s="12">
        <f t="shared" si="3"/>
        <v>0</v>
      </c>
      <c r="R1925" s="22">
        <v>2012.0</v>
      </c>
      <c r="S1925" s="22">
        <v>7.3</v>
      </c>
    </row>
    <row r="1926" ht="15.75" customHeight="1">
      <c r="A1926" s="7" t="s">
        <v>6502</v>
      </c>
      <c r="B1926" s="8" t="str">
        <f>IFERROR(__xludf.DUMMYFUNCTION("REGEXREPLACE(A1926, ""[^0-9a-zA-Z .'Ã]"","""")"),"Takao Okawara")</f>
        <v>Takao Okawara</v>
      </c>
      <c r="C1926" s="9">
        <v>107.0</v>
      </c>
      <c r="D1926" s="10">
        <v>1.003739E7</v>
      </c>
      <c r="E1926" s="9" t="s">
        <v>6503</v>
      </c>
      <c r="F1926" s="9">
        <f t="shared" si="1"/>
        <v>5</v>
      </c>
      <c r="G1926" s="9" t="s">
        <v>6504</v>
      </c>
      <c r="H1926" s="11" t="str">
        <f>IFERROR(__xludf.DUMMYFUNCTION("REGEXREPLACE(G1926, ""[^0-9a-zA-Z .'Ã]"","""")"),"Hiroshi Abe")</f>
        <v>Hiroshi Abe</v>
      </c>
      <c r="I1926" s="11" t="s">
        <v>6505</v>
      </c>
      <c r="J1926" s="9">
        <v>5442.0</v>
      </c>
      <c r="K1926" s="9" t="s">
        <v>6506</v>
      </c>
      <c r="L1926" s="9">
        <v>140.0</v>
      </c>
      <c r="M1926" s="9" t="s">
        <v>1534</v>
      </c>
      <c r="N1926" s="9" t="s">
        <v>1535</v>
      </c>
      <c r="O1926" s="10">
        <v>1.0E9</v>
      </c>
      <c r="P1926" s="10">
        <f t="shared" si="2"/>
        <v>0</v>
      </c>
      <c r="Q1926" s="12">
        <f t="shared" si="3"/>
        <v>989962610</v>
      </c>
      <c r="R1926" s="9">
        <v>1999.0</v>
      </c>
      <c r="S1926" s="9">
        <v>6.0</v>
      </c>
    </row>
    <row r="1927" ht="15.75" customHeight="1">
      <c r="A1927" s="21" t="s">
        <v>4179</v>
      </c>
      <c r="B1927" s="8" t="str">
        <f>IFERROR(__xludf.DUMMYFUNCTION("REGEXREPLACE(A1927, ""[^0-9a-zA-Z .'Ã]"","""")"),"Jay Russell")</f>
        <v>Jay Russell</v>
      </c>
      <c r="C1927" s="22">
        <v>69.0</v>
      </c>
      <c r="D1927" s="23">
        <v>1.9158074E7</v>
      </c>
      <c r="E1927" s="22" t="s">
        <v>6507</v>
      </c>
      <c r="F1927" s="9">
        <f t="shared" si="1"/>
        <v>4</v>
      </c>
      <c r="G1927" s="22" t="s">
        <v>3857</v>
      </c>
      <c r="H1927" s="11" t="str">
        <f>IFERROR(__xludf.DUMMYFUNCTION("REGEXREPLACE(G1927, ""[^0-9a-zA-Z .'Ã]"","""")"),"William Hurt")</f>
        <v>William Hurt</v>
      </c>
      <c r="I1927" s="24" t="s">
        <v>6508</v>
      </c>
      <c r="J1927" s="22">
        <v>17983.0</v>
      </c>
      <c r="K1927" s="22" t="s">
        <v>6509</v>
      </c>
      <c r="L1927" s="22">
        <v>127.0</v>
      </c>
      <c r="M1927" s="22" t="s">
        <v>24</v>
      </c>
      <c r="N1927" s="22" t="s">
        <v>25</v>
      </c>
      <c r="O1927" s="23">
        <v>1.5E7</v>
      </c>
      <c r="P1927" s="10">
        <f t="shared" si="2"/>
        <v>4158074</v>
      </c>
      <c r="Q1927" s="12">
        <f t="shared" si="3"/>
        <v>0</v>
      </c>
      <c r="R1927" s="22">
        <v>2002.0</v>
      </c>
      <c r="S1927" s="22">
        <v>6.7</v>
      </c>
    </row>
    <row r="1928" ht="15.75" customHeight="1">
      <c r="A1928" s="25" t="s">
        <v>860</v>
      </c>
      <c r="B1928" s="8" t="str">
        <f>IFERROR(__xludf.DUMMYFUNCTION("REGEXREPLACE(A1928, ""[^0-9a-zA-Z .'Ã]"","""")"),"Michael Bay")</f>
        <v>Michael Bay</v>
      </c>
      <c r="C1928" s="26">
        <v>428.0</v>
      </c>
      <c r="D1928" s="27">
        <v>3.52358779E8</v>
      </c>
      <c r="E1928" s="26" t="s">
        <v>185</v>
      </c>
      <c r="F1928" s="9">
        <f t="shared" si="1"/>
        <v>3</v>
      </c>
      <c r="G1928" s="26" t="s">
        <v>4206</v>
      </c>
      <c r="H1928" s="11" t="str">
        <f>IFERROR(__xludf.DUMMYFUNCTION("REGEXREPLACE(G1928, ""[^0-9a-zA-Z .'Ã]"","""")"),"Glenn Morshower")</f>
        <v>Glenn Morshower</v>
      </c>
      <c r="I1928" s="28" t="s">
        <v>6510</v>
      </c>
      <c r="J1928" s="26">
        <v>326180.0</v>
      </c>
      <c r="K1928" s="26" t="s">
        <v>6511</v>
      </c>
      <c r="L1928" s="26">
        <v>899.0</v>
      </c>
      <c r="M1928" s="26" t="s">
        <v>24</v>
      </c>
      <c r="N1928" s="26" t="s">
        <v>25</v>
      </c>
      <c r="O1928" s="27">
        <v>1.95E8</v>
      </c>
      <c r="P1928" s="10">
        <f t="shared" si="2"/>
        <v>157358779</v>
      </c>
      <c r="Q1928" s="12">
        <f t="shared" si="3"/>
        <v>0</v>
      </c>
      <c r="R1928" s="26">
        <v>2011.0</v>
      </c>
      <c r="S1928" s="26">
        <v>6.3</v>
      </c>
    </row>
    <row r="1929" ht="15.75" customHeight="1">
      <c r="A1929" s="29" t="s">
        <v>163</v>
      </c>
      <c r="B1929" s="8" t="str">
        <f>IFERROR(__xludf.DUMMYFUNCTION("REGEXREPLACE(A1929, ""[^0-9a-zA-Z .'Ã]"","""")"),"F. Gary Gray")</f>
        <v>F. Gary Gray</v>
      </c>
      <c r="C1929" s="30">
        <v>161.0</v>
      </c>
      <c r="D1929" s="31">
        <v>5.5808744E7</v>
      </c>
      <c r="E1929" s="30" t="s">
        <v>6512</v>
      </c>
      <c r="F1929" s="9">
        <f t="shared" si="1"/>
        <v>3</v>
      </c>
      <c r="G1929" s="30" t="s">
        <v>50</v>
      </c>
      <c r="H1929" s="11" t="str">
        <f>IFERROR(__xludf.DUMMYFUNCTION("REGEXREPLACE(G1929, ""[^0-9a-zA-Z .'Ã]"","""")"),"Dwayne Johnson")</f>
        <v>Dwayne Johnson</v>
      </c>
      <c r="I1929" s="32" t="s">
        <v>6513</v>
      </c>
      <c r="J1929" s="30">
        <v>59435.0</v>
      </c>
      <c r="K1929" s="30" t="s">
        <v>6514</v>
      </c>
      <c r="L1929" s="30">
        <v>323.0</v>
      </c>
      <c r="M1929" s="30" t="s">
        <v>24</v>
      </c>
      <c r="N1929" s="30" t="s">
        <v>25</v>
      </c>
      <c r="O1929" s="31">
        <v>5.3E7</v>
      </c>
      <c r="P1929" s="10">
        <f t="shared" si="2"/>
        <v>2808744</v>
      </c>
      <c r="Q1929" s="12">
        <f t="shared" si="3"/>
        <v>0</v>
      </c>
      <c r="R1929" s="30">
        <v>2005.0</v>
      </c>
      <c r="S1929" s="30">
        <v>5.7</v>
      </c>
    </row>
    <row r="1930" ht="15.75" customHeight="1">
      <c r="A1930" s="17" t="s">
        <v>6443</v>
      </c>
      <c r="B1930" s="8" t="str">
        <f>IFERROR(__xludf.DUMMYFUNCTION("REGEXREPLACE(A1930, ""[^0-9a-zA-Z .'Ã]"","""")"),"Bill Condon")</f>
        <v>Bill Condon</v>
      </c>
      <c r="C1930" s="18">
        <v>241.0</v>
      </c>
      <c r="D1930" s="19">
        <v>1.03338338E8</v>
      </c>
      <c r="E1930" s="18" t="s">
        <v>6515</v>
      </c>
      <c r="F1930" s="9">
        <f t="shared" si="1"/>
        <v>3</v>
      </c>
      <c r="G1930" s="18" t="s">
        <v>95</v>
      </c>
      <c r="H1930" s="11" t="str">
        <f>IFERROR(__xludf.DUMMYFUNCTION("REGEXREPLACE(G1930, ""[^0-9a-zA-Z .'Ã]"","""")"),"Loretta Devine")</f>
        <v>Loretta Devine</v>
      </c>
      <c r="I1930" s="20" t="s">
        <v>6516</v>
      </c>
      <c r="J1930" s="18">
        <v>55901.0</v>
      </c>
      <c r="K1930" s="18" t="s">
        <v>6517</v>
      </c>
      <c r="L1930" s="18">
        <v>503.0</v>
      </c>
      <c r="M1930" s="18" t="s">
        <v>24</v>
      </c>
      <c r="N1930" s="18" t="s">
        <v>25</v>
      </c>
      <c r="O1930" s="19">
        <v>7.0E7</v>
      </c>
      <c r="P1930" s="10">
        <f t="shared" si="2"/>
        <v>33338338</v>
      </c>
      <c r="Q1930" s="12">
        <f t="shared" si="3"/>
        <v>0</v>
      </c>
      <c r="R1930" s="18">
        <v>2006.0</v>
      </c>
      <c r="S1930" s="18">
        <v>6.5</v>
      </c>
    </row>
    <row r="1931" ht="15.75" customHeight="1">
      <c r="A1931" s="7" t="s">
        <v>4273</v>
      </c>
      <c r="B1931" s="8" t="str">
        <f>IFERROR(__xludf.DUMMYFUNCTION("REGEXREPLACE(A1931, ""[^0-9a-zA-Z .'Ã]"","""")"),"Peyton Reed")</f>
        <v>Peyton Reed</v>
      </c>
      <c r="C1931" s="9">
        <v>139.0</v>
      </c>
      <c r="D1931" s="10">
        <v>6.835355E7</v>
      </c>
      <c r="E1931" s="9" t="s">
        <v>3398</v>
      </c>
      <c r="F1931" s="9">
        <f t="shared" si="1"/>
        <v>2</v>
      </c>
      <c r="G1931" s="9" t="s">
        <v>951</v>
      </c>
      <c r="H1931" s="11" t="str">
        <f>IFERROR(__xludf.DUMMYFUNCTION("REGEXREPLACE(G1931, ""[^0-9a-zA-Z .'Ã]"","""")"),"Kirsten Dunst")</f>
        <v>Kirsten Dunst</v>
      </c>
      <c r="I1931" s="11" t="s">
        <v>6518</v>
      </c>
      <c r="J1931" s="9">
        <v>70141.0</v>
      </c>
      <c r="K1931" s="9" t="s">
        <v>6519</v>
      </c>
      <c r="L1931" s="9">
        <v>385.0</v>
      </c>
      <c r="M1931" s="9" t="s">
        <v>24</v>
      </c>
      <c r="N1931" s="9" t="s">
        <v>25</v>
      </c>
      <c r="O1931" s="10">
        <v>1.0E7</v>
      </c>
      <c r="P1931" s="10">
        <f t="shared" si="2"/>
        <v>58353550</v>
      </c>
      <c r="Q1931" s="12">
        <f t="shared" si="3"/>
        <v>0</v>
      </c>
      <c r="R1931" s="9">
        <v>2000.0</v>
      </c>
      <c r="S1931" s="9">
        <v>5.9</v>
      </c>
    </row>
    <row r="1932" ht="15.75" customHeight="1">
      <c r="A1932" s="25" t="s">
        <v>6520</v>
      </c>
      <c r="B1932" s="8" t="str">
        <f>IFERROR(__xludf.DUMMYFUNCTION("REGEXREPLACE(A1932, ""[^0-9a-zA-Z .'Ã]"","""")"),"Levan Gabriadze")</f>
        <v>Levan Gabriadze</v>
      </c>
      <c r="C1932" s="26">
        <v>270.0</v>
      </c>
      <c r="D1932" s="27">
        <v>3.153732E7</v>
      </c>
      <c r="E1932" s="26" t="s">
        <v>94</v>
      </c>
      <c r="F1932" s="9">
        <f t="shared" si="1"/>
        <v>3</v>
      </c>
      <c r="G1932" s="26" t="s">
        <v>6521</v>
      </c>
      <c r="H1932" s="11" t="str">
        <f>IFERROR(__xludf.DUMMYFUNCTION("REGEXREPLACE(G1932, ""[^0-9a-zA-Z .'Ã]"","""")"),"Shelley Hennig")</f>
        <v>Shelley Hennig</v>
      </c>
      <c r="I1932" s="28" t="s">
        <v>6522</v>
      </c>
      <c r="J1932" s="26">
        <v>44329.0</v>
      </c>
      <c r="K1932" s="26" t="s">
        <v>6523</v>
      </c>
      <c r="L1932" s="26">
        <v>309.0</v>
      </c>
      <c r="M1932" s="26" t="s">
        <v>24</v>
      </c>
      <c r="N1932" s="26" t="s">
        <v>25</v>
      </c>
      <c r="O1932" s="27">
        <v>1000000.0</v>
      </c>
      <c r="P1932" s="10">
        <f t="shared" si="2"/>
        <v>30537320</v>
      </c>
      <c r="Q1932" s="12">
        <f t="shared" si="3"/>
        <v>0</v>
      </c>
      <c r="R1932" s="26">
        <v>2014.0</v>
      </c>
      <c r="S1932" s="26">
        <v>5.7</v>
      </c>
    </row>
    <row r="1933" ht="15.75" customHeight="1">
      <c r="A1933" s="25" t="s">
        <v>6524</v>
      </c>
      <c r="B1933" s="8" t="str">
        <f>IFERROR(__xludf.DUMMYFUNCTION("REGEXREPLACE(A1933, ""[^0-9a-zA-Z .'Ã]"","""")"),"Martin Koolhoven")</f>
        <v>Martin Koolhoven</v>
      </c>
      <c r="C1933" s="26">
        <v>111.0</v>
      </c>
      <c r="D1933" s="27">
        <v>542860.0</v>
      </c>
      <c r="E1933" s="26" t="s">
        <v>74</v>
      </c>
      <c r="F1933" s="9">
        <f t="shared" si="1"/>
        <v>3</v>
      </c>
      <c r="G1933" s="26" t="s">
        <v>6525</v>
      </c>
      <c r="H1933" s="11" t="str">
        <f>IFERROR(__xludf.DUMMYFUNCTION("REGEXREPLACE(G1933, ""[^0-9a-zA-Z .'Ã]"","""")"),"Yorick van Wageningen")</f>
        <v>Yorick van Wageningen</v>
      </c>
      <c r="I1933" s="28" t="s">
        <v>6526</v>
      </c>
      <c r="J1933" s="26">
        <v>9230.0</v>
      </c>
      <c r="K1933" s="26" t="s">
        <v>6527</v>
      </c>
      <c r="L1933" s="26">
        <v>37.0</v>
      </c>
      <c r="M1933" s="26" t="s">
        <v>6528</v>
      </c>
      <c r="N1933" s="26" t="s">
        <v>6529</v>
      </c>
      <c r="O1933" s="27">
        <v>4000000.0</v>
      </c>
      <c r="P1933" s="10">
        <f t="shared" si="2"/>
        <v>0</v>
      </c>
      <c r="Q1933" s="12">
        <f t="shared" si="3"/>
        <v>3457140</v>
      </c>
      <c r="R1933" s="26">
        <v>2008.0</v>
      </c>
      <c r="S1933" s="26">
        <v>7.1</v>
      </c>
    </row>
    <row r="1934" ht="15.75" customHeight="1">
      <c r="A1934" s="21" t="s">
        <v>1954</v>
      </c>
      <c r="B1934" s="8" t="str">
        <f>IFERROR(__xludf.DUMMYFUNCTION("REGEXREPLACE(A1934, ""[^0-9a-zA-Z .'Ã]"","""")"),"David R. Ellis")</f>
        <v>David R. Ellis</v>
      </c>
      <c r="C1934" s="22">
        <v>231.0</v>
      </c>
      <c r="D1934" s="23">
        <v>1.8860403E7</v>
      </c>
      <c r="E1934" s="22" t="s">
        <v>306</v>
      </c>
      <c r="F1934" s="9">
        <f t="shared" si="1"/>
        <v>2</v>
      </c>
      <c r="G1934" s="22" t="s">
        <v>6530</v>
      </c>
      <c r="H1934" s="11" t="str">
        <f>IFERROR(__xludf.DUMMYFUNCTION("REGEXREPLACE(G1934, ""[^0-9a-zA-Z .'Ã]"","""")"),"Chris Zylka")</f>
        <v>Chris Zylka</v>
      </c>
      <c r="I1934" s="24" t="s">
        <v>6531</v>
      </c>
      <c r="J1934" s="22">
        <v>20823.0</v>
      </c>
      <c r="K1934" s="22" t="s">
        <v>6532</v>
      </c>
      <c r="L1934" s="22">
        <v>130.0</v>
      </c>
      <c r="M1934" s="22" t="s">
        <v>24</v>
      </c>
      <c r="N1934" s="22" t="s">
        <v>25</v>
      </c>
      <c r="O1934" s="23">
        <v>2.5E7</v>
      </c>
      <c r="P1934" s="10">
        <f t="shared" si="2"/>
        <v>0</v>
      </c>
      <c r="Q1934" s="12">
        <f t="shared" si="3"/>
        <v>6139597</v>
      </c>
      <c r="R1934" s="22">
        <v>2011.0</v>
      </c>
      <c r="S1934" s="22">
        <v>4.0</v>
      </c>
    </row>
    <row r="1935" ht="15.75" customHeight="1">
      <c r="A1935" s="7" t="s">
        <v>6533</v>
      </c>
      <c r="B1935" s="8" t="str">
        <f>IFERROR(__xludf.DUMMYFUNCTION("REGEXREPLACE(A1935, ""[^0-9a-zA-Z .'Ã]"","""")"),"Oren Moverman")</f>
        <v>Oren Moverman</v>
      </c>
      <c r="C1935" s="9">
        <v>217.0</v>
      </c>
      <c r="D1935" s="10">
        <v>66637.0</v>
      </c>
      <c r="E1935" s="9" t="s">
        <v>3427</v>
      </c>
      <c r="F1935" s="9">
        <f t="shared" si="1"/>
        <v>3</v>
      </c>
      <c r="G1935" s="9" t="s">
        <v>453</v>
      </c>
      <c r="H1935" s="11" t="str">
        <f>IFERROR(__xludf.DUMMYFUNCTION("REGEXREPLACE(G1935, ""[^0-9a-zA-Z .'Ã]"","""")"),"Steve Buscemi")</f>
        <v>Steve Buscemi</v>
      </c>
      <c r="I1935" s="11" t="s">
        <v>6534</v>
      </c>
      <c r="J1935" s="9">
        <v>29608.0</v>
      </c>
      <c r="K1935" s="9" t="s">
        <v>6535</v>
      </c>
      <c r="L1935" s="9">
        <v>92.0</v>
      </c>
      <c r="M1935" s="9" t="s">
        <v>24</v>
      </c>
      <c r="N1935" s="9" t="s">
        <v>25</v>
      </c>
      <c r="O1935" s="10">
        <v>6500000.0</v>
      </c>
      <c r="P1935" s="10">
        <f t="shared" si="2"/>
        <v>0</v>
      </c>
      <c r="Q1935" s="12">
        <f t="shared" si="3"/>
        <v>6433363</v>
      </c>
      <c r="R1935" s="9">
        <v>2009.0</v>
      </c>
      <c r="S1935" s="9">
        <v>7.2</v>
      </c>
    </row>
    <row r="1936" ht="15.75" customHeight="1">
      <c r="A1936" s="25" t="s">
        <v>645</v>
      </c>
      <c r="B1936" s="8" t="str">
        <f>IFERROR(__xludf.DUMMYFUNCTION("REGEXREPLACE(A1936, ""[^0-9a-zA-Z .'Ã]"","""")"),"Dean Parisot")</f>
        <v>Dean Parisot</v>
      </c>
      <c r="C1936" s="26">
        <v>42.0</v>
      </c>
      <c r="D1936" s="27">
        <v>1.0443316E7</v>
      </c>
      <c r="E1936" s="26" t="s">
        <v>159</v>
      </c>
      <c r="F1936" s="9">
        <f t="shared" si="1"/>
        <v>3</v>
      </c>
      <c r="G1936" s="26" t="s">
        <v>5157</v>
      </c>
      <c r="H1936" s="11" t="str">
        <f>IFERROR(__xludf.DUMMYFUNCTION("REGEXREPLACE(G1936, ""[^0-9a-zA-Z .'Ã]"","""")"),"Catherine O'Hara")</f>
        <v>Catherine O'Hara</v>
      </c>
      <c r="I1936" s="28" t="s">
        <v>6536</v>
      </c>
      <c r="J1936" s="26">
        <v>7159.0</v>
      </c>
      <c r="K1936" s="26" t="s">
        <v>6537</v>
      </c>
      <c r="L1936" s="26">
        <v>88.0</v>
      </c>
      <c r="M1936" s="26" t="s">
        <v>24</v>
      </c>
      <c r="N1936" s="26" t="s">
        <v>25</v>
      </c>
      <c r="O1936" s="27">
        <v>1.5E7</v>
      </c>
      <c r="P1936" s="10">
        <f t="shared" si="2"/>
        <v>0</v>
      </c>
      <c r="Q1936" s="12">
        <f t="shared" si="3"/>
        <v>4556684</v>
      </c>
      <c r="R1936" s="26">
        <v>1998.0</v>
      </c>
      <c r="S1936" s="26">
        <v>5.0</v>
      </c>
    </row>
    <row r="1937" ht="15.75" customHeight="1">
      <c r="A1937" s="21" t="s">
        <v>1829</v>
      </c>
      <c r="B1937" s="8" t="str">
        <f>IFERROR(__xludf.DUMMYFUNCTION("REGEXREPLACE(A1937, ""[^0-9a-zA-Z .'Ã]"","""")"),"Todd Solondz")</f>
        <v>Todd Solondz</v>
      </c>
      <c r="C1937" s="22">
        <v>148.0</v>
      </c>
      <c r="D1937" s="23">
        <v>3000000.0</v>
      </c>
      <c r="E1937" s="22" t="s">
        <v>454</v>
      </c>
      <c r="F1937" s="9">
        <f t="shared" si="1"/>
        <v>2</v>
      </c>
      <c r="G1937" s="22" t="s">
        <v>1340</v>
      </c>
      <c r="H1937" s="11" t="str">
        <f>IFERROR(__xludf.DUMMYFUNCTION("REGEXREPLACE(G1937, ""[^0-9a-zA-Z .'Ã]"","""")"),"Philip Seymour Hoffman")</f>
        <v>Philip Seymour Hoffman</v>
      </c>
      <c r="I1937" s="24" t="s">
        <v>6538</v>
      </c>
      <c r="J1937" s="22">
        <v>55329.0</v>
      </c>
      <c r="K1937" s="22" t="s">
        <v>6539</v>
      </c>
      <c r="L1937" s="22">
        <v>499.0</v>
      </c>
      <c r="M1937" s="22" t="s">
        <v>24</v>
      </c>
      <c r="N1937" s="22" t="s">
        <v>25</v>
      </c>
      <c r="O1937" s="23">
        <v>3000000.0</v>
      </c>
      <c r="P1937" s="10">
        <f t="shared" si="2"/>
        <v>0</v>
      </c>
      <c r="Q1937" s="12">
        <f t="shared" si="3"/>
        <v>0</v>
      </c>
      <c r="R1937" s="22">
        <v>1998.0</v>
      </c>
      <c r="S1937" s="22">
        <v>7.8</v>
      </c>
    </row>
    <row r="1938" ht="15.75" customHeight="1">
      <c r="A1938" s="21" t="s">
        <v>6540</v>
      </c>
      <c r="B1938" s="8" t="str">
        <f>IFERROR(__xludf.DUMMYFUNCTION("REGEXREPLACE(A1938, ""[^0-9a-zA-Z .'Ã]"","""")"),"Dexter Fletcher")</f>
        <v>Dexter Fletcher</v>
      </c>
      <c r="C1938" s="22">
        <v>216.0</v>
      </c>
      <c r="D1938" s="23">
        <v>1.5785632E7</v>
      </c>
      <c r="E1938" s="22" t="s">
        <v>6541</v>
      </c>
      <c r="F1938" s="9">
        <f t="shared" si="1"/>
        <v>4</v>
      </c>
      <c r="G1938" s="22" t="s">
        <v>974</v>
      </c>
      <c r="H1938" s="11" t="str">
        <f>IFERROR(__xludf.DUMMYFUNCTION("REGEXREPLACE(G1938, ""[^0-9a-zA-Z .'Ã]"","""")"),"Hugh Jackman")</f>
        <v>Hugh Jackman</v>
      </c>
      <c r="I1938" s="24" t="s">
        <v>6542</v>
      </c>
      <c r="J1938" s="22">
        <v>32507.0</v>
      </c>
      <c r="K1938" s="22" t="s">
        <v>6543</v>
      </c>
      <c r="L1938" s="22">
        <v>119.0</v>
      </c>
      <c r="M1938" s="22" t="s">
        <v>24</v>
      </c>
      <c r="N1938" s="22" t="s">
        <v>130</v>
      </c>
      <c r="O1938" s="23">
        <v>2.3E7</v>
      </c>
      <c r="P1938" s="10">
        <f t="shared" si="2"/>
        <v>0</v>
      </c>
      <c r="Q1938" s="12">
        <f t="shared" si="3"/>
        <v>7214368</v>
      </c>
      <c r="R1938" s="22">
        <v>2016.0</v>
      </c>
      <c r="S1938" s="22">
        <v>7.5</v>
      </c>
    </row>
    <row r="1939" ht="15.75" customHeight="1">
      <c r="A1939" s="7" t="s">
        <v>2734</v>
      </c>
      <c r="B1939" s="8" t="str">
        <f>IFERROR(__xludf.DUMMYFUNCTION("REGEXREPLACE(A1939, ""[^0-9a-zA-Z .'Ã]"","""")"),"Alexander Payne")</f>
        <v>Alexander Payne</v>
      </c>
      <c r="C1939" s="9">
        <v>433.0</v>
      </c>
      <c r="D1939" s="10">
        <v>1.761346E7</v>
      </c>
      <c r="E1939" s="9" t="s">
        <v>5184</v>
      </c>
      <c r="F1939" s="9">
        <f t="shared" si="1"/>
        <v>3</v>
      </c>
      <c r="G1939" s="9" t="s">
        <v>3993</v>
      </c>
      <c r="H1939" s="11" t="str">
        <f>IFERROR(__xludf.DUMMYFUNCTION("REGEXREPLACE(G1939, ""[^0-9a-zA-Z .'Ã]"","""")"),"Devin Ratray")</f>
        <v>Devin Ratray</v>
      </c>
      <c r="I1939" s="11" t="s">
        <v>6544</v>
      </c>
      <c r="J1939" s="9">
        <v>91082.0</v>
      </c>
      <c r="K1939" s="9" t="s">
        <v>6545</v>
      </c>
      <c r="L1939" s="9">
        <v>274.0</v>
      </c>
      <c r="M1939" s="9" t="s">
        <v>24</v>
      </c>
      <c r="N1939" s="9" t="s">
        <v>25</v>
      </c>
      <c r="O1939" s="10">
        <v>1.2E7</v>
      </c>
      <c r="P1939" s="10">
        <f t="shared" si="2"/>
        <v>5613460</v>
      </c>
      <c r="Q1939" s="12">
        <f t="shared" si="3"/>
        <v>0</v>
      </c>
      <c r="R1939" s="9">
        <v>2013.0</v>
      </c>
      <c r="S1939" s="9">
        <v>7.8</v>
      </c>
    </row>
    <row r="1940" ht="15.75" customHeight="1">
      <c r="A1940" s="7" t="s">
        <v>4543</v>
      </c>
      <c r="B1940" s="8" t="str">
        <f>IFERROR(__xludf.DUMMYFUNCTION("REGEXREPLACE(A1940, ""[^0-9a-zA-Z .'Ã]"","""")"),"Boaz Yakin")</f>
        <v>Boaz Yakin</v>
      </c>
      <c r="C1940" s="9">
        <v>61.0</v>
      </c>
      <c r="D1940" s="10">
        <v>4.2652003E7</v>
      </c>
      <c r="E1940" s="9" t="s">
        <v>5679</v>
      </c>
      <c r="F1940" s="9">
        <f t="shared" si="1"/>
        <v>2</v>
      </c>
      <c r="G1940" s="9" t="s">
        <v>3708</v>
      </c>
      <c r="H1940" s="11" t="str">
        <f>IFERROR(__xludf.DUMMYFUNCTION("REGEXREPLACE(G1940, ""[^0-9a-zA-Z .'Ã]"","""")"),"Jay Hernandez")</f>
        <v>Jay Hernandez</v>
      </c>
      <c r="I1940" s="11" t="s">
        <v>6546</v>
      </c>
      <c r="J1940" s="9">
        <v>18915.0</v>
      </c>
      <c r="K1940" s="9" t="s">
        <v>6547</v>
      </c>
      <c r="L1940" s="9">
        <v>87.0</v>
      </c>
      <c r="M1940" s="9" t="s">
        <v>24</v>
      </c>
      <c r="N1940" s="9" t="s">
        <v>25</v>
      </c>
      <c r="O1940" s="10">
        <v>2.0E7</v>
      </c>
      <c r="P1940" s="10">
        <f t="shared" si="2"/>
        <v>22652003</v>
      </c>
      <c r="Q1940" s="12">
        <f t="shared" si="3"/>
        <v>0</v>
      </c>
      <c r="R1940" s="9">
        <v>2015.0</v>
      </c>
      <c r="S1940" s="9">
        <v>6.8</v>
      </c>
    </row>
    <row r="1941" ht="15.75" customHeight="1">
      <c r="A1941" s="21" t="s">
        <v>1458</v>
      </c>
      <c r="B1941" s="8" t="str">
        <f>IFERROR(__xludf.DUMMYFUNCTION("REGEXREPLACE(A1941, ""[^0-9a-zA-Z .'Ã]"","""")"),"Bobby Farrelly")</f>
        <v>Bobby Farrelly</v>
      </c>
      <c r="C1941" s="22">
        <v>218.0</v>
      </c>
      <c r="D1941" s="23">
        <v>8.620801E7</v>
      </c>
      <c r="E1941" s="22" t="s">
        <v>137</v>
      </c>
      <c r="F1941" s="9">
        <f t="shared" si="1"/>
        <v>1</v>
      </c>
      <c r="G1941" s="22" t="s">
        <v>470</v>
      </c>
      <c r="H1941" s="11" t="str">
        <f>IFERROR(__xludf.DUMMYFUNCTION("REGEXREPLACE(G1941, ""[^0-9a-zA-Z .'Ã]"","""")"),"Bill Murray")</f>
        <v>Bill Murray</v>
      </c>
      <c r="I1941" s="24" t="s">
        <v>6548</v>
      </c>
      <c r="J1941" s="22">
        <v>97045.0</v>
      </c>
      <c r="K1941" s="22" t="s">
        <v>6549</v>
      </c>
      <c r="L1941" s="22">
        <v>285.0</v>
      </c>
      <c r="M1941" s="22" t="s">
        <v>24</v>
      </c>
      <c r="N1941" s="22" t="s">
        <v>25</v>
      </c>
      <c r="O1941" s="23">
        <v>3.5E7</v>
      </c>
      <c r="P1941" s="10">
        <f t="shared" si="2"/>
        <v>51208010</v>
      </c>
      <c r="Q1941" s="12">
        <f t="shared" si="3"/>
        <v>0</v>
      </c>
      <c r="R1941" s="22">
        <v>2014.0</v>
      </c>
      <c r="S1941" s="22">
        <v>5.7</v>
      </c>
    </row>
    <row r="1942" ht="15.75" customHeight="1">
      <c r="A1942" s="7" t="s">
        <v>1003</v>
      </c>
      <c r="B1942" s="8" t="str">
        <f>IFERROR(__xludf.DUMMYFUNCTION("REGEXREPLACE(A1942, ""[^0-9a-zA-Z .'Ã]"","""")"),"Morgan Spurlock")</f>
        <v>Morgan Spurlock</v>
      </c>
      <c r="C1942" s="9">
        <v>130.0</v>
      </c>
      <c r="D1942" s="10">
        <v>638476.0</v>
      </c>
      <c r="E1942" s="9" t="s">
        <v>3781</v>
      </c>
      <c r="F1942" s="9">
        <f t="shared" si="1"/>
        <v>2</v>
      </c>
      <c r="G1942" s="9" t="s">
        <v>53</v>
      </c>
      <c r="H1942" s="11" t="str">
        <f>IFERROR(__xludf.DUMMYFUNCTION("REGEXREPLACE(G1942, ""[^0-9a-zA-Z .'Ã]"","""")"),"Quentin Tarantino")</f>
        <v>Quentin Tarantino</v>
      </c>
      <c r="I1942" s="11" t="s">
        <v>6550</v>
      </c>
      <c r="J1942" s="9">
        <v>13223.0</v>
      </c>
      <c r="K1942" s="9" t="s">
        <v>6551</v>
      </c>
      <c r="L1942" s="9">
        <v>45.0</v>
      </c>
      <c r="M1942" s="9" t="s">
        <v>24</v>
      </c>
      <c r="N1942" s="9" t="s">
        <v>25</v>
      </c>
      <c r="O1942" s="10">
        <v>1500000.0</v>
      </c>
      <c r="P1942" s="10">
        <f t="shared" si="2"/>
        <v>0</v>
      </c>
      <c r="Q1942" s="12">
        <f t="shared" si="3"/>
        <v>861524</v>
      </c>
      <c r="R1942" s="9">
        <v>2011.0</v>
      </c>
      <c r="S1942" s="9">
        <v>6.6</v>
      </c>
    </row>
    <row r="1943" ht="15.75" customHeight="1">
      <c r="A1943" s="7" t="s">
        <v>4068</v>
      </c>
      <c r="B1943" s="8" t="str">
        <f>IFERROR(__xludf.DUMMYFUNCTION("REGEXREPLACE(A1943, ""[^0-9a-zA-Z .'Ã]"","""")"),"Mel Gibson")</f>
        <v>Mel Gibson</v>
      </c>
      <c r="C1943" s="9">
        <v>406.0</v>
      </c>
      <c r="D1943" s="10">
        <v>499263.0</v>
      </c>
      <c r="E1943" s="9" t="s">
        <v>103</v>
      </c>
      <c r="F1943" s="9">
        <f t="shared" si="1"/>
        <v>1</v>
      </c>
      <c r="G1943" s="9" t="s">
        <v>6552</v>
      </c>
      <c r="H1943" s="11" t="str">
        <f>IFERROR(__xludf.DUMMYFUNCTION("REGEXREPLACE(G1943, ""[^0-9a-zA-Z .'Ã]"","""")"),"Christo Jivkov")</f>
        <v>Christo Jivkov</v>
      </c>
      <c r="I1943" s="11" t="s">
        <v>6553</v>
      </c>
      <c r="J1943" s="9">
        <v>179235.0</v>
      </c>
      <c r="K1943" s="9" t="s">
        <v>6554</v>
      </c>
      <c r="L1943" s="9">
        <v>2814.0</v>
      </c>
      <c r="M1943" s="9" t="s">
        <v>6555</v>
      </c>
      <c r="N1943" s="9" t="s">
        <v>25</v>
      </c>
      <c r="O1943" s="10">
        <v>3.0E7</v>
      </c>
      <c r="P1943" s="10">
        <f t="shared" si="2"/>
        <v>0</v>
      </c>
      <c r="Q1943" s="12">
        <f t="shared" si="3"/>
        <v>29500737</v>
      </c>
      <c r="R1943" s="9">
        <v>2004.0</v>
      </c>
      <c r="S1943" s="9">
        <v>7.1</v>
      </c>
    </row>
    <row r="1944" ht="15.75" customHeight="1">
      <c r="A1944" s="25" t="s">
        <v>6556</v>
      </c>
      <c r="B1944" s="8" t="str">
        <f>IFERROR(__xludf.DUMMYFUNCTION("REGEXREPLACE(A1944, ""[^0-9a-zA-Z .'Ã]"","""")"),"Jim Gillespie")</f>
        <v>Jim Gillespie</v>
      </c>
      <c r="C1944" s="26">
        <v>140.0</v>
      </c>
      <c r="D1944" s="27">
        <v>7.2219395E7</v>
      </c>
      <c r="E1944" s="26" t="s">
        <v>94</v>
      </c>
      <c r="F1944" s="9">
        <f t="shared" si="1"/>
        <v>3</v>
      </c>
      <c r="G1944" s="26" t="s">
        <v>1471</v>
      </c>
      <c r="H1944" s="11" t="str">
        <f>IFERROR(__xludf.DUMMYFUNCTION("REGEXREPLACE(G1944, ""[^0-9a-zA-Z .'Ã]"","""")"),"Muse Watson")</f>
        <v>Muse Watson</v>
      </c>
      <c r="I1944" s="28" t="s">
        <v>6557</v>
      </c>
      <c r="J1944" s="26">
        <v>105585.0</v>
      </c>
      <c r="K1944" s="26" t="s">
        <v>6558</v>
      </c>
      <c r="L1944" s="26">
        <v>419.0</v>
      </c>
      <c r="M1944" s="26" t="s">
        <v>24</v>
      </c>
      <c r="N1944" s="26" t="s">
        <v>25</v>
      </c>
      <c r="O1944" s="27">
        <v>1.7E7</v>
      </c>
      <c r="P1944" s="10">
        <f t="shared" si="2"/>
        <v>55219395</v>
      </c>
      <c r="Q1944" s="12">
        <f t="shared" si="3"/>
        <v>0</v>
      </c>
      <c r="R1944" s="26">
        <v>1997.0</v>
      </c>
      <c r="S1944" s="26">
        <v>5.6</v>
      </c>
    </row>
    <row r="1945" ht="15.75" customHeight="1">
      <c r="A1945" s="7" t="s">
        <v>3181</v>
      </c>
      <c r="B1945" s="8" t="str">
        <f>IFERROR(__xludf.DUMMYFUNCTION("REGEXREPLACE(A1945, ""[^0-9a-zA-Z .'Ã]"","""")"),"Guy Ritchie")</f>
        <v>Guy Ritchie</v>
      </c>
      <c r="C1945" s="9">
        <v>362.0</v>
      </c>
      <c r="D1945" s="10">
        <v>4.5434443E7</v>
      </c>
      <c r="E1945" s="9" t="s">
        <v>1879</v>
      </c>
      <c r="F1945" s="9">
        <f t="shared" si="1"/>
        <v>3</v>
      </c>
      <c r="G1945" s="9" t="s">
        <v>1307</v>
      </c>
      <c r="H1945" s="11" t="str">
        <f>IFERROR(__xludf.DUMMYFUNCTION("REGEXREPLACE(G1945, ""[^0-9a-zA-Z .'Ã]"","""")"),"Henry Cavill")</f>
        <v>Henry Cavill</v>
      </c>
      <c r="I1945" s="11" t="s">
        <v>6559</v>
      </c>
      <c r="J1945" s="9">
        <v>175960.0</v>
      </c>
      <c r="K1945" s="9" t="s">
        <v>6560</v>
      </c>
      <c r="L1945" s="9">
        <v>360.0</v>
      </c>
      <c r="M1945" s="9" t="s">
        <v>24</v>
      </c>
      <c r="N1945" s="9" t="s">
        <v>25</v>
      </c>
      <c r="O1945" s="10">
        <v>7.5E7</v>
      </c>
      <c r="P1945" s="10">
        <f t="shared" si="2"/>
        <v>0</v>
      </c>
      <c r="Q1945" s="12">
        <f t="shared" si="3"/>
        <v>29565557</v>
      </c>
      <c r="R1945" s="9">
        <v>2015.0</v>
      </c>
      <c r="S1945" s="9">
        <v>7.3</v>
      </c>
    </row>
    <row r="1946" ht="15.75" customHeight="1">
      <c r="A1946" s="25" t="s">
        <v>6561</v>
      </c>
      <c r="B1946" s="8" t="str">
        <f>IFERROR(__xludf.DUMMYFUNCTION("REGEXREPLACE(A1946, ""[^0-9a-zA-Z .'Ã]"","""")"),"Wally Pfister")</f>
        <v>Wally Pfister</v>
      </c>
      <c r="C1946" s="26">
        <v>355.0</v>
      </c>
      <c r="D1946" s="27">
        <v>2.3014504E7</v>
      </c>
      <c r="E1946" s="26" t="s">
        <v>6562</v>
      </c>
      <c r="F1946" s="9">
        <f t="shared" si="1"/>
        <v>5</v>
      </c>
      <c r="G1946" s="26" t="s">
        <v>85</v>
      </c>
      <c r="H1946" s="11" t="str">
        <f>IFERROR(__xludf.DUMMYFUNCTION("REGEXREPLACE(G1946, ""[^0-9a-zA-Z .'Ã]"","""")"),"Johnny Depp")</f>
        <v>Johnny Depp</v>
      </c>
      <c r="I1946" s="28" t="s">
        <v>6563</v>
      </c>
      <c r="J1946" s="26">
        <v>172707.0</v>
      </c>
      <c r="K1946" s="26" t="s">
        <v>6564</v>
      </c>
      <c r="L1946" s="26">
        <v>462.0</v>
      </c>
      <c r="M1946" s="26" t="s">
        <v>24</v>
      </c>
      <c r="N1946" s="26" t="s">
        <v>130</v>
      </c>
      <c r="O1946" s="27">
        <v>1.0E8</v>
      </c>
      <c r="P1946" s="10">
        <f t="shared" si="2"/>
        <v>0</v>
      </c>
      <c r="Q1946" s="12">
        <f t="shared" si="3"/>
        <v>76985496</v>
      </c>
      <c r="R1946" s="26">
        <v>2014.0</v>
      </c>
      <c r="S1946" s="26">
        <v>6.3</v>
      </c>
    </row>
    <row r="1947" ht="15.75" customHeight="1">
      <c r="A1947" s="21" t="s">
        <v>6565</v>
      </c>
      <c r="B1947" s="8" t="str">
        <f>IFERROR(__xludf.DUMMYFUNCTION("REGEXREPLACE(A1947, ""[^0-9a-zA-Z .'Ã]"","""")"),"Khyentse Norbu")</f>
        <v>Khyentse Norbu</v>
      </c>
      <c r="C1947" s="22">
        <v>44.0</v>
      </c>
      <c r="D1947" s="23">
        <v>505295.0</v>
      </c>
      <c r="E1947" s="22" t="s">
        <v>892</v>
      </c>
      <c r="F1947" s="9">
        <f t="shared" si="1"/>
        <v>2</v>
      </c>
      <c r="G1947" s="22" t="s">
        <v>6566</v>
      </c>
      <c r="H1947" s="11" t="str">
        <f>IFERROR(__xludf.DUMMYFUNCTION("REGEXREPLACE(G1947, ""[^0-9a-zA-Z .'Ã]"","""")"),"Tshewang Dendup")</f>
        <v>Tshewang Dendup</v>
      </c>
      <c r="I1947" s="24" t="s">
        <v>6567</v>
      </c>
      <c r="J1947" s="22">
        <v>1747.0</v>
      </c>
      <c r="K1947" s="22" t="s">
        <v>6568</v>
      </c>
      <c r="L1947" s="22">
        <v>28.0</v>
      </c>
      <c r="M1947" s="22" t="s">
        <v>6569</v>
      </c>
      <c r="N1947" s="22" t="s">
        <v>146</v>
      </c>
      <c r="O1947" s="23">
        <v>1800000.0</v>
      </c>
      <c r="P1947" s="10">
        <f t="shared" si="2"/>
        <v>0</v>
      </c>
      <c r="Q1947" s="12">
        <f t="shared" si="3"/>
        <v>1294705</v>
      </c>
      <c r="R1947" s="22">
        <v>2003.0</v>
      </c>
      <c r="S1947" s="22">
        <v>7.5</v>
      </c>
    </row>
    <row r="1948" ht="15.75" customHeight="1">
      <c r="A1948" s="21" t="s">
        <v>6570</v>
      </c>
      <c r="B1948" s="8" t="str">
        <f>IFERROR(__xludf.DUMMYFUNCTION("REGEXREPLACE(A1948, ""[^0-9a-zA-Z .'Ã]"","""")"),"Charles Chaplin")</f>
        <v>Charles Chaplin</v>
      </c>
      <c r="C1948" s="22">
        <v>120.0</v>
      </c>
      <c r="D1948" s="23">
        <v>163245.0</v>
      </c>
      <c r="E1948" s="22" t="s">
        <v>1486</v>
      </c>
      <c r="F1948" s="9">
        <f t="shared" si="1"/>
        <v>3</v>
      </c>
      <c r="G1948" s="22" t="s">
        <v>6571</v>
      </c>
      <c r="H1948" s="11" t="str">
        <f>IFERROR(__xludf.DUMMYFUNCTION("REGEXREPLACE(G1948, ""[^0-9a-zA-Z .'Ã]"","""")"),"Paulette Goddard")</f>
        <v>Paulette Goddard</v>
      </c>
      <c r="I1948" s="24" t="s">
        <v>6572</v>
      </c>
      <c r="J1948" s="22">
        <v>143086.0</v>
      </c>
      <c r="K1948" s="22" t="s">
        <v>6573</v>
      </c>
      <c r="L1948" s="22">
        <v>211.0</v>
      </c>
      <c r="M1948" s="22" t="s">
        <v>24</v>
      </c>
      <c r="N1948" s="22" t="s">
        <v>25</v>
      </c>
      <c r="O1948" s="23">
        <v>1500000.0</v>
      </c>
      <c r="P1948" s="10">
        <f t="shared" si="2"/>
        <v>0</v>
      </c>
      <c r="Q1948" s="12">
        <f t="shared" si="3"/>
        <v>1336755</v>
      </c>
      <c r="R1948" s="22">
        <v>1936.0</v>
      </c>
      <c r="S1948" s="22">
        <v>8.6</v>
      </c>
    </row>
    <row r="1949" ht="15.75" customHeight="1">
      <c r="A1949" s="7" t="s">
        <v>6574</v>
      </c>
      <c r="B1949" s="8" t="str">
        <f>IFERROR(__xludf.DUMMYFUNCTION("REGEXREPLACE(A1949, ""[^0-9a-zA-Z .'Ã]"","""")"),"Risa Bramon Garcia")</f>
        <v>Risa Bramon Garcia</v>
      </c>
      <c r="C1949" s="9">
        <v>67.0</v>
      </c>
      <c r="D1949" s="10">
        <v>6851636.0</v>
      </c>
      <c r="E1949" s="9" t="s">
        <v>159</v>
      </c>
      <c r="F1949" s="9">
        <f t="shared" si="1"/>
        <v>3</v>
      </c>
      <c r="G1949" s="9" t="s">
        <v>2572</v>
      </c>
      <c r="H1949" s="11" t="str">
        <f>IFERROR(__xludf.DUMMYFUNCTION("REGEXREPLACE(G1949, ""[^0-9a-zA-Z .'Ã]"","""")"),"Janeane Garofalo")</f>
        <v>Janeane Garofalo</v>
      </c>
      <c r="I1949" s="11" t="s">
        <v>6575</v>
      </c>
      <c r="J1949" s="9">
        <v>13010.0</v>
      </c>
      <c r="K1949" s="9" t="s">
        <v>6576</v>
      </c>
      <c r="L1949" s="9">
        <v>182.0</v>
      </c>
      <c r="M1949" s="9" t="s">
        <v>24</v>
      </c>
      <c r="N1949" s="9" t="s">
        <v>25</v>
      </c>
      <c r="O1949" s="10">
        <v>6000000.0</v>
      </c>
      <c r="P1949" s="10">
        <f t="shared" si="2"/>
        <v>851636</v>
      </c>
      <c r="Q1949" s="12">
        <f t="shared" si="3"/>
        <v>0</v>
      </c>
      <c r="R1949" s="9">
        <v>1999.0</v>
      </c>
      <c r="S1949" s="9">
        <v>5.9</v>
      </c>
    </row>
    <row r="1950" ht="15.75" customHeight="1">
      <c r="A1950" s="21" t="s">
        <v>3807</v>
      </c>
      <c r="B1950" s="8" t="str">
        <f>IFERROR(__xludf.DUMMYFUNCTION("REGEXREPLACE(A1950, ""[^0-9a-zA-Z .'Ã]"","""")"),"Ronny Yu")</f>
        <v>Ronny Yu</v>
      </c>
      <c r="C1950" s="22">
        <v>273.0</v>
      </c>
      <c r="D1950" s="23">
        <v>8.2163317E7</v>
      </c>
      <c r="E1950" s="22" t="s">
        <v>2745</v>
      </c>
      <c r="F1950" s="9">
        <f t="shared" si="1"/>
        <v>3</v>
      </c>
      <c r="G1950" s="22" t="s">
        <v>6577</v>
      </c>
      <c r="H1950" s="11" t="str">
        <f>IFERROR(__xludf.DUMMYFUNCTION("REGEXREPLACE(G1950, ""[^0-9a-zA-Z .'Ã]"","""")"),"Katharine Isabelle")</f>
        <v>Katharine Isabelle</v>
      </c>
      <c r="I1950" s="24" t="s">
        <v>6578</v>
      </c>
      <c r="J1950" s="22">
        <v>89101.0</v>
      </c>
      <c r="K1950" s="22" t="s">
        <v>6579</v>
      </c>
      <c r="L1950" s="22">
        <v>885.0</v>
      </c>
      <c r="M1950" s="22" t="s">
        <v>24</v>
      </c>
      <c r="N1950" s="22" t="s">
        <v>25</v>
      </c>
      <c r="O1950" s="23">
        <v>3.0E7</v>
      </c>
      <c r="P1950" s="10">
        <f t="shared" si="2"/>
        <v>52163317</v>
      </c>
      <c r="Q1950" s="12">
        <f t="shared" si="3"/>
        <v>0</v>
      </c>
      <c r="R1950" s="22">
        <v>2003.0</v>
      </c>
      <c r="S1950" s="22">
        <v>5.8</v>
      </c>
    </row>
    <row r="1951" ht="15.75" customHeight="1">
      <c r="A1951" s="21" t="s">
        <v>654</v>
      </c>
      <c r="B1951" s="8" t="str">
        <f>IFERROR(__xludf.DUMMYFUNCTION("REGEXREPLACE(A1951, ""[^0-9a-zA-Z -.'Ã]"","""")"),"Jean-Pierre Jeunet")</f>
        <v>Jean-Pierre Jeunet</v>
      </c>
      <c r="C1951" s="22">
        <v>122.0</v>
      </c>
      <c r="D1951" s="23">
        <v>99462.0</v>
      </c>
      <c r="E1951" s="22" t="s">
        <v>6580</v>
      </c>
      <c r="F1951" s="9">
        <f t="shared" si="1"/>
        <v>4</v>
      </c>
      <c r="G1951" s="22" t="s">
        <v>6330</v>
      </c>
      <c r="H1951" s="11" t="str">
        <f>IFERROR(__xludf.DUMMYFUNCTION("REGEXREPLACE(G1951, ""[^0-9a-zA-Z .'Ã]"","""")"),"Callum Rennie")</f>
        <v>Callum Rennie</v>
      </c>
      <c r="I1951" s="24" t="s">
        <v>6581</v>
      </c>
      <c r="J1951" s="22">
        <v>11347.0</v>
      </c>
      <c r="K1951" s="22" t="s">
        <v>6582</v>
      </c>
      <c r="L1951" s="22">
        <v>28.0</v>
      </c>
      <c r="M1951" s="22" t="s">
        <v>24</v>
      </c>
      <c r="N1951" s="22" t="s">
        <v>608</v>
      </c>
      <c r="O1951" s="23">
        <v>3.3E7</v>
      </c>
      <c r="P1951" s="10">
        <f t="shared" si="2"/>
        <v>0</v>
      </c>
      <c r="Q1951" s="12">
        <f t="shared" si="3"/>
        <v>32900538</v>
      </c>
      <c r="R1951" s="22">
        <v>2013.0</v>
      </c>
      <c r="S1951" s="22">
        <v>7.1</v>
      </c>
    </row>
    <row r="1952" ht="15.75" customHeight="1">
      <c r="A1952" s="17" t="s">
        <v>355</v>
      </c>
      <c r="B1952" s="8" t="str">
        <f>IFERROR(__xludf.DUMMYFUNCTION("REGEXREPLACE(A1952, ""[^0-9a-zA-Z .'Ã]"","""")"),"Antoine Fuqua")</f>
        <v>Antoine Fuqua</v>
      </c>
      <c r="C1952" s="18">
        <v>109.0</v>
      </c>
      <c r="D1952" s="19">
        <v>7.6261036E7</v>
      </c>
      <c r="E1952" s="18" t="s">
        <v>113</v>
      </c>
      <c r="F1952" s="9">
        <f t="shared" si="1"/>
        <v>3</v>
      </c>
      <c r="G1952" s="18" t="s">
        <v>70</v>
      </c>
      <c r="H1952" s="11" t="str">
        <f>IFERROR(__xludf.DUMMYFUNCTION("REGEXREPLACE(G1952, ""[^0-9a-zA-Z .'Ã]"","""")"),"Denzel Washington")</f>
        <v>Denzel Washington</v>
      </c>
      <c r="I1952" s="20" t="s">
        <v>6583</v>
      </c>
      <c r="J1952" s="18">
        <v>305929.0</v>
      </c>
      <c r="K1952" s="18" t="s">
        <v>6584</v>
      </c>
      <c r="L1952" s="18">
        <v>633.0</v>
      </c>
      <c r="M1952" s="18" t="s">
        <v>24</v>
      </c>
      <c r="N1952" s="18" t="s">
        <v>25</v>
      </c>
      <c r="O1952" s="19">
        <v>4.5E7</v>
      </c>
      <c r="P1952" s="10">
        <f t="shared" si="2"/>
        <v>31261036</v>
      </c>
      <c r="Q1952" s="12">
        <f t="shared" si="3"/>
        <v>0</v>
      </c>
      <c r="R1952" s="18">
        <v>2001.0</v>
      </c>
      <c r="S1952" s="18">
        <v>7.7</v>
      </c>
    </row>
    <row r="1953" ht="15.75" customHeight="1">
      <c r="A1953" s="13" t="s">
        <v>1382</v>
      </c>
      <c r="B1953" s="8" t="str">
        <f>IFERROR(__xludf.DUMMYFUNCTION("REGEXREPLACE(A1953, ""[^0-9a-zA-Z .'Ã]"","""")"),"Tom Vaughan")</f>
        <v>Tom Vaughan</v>
      </c>
      <c r="C1953" s="14">
        <v>126.0</v>
      </c>
      <c r="D1953" s="15">
        <v>1.1854694E7</v>
      </c>
      <c r="E1953" s="14" t="s">
        <v>103</v>
      </c>
      <c r="F1953" s="9">
        <f t="shared" si="1"/>
        <v>1</v>
      </c>
      <c r="G1953" s="14" t="s">
        <v>637</v>
      </c>
      <c r="H1953" s="11" t="str">
        <f>IFERROR(__xludf.DUMMYFUNCTION("REGEXREPLACE(G1953, ""[^0-9a-zA-Z .'Ã]"","""")"),"Harrison Ford")</f>
        <v>Harrison Ford</v>
      </c>
      <c r="I1953" s="16" t="s">
        <v>6585</v>
      </c>
      <c r="J1953" s="14">
        <v>14281.0</v>
      </c>
      <c r="K1953" s="14" t="s">
        <v>6586</v>
      </c>
      <c r="L1953" s="14">
        <v>64.0</v>
      </c>
      <c r="M1953" s="14" t="s">
        <v>24</v>
      </c>
      <c r="N1953" s="14" t="s">
        <v>25</v>
      </c>
      <c r="O1953" s="15">
        <v>3.1E7</v>
      </c>
      <c r="P1953" s="10">
        <f t="shared" si="2"/>
        <v>0</v>
      </c>
      <c r="Q1953" s="12">
        <f t="shared" si="3"/>
        <v>19145306</v>
      </c>
      <c r="R1953" s="14">
        <v>2010.0</v>
      </c>
      <c r="S1953" s="14">
        <v>6.5</v>
      </c>
    </row>
    <row r="1954" ht="15.75" customHeight="1">
      <c r="A1954" s="17" t="s">
        <v>6587</v>
      </c>
      <c r="B1954" s="8" t="str">
        <f>IFERROR(__xludf.DUMMYFUNCTION("REGEXREPLACE(A1954, ""[^0-9a-zA-Z .'Ã]"","""")"),"Denis Villeneuve")</f>
        <v>Denis Villeneuve</v>
      </c>
      <c r="C1954" s="18">
        <v>226.0</v>
      </c>
      <c r="D1954" s="19">
        <v>6857096.0</v>
      </c>
      <c r="E1954" s="18" t="s">
        <v>6588</v>
      </c>
      <c r="F1954" s="9">
        <f t="shared" si="1"/>
        <v>3</v>
      </c>
      <c r="G1954" s="18" t="s">
        <v>6589</v>
      </c>
      <c r="H1954" s="11" t="str">
        <f>IFERROR(__xludf.DUMMYFUNCTION("REGEXREPLACE(G1954, ""[^0-9a-zA-Z .'Ã]"","""")"),"Lubna Azabal")</f>
        <v>Lubna Azabal</v>
      </c>
      <c r="I1954" s="20" t="s">
        <v>6590</v>
      </c>
      <c r="J1954" s="18">
        <v>80429.0</v>
      </c>
      <c r="K1954" s="18" t="s">
        <v>6591</v>
      </c>
      <c r="L1954" s="18">
        <v>156.0</v>
      </c>
      <c r="M1954" s="18" t="s">
        <v>658</v>
      </c>
      <c r="N1954" s="18" t="s">
        <v>624</v>
      </c>
      <c r="O1954" s="19">
        <v>6800000.0</v>
      </c>
      <c r="P1954" s="10">
        <f t="shared" si="2"/>
        <v>57096</v>
      </c>
      <c r="Q1954" s="12">
        <f t="shared" si="3"/>
        <v>0</v>
      </c>
      <c r="R1954" s="18">
        <v>2010.0</v>
      </c>
      <c r="S1954" s="18">
        <v>8.2</v>
      </c>
    </row>
    <row r="1955" ht="15.75" customHeight="1">
      <c r="A1955" s="17" t="s">
        <v>1474</v>
      </c>
      <c r="B1955" s="8" t="str">
        <f>IFERROR(__xludf.DUMMYFUNCTION("REGEXREPLACE(A1955, ""[^0-9a-zA-Z .'Ã]"","""")"),"Guillermo del Toro")</f>
        <v>Guillermo del Toro</v>
      </c>
      <c r="C1955" s="18">
        <v>575.0</v>
      </c>
      <c r="D1955" s="19">
        <v>1.01785482E8</v>
      </c>
      <c r="E1955" s="18" t="s">
        <v>185</v>
      </c>
      <c r="F1955" s="9">
        <f t="shared" si="1"/>
        <v>3</v>
      </c>
      <c r="G1955" s="18" t="s">
        <v>1753</v>
      </c>
      <c r="H1955" s="11" t="str">
        <f>IFERROR(__xludf.DUMMYFUNCTION("REGEXREPLACE(G1955, ""[^0-9a-zA-Z .'Ã]"","""")"),"Charlie Hunnam")</f>
        <v>Charlie Hunnam</v>
      </c>
      <c r="I1955" s="20" t="s">
        <v>6592</v>
      </c>
      <c r="J1955" s="18">
        <v>381148.0</v>
      </c>
      <c r="K1955" s="18" t="s">
        <v>6593</v>
      </c>
      <c r="L1955" s="18">
        <v>1106.0</v>
      </c>
      <c r="M1955" s="18" t="s">
        <v>24</v>
      </c>
      <c r="N1955" s="18" t="s">
        <v>25</v>
      </c>
      <c r="O1955" s="19">
        <v>1.9E8</v>
      </c>
      <c r="P1955" s="10">
        <f t="shared" si="2"/>
        <v>0</v>
      </c>
      <c r="Q1955" s="12">
        <f t="shared" si="3"/>
        <v>88214518</v>
      </c>
      <c r="R1955" s="18">
        <v>2013.0</v>
      </c>
      <c r="S1955" s="18">
        <v>7.0</v>
      </c>
    </row>
    <row r="1956" ht="15.75" customHeight="1">
      <c r="A1956" s="25" t="s">
        <v>3625</v>
      </c>
      <c r="B1956" s="8" t="str">
        <f>IFERROR(__xludf.DUMMYFUNCTION("REGEXREPLACE(A1956, ""[^0-9a-zA-Z .'Ã]"","""")"),"Frank Darabont")</f>
        <v>Frank Darabont</v>
      </c>
      <c r="C1956" s="26">
        <v>199.0</v>
      </c>
      <c r="D1956" s="27">
        <v>2.8341469E7</v>
      </c>
      <c r="E1956" s="26" t="s">
        <v>54</v>
      </c>
      <c r="F1956" s="9">
        <f t="shared" si="1"/>
        <v>2</v>
      </c>
      <c r="G1956" s="26" t="s">
        <v>170</v>
      </c>
      <c r="H1956" s="11" t="str">
        <f>IFERROR(__xludf.DUMMYFUNCTION("REGEXREPLACE(G1956, ""[^0-9a-zA-Z .'Ã]"","""")"),"Morgan Freeman")</f>
        <v>Morgan Freeman</v>
      </c>
      <c r="I1956" s="28" t="s">
        <v>6594</v>
      </c>
      <c r="J1956" s="26">
        <v>1689764.0</v>
      </c>
      <c r="K1956" s="26" t="s">
        <v>6595</v>
      </c>
      <c r="L1956" s="26">
        <v>4144.0</v>
      </c>
      <c r="M1956" s="26" t="s">
        <v>24</v>
      </c>
      <c r="N1956" s="26" t="s">
        <v>25</v>
      </c>
      <c r="O1956" s="27">
        <v>2.5E7</v>
      </c>
      <c r="P1956" s="10">
        <f t="shared" si="2"/>
        <v>3341469</v>
      </c>
      <c r="Q1956" s="12">
        <f t="shared" si="3"/>
        <v>0</v>
      </c>
      <c r="R1956" s="26">
        <v>1994.0</v>
      </c>
      <c r="S1956" s="26">
        <v>9.3</v>
      </c>
    </row>
    <row r="1957" ht="15.75" customHeight="1">
      <c r="A1957" s="29" t="s">
        <v>6596</v>
      </c>
      <c r="B1957" s="8" t="str">
        <f>IFERROR(__xludf.DUMMYFUNCTION("REGEXREPLACE(A1957, ""[^0-9a-zA-Z .'Ã]"","""")"),"Chris Gorak")</f>
        <v>Chris Gorak</v>
      </c>
      <c r="C1957" s="30">
        <v>195.0</v>
      </c>
      <c r="D1957" s="31">
        <v>2.1426805E7</v>
      </c>
      <c r="E1957" s="30" t="s">
        <v>3523</v>
      </c>
      <c r="F1957" s="9">
        <f t="shared" si="1"/>
        <v>5</v>
      </c>
      <c r="G1957" s="30" t="s">
        <v>5344</v>
      </c>
      <c r="H1957" s="11" t="str">
        <f>IFERROR(__xludf.DUMMYFUNCTION("REGEXREPLACE(G1957, ""[^0-9a-zA-Z .'Ã]"","""")"),"Max Minghella")</f>
        <v>Max Minghella</v>
      </c>
      <c r="I1957" s="32" t="s">
        <v>6597</v>
      </c>
      <c r="J1957" s="30">
        <v>49312.0</v>
      </c>
      <c r="K1957" s="30" t="s">
        <v>6598</v>
      </c>
      <c r="L1957" s="30">
        <v>211.0</v>
      </c>
      <c r="M1957" s="30" t="s">
        <v>24</v>
      </c>
      <c r="N1957" s="30" t="s">
        <v>25</v>
      </c>
      <c r="O1957" s="31">
        <v>3.0E7</v>
      </c>
      <c r="P1957" s="10">
        <f t="shared" si="2"/>
        <v>0</v>
      </c>
      <c r="Q1957" s="12">
        <f t="shared" si="3"/>
        <v>8573195</v>
      </c>
      <c r="R1957" s="30">
        <v>2011.0</v>
      </c>
      <c r="S1957" s="30">
        <v>4.9</v>
      </c>
    </row>
    <row r="1958" ht="15.75" customHeight="1">
      <c r="A1958" s="7" t="s">
        <v>4432</v>
      </c>
      <c r="B1958" s="8" t="str">
        <f>IFERROR(__xludf.DUMMYFUNCTION("REGEXREPLACE(A1958, ""[^0-9a-zA-Z .'Ã]"","""")"),"Michael Corrente")</f>
        <v>Michael Corrente</v>
      </c>
      <c r="C1958" s="9">
        <v>72.0</v>
      </c>
      <c r="D1958" s="10">
        <v>7292175.0</v>
      </c>
      <c r="E1958" s="9" t="s">
        <v>159</v>
      </c>
      <c r="F1958" s="9">
        <f t="shared" si="1"/>
        <v>3</v>
      </c>
      <c r="G1958" s="9" t="s">
        <v>6599</v>
      </c>
      <c r="H1958" s="11" t="str">
        <f>IFERROR(__xludf.DUMMYFUNCTION("REGEXREPLACE(G1958, ""[^0-9a-zA-Z .'Ã]"","""")"),"Jonathan Brandis")</f>
        <v>Jonathan Brandis</v>
      </c>
      <c r="I1958" s="11" t="s">
        <v>6600</v>
      </c>
      <c r="J1958" s="9">
        <v>7736.0</v>
      </c>
      <c r="K1958" s="9" t="s">
        <v>6601</v>
      </c>
      <c r="L1958" s="9">
        <v>100.0</v>
      </c>
      <c r="M1958" s="9" t="s">
        <v>24</v>
      </c>
      <c r="N1958" s="9" t="s">
        <v>25</v>
      </c>
      <c r="O1958" s="10">
        <v>7000000.0</v>
      </c>
      <c r="P1958" s="10">
        <f t="shared" si="2"/>
        <v>292175</v>
      </c>
      <c r="Q1958" s="12">
        <f t="shared" si="3"/>
        <v>0</v>
      </c>
      <c r="R1958" s="9">
        <v>1999.0</v>
      </c>
      <c r="S1958" s="9">
        <v>6.4</v>
      </c>
    </row>
    <row r="1959" ht="15.75" customHeight="1">
      <c r="A1959" s="7" t="s">
        <v>368</v>
      </c>
      <c r="B1959" s="8" t="str">
        <f>IFERROR(__xludf.DUMMYFUNCTION("REGEXREPLACE(A1959, ""[^0-9a-zA-Z .'Ã]"","""")"),"Jon Turteltaub")</f>
        <v>Jon Turteltaub</v>
      </c>
      <c r="C1959" s="9">
        <v>39.0</v>
      </c>
      <c r="D1959" s="10">
        <v>6.8856263E7</v>
      </c>
      <c r="E1959" s="9" t="s">
        <v>6602</v>
      </c>
      <c r="F1959" s="9">
        <f t="shared" si="1"/>
        <v>4</v>
      </c>
      <c r="G1959" s="9" t="s">
        <v>6603</v>
      </c>
      <c r="H1959" s="11" t="str">
        <f>IFERROR(__xludf.DUMMYFUNCTION("REGEXREPLACE(G1959, ""[^0-9a-zA-Z .'Ã]"","""")"),"Doug E. Doug")</f>
        <v>Doug E. Doug</v>
      </c>
      <c r="I1959" s="11" t="s">
        <v>6604</v>
      </c>
      <c r="J1959" s="9">
        <v>69733.0</v>
      </c>
      <c r="K1959" s="9" t="s">
        <v>6605</v>
      </c>
      <c r="L1959" s="9">
        <v>97.0</v>
      </c>
      <c r="M1959" s="9" t="s">
        <v>24</v>
      </c>
      <c r="N1959" s="9" t="s">
        <v>25</v>
      </c>
      <c r="O1959" s="10">
        <v>1.5E7</v>
      </c>
      <c r="P1959" s="10">
        <f t="shared" si="2"/>
        <v>53856263</v>
      </c>
      <c r="Q1959" s="12">
        <f t="shared" si="3"/>
        <v>0</v>
      </c>
      <c r="R1959" s="9">
        <v>1993.0</v>
      </c>
      <c r="S1959" s="9">
        <v>6.9</v>
      </c>
    </row>
    <row r="1960" ht="15.75" customHeight="1">
      <c r="A1960" s="29" t="s">
        <v>2446</v>
      </c>
      <c r="B1960" s="8" t="str">
        <f>IFERROR(__xludf.DUMMYFUNCTION("REGEXREPLACE(A1960, ""[^0-9a-zA-Z .'Ã]"","""")"),"Brad Anderson")</f>
        <v>Brad Anderson</v>
      </c>
      <c r="C1960" s="30">
        <v>204.0</v>
      </c>
      <c r="D1960" s="31">
        <v>1082044.0</v>
      </c>
      <c r="E1960" s="30" t="s">
        <v>369</v>
      </c>
      <c r="F1960" s="9">
        <f t="shared" si="1"/>
        <v>2</v>
      </c>
      <c r="G1960" s="30" t="s">
        <v>1579</v>
      </c>
      <c r="H1960" s="11" t="str">
        <f>IFERROR(__xludf.DUMMYFUNCTION("REGEXREPLACE(G1960, ""[^0-9a-zA-Z .'Ã]"","""")"),"Christian Bale")</f>
        <v>Christian Bale</v>
      </c>
      <c r="I1960" s="32" t="s">
        <v>6606</v>
      </c>
      <c r="J1960" s="30">
        <v>281649.0</v>
      </c>
      <c r="K1960" s="30" t="s">
        <v>6607</v>
      </c>
      <c r="L1960" s="30">
        <v>458.0</v>
      </c>
      <c r="M1960" s="30" t="s">
        <v>24</v>
      </c>
      <c r="N1960" s="30" t="s">
        <v>1108</v>
      </c>
      <c r="O1960" s="31">
        <v>5000000.0</v>
      </c>
      <c r="P1960" s="10">
        <f t="shared" si="2"/>
        <v>0</v>
      </c>
      <c r="Q1960" s="12">
        <f t="shared" si="3"/>
        <v>3917956</v>
      </c>
      <c r="R1960" s="30">
        <v>2004.0</v>
      </c>
      <c r="S1960" s="30">
        <v>7.7</v>
      </c>
    </row>
    <row r="1961" ht="15.75" customHeight="1">
      <c r="A1961" s="7" t="s">
        <v>625</v>
      </c>
      <c r="B1961" s="8" t="str">
        <f>IFERROR(__xludf.DUMMYFUNCTION("REGEXREPLACE(A1961, ""[^0-9a-zA-Z .'Ã]"","""")"),"Edward Zwick")</f>
        <v>Edward Zwick</v>
      </c>
      <c r="C1961" s="9">
        <v>65.0</v>
      </c>
      <c r="D1961" s="10">
        <v>5.8918501E7</v>
      </c>
      <c r="E1961" s="9" t="s">
        <v>6608</v>
      </c>
      <c r="F1961" s="9">
        <f t="shared" si="1"/>
        <v>5</v>
      </c>
      <c r="G1961" s="9" t="s">
        <v>70</v>
      </c>
      <c r="H1961" s="11" t="str">
        <f>IFERROR(__xludf.DUMMYFUNCTION("REGEXREPLACE(G1961, ""[^0-9a-zA-Z .'Ã]"","""")"),"Denzel Washington")</f>
        <v>Denzel Washington</v>
      </c>
      <c r="I1961" s="11" t="s">
        <v>6609</v>
      </c>
      <c r="J1961" s="9">
        <v>40126.0</v>
      </c>
      <c r="K1961" s="9" t="s">
        <v>6610</v>
      </c>
      <c r="L1961" s="9">
        <v>107.0</v>
      </c>
      <c r="M1961" s="9" t="s">
        <v>24</v>
      </c>
      <c r="N1961" s="9" t="s">
        <v>25</v>
      </c>
      <c r="O1961" s="10">
        <v>4.6E7</v>
      </c>
      <c r="P1961" s="10">
        <f t="shared" si="2"/>
        <v>12918501</v>
      </c>
      <c r="Q1961" s="12">
        <f t="shared" si="3"/>
        <v>0</v>
      </c>
      <c r="R1961" s="9">
        <v>1996.0</v>
      </c>
      <c r="S1961" s="9">
        <v>6.6</v>
      </c>
    </row>
    <row r="1962" ht="15.75" customHeight="1">
      <c r="A1962" s="17" t="s">
        <v>6611</v>
      </c>
      <c r="B1962" s="8" t="str">
        <f>IFERROR(__xludf.DUMMYFUNCTION("REGEXREPLACE(A1962, ""[^0-9a-zA-Z .'Ã]"","""")"),"Michael Patrick King")</f>
        <v>Michael Patrick King</v>
      </c>
      <c r="C1962" s="18">
        <v>221.0</v>
      </c>
      <c r="D1962" s="19">
        <v>9.5328937E7</v>
      </c>
      <c r="E1962" s="18" t="s">
        <v>159</v>
      </c>
      <c r="F1962" s="9">
        <f t="shared" si="1"/>
        <v>3</v>
      </c>
      <c r="G1962" s="18" t="s">
        <v>4294</v>
      </c>
      <c r="H1962" s="11" t="str">
        <f>IFERROR(__xludf.DUMMYFUNCTION("REGEXREPLACE(G1962, ""[^0-9a-zA-Z .'Ã]"","""")"),"Chris Noth")</f>
        <v>Chris Noth</v>
      </c>
      <c r="I1962" s="20" t="s">
        <v>6612</v>
      </c>
      <c r="J1962" s="18">
        <v>59581.0</v>
      </c>
      <c r="K1962" s="18" t="s">
        <v>6613</v>
      </c>
      <c r="L1962" s="18">
        <v>293.0</v>
      </c>
      <c r="M1962" s="18" t="s">
        <v>24</v>
      </c>
      <c r="N1962" s="18" t="s">
        <v>25</v>
      </c>
      <c r="O1962" s="19">
        <v>1.0E8</v>
      </c>
      <c r="P1962" s="10">
        <f t="shared" si="2"/>
        <v>0</v>
      </c>
      <c r="Q1962" s="12">
        <f t="shared" si="3"/>
        <v>4671063</v>
      </c>
      <c r="R1962" s="18">
        <v>2010.0</v>
      </c>
      <c r="S1962" s="18">
        <v>4.3</v>
      </c>
    </row>
    <row r="1963" ht="15.75" customHeight="1">
      <c r="A1963" s="17" t="s">
        <v>6614</v>
      </c>
      <c r="B1963" s="8" t="str">
        <f>IFERROR(__xludf.DUMMYFUNCTION("REGEXREPLACE(A1963, ""[^0-9a-zA-Z .'Ã]"","""")"),"Bradley Parker")</f>
        <v>Bradley Parker</v>
      </c>
      <c r="C1963" s="18">
        <v>270.0</v>
      </c>
      <c r="D1963" s="19">
        <v>1.8112929E7</v>
      </c>
      <c r="E1963" s="18" t="s">
        <v>1907</v>
      </c>
      <c r="F1963" s="9">
        <f t="shared" si="1"/>
        <v>4</v>
      </c>
      <c r="G1963" s="18" t="s">
        <v>6615</v>
      </c>
      <c r="H1963" s="11" t="str">
        <f>IFERROR(__xludf.DUMMYFUNCTION("REGEXREPLACE(G1963, ""[^0-9a-zA-Z .'Ã]"","""")"),"Jesse McCartney")</f>
        <v>Jesse McCartney</v>
      </c>
      <c r="I1963" s="20" t="s">
        <v>6616</v>
      </c>
      <c r="J1963" s="18">
        <v>52642.0</v>
      </c>
      <c r="K1963" s="18" t="s">
        <v>6617</v>
      </c>
      <c r="L1963" s="18">
        <v>271.0</v>
      </c>
      <c r="M1963" s="18" t="s">
        <v>24</v>
      </c>
      <c r="N1963" s="18" t="s">
        <v>25</v>
      </c>
      <c r="O1963" s="19">
        <v>1000000.0</v>
      </c>
      <c r="P1963" s="10">
        <f t="shared" si="2"/>
        <v>17112929</v>
      </c>
      <c r="Q1963" s="12">
        <f t="shared" si="3"/>
        <v>0</v>
      </c>
      <c r="R1963" s="18">
        <v>2012.0</v>
      </c>
      <c r="S1963" s="18">
        <v>5.0</v>
      </c>
    </row>
    <row r="1964" ht="15.75" customHeight="1">
      <c r="A1964" s="17" t="s">
        <v>3803</v>
      </c>
      <c r="B1964" s="8" t="str">
        <f>IFERROR(__xludf.DUMMYFUNCTION("REGEXREPLACE(A1964, ""[^0-9a-zA-Z .'Ã]"","""")"),"Danny Boyle")</f>
        <v>Danny Boyle</v>
      </c>
      <c r="C1964" s="18">
        <v>450.0</v>
      </c>
      <c r="D1964" s="19">
        <v>1.8329466E7</v>
      </c>
      <c r="E1964" s="18" t="s">
        <v>3234</v>
      </c>
      <c r="F1964" s="9">
        <f t="shared" si="1"/>
        <v>4</v>
      </c>
      <c r="G1964" s="18" t="s">
        <v>404</v>
      </c>
      <c r="H1964" s="11" t="str">
        <f>IFERROR(__xludf.DUMMYFUNCTION("REGEXREPLACE(G1964, ""[^0-9a-zA-Z .'Ã]"","""")"),"James Franco")</f>
        <v>James Franco</v>
      </c>
      <c r="I1964" s="20" t="s">
        <v>6618</v>
      </c>
      <c r="J1964" s="18">
        <v>279179.0</v>
      </c>
      <c r="K1964" s="18" t="s">
        <v>6619</v>
      </c>
      <c r="L1964" s="18">
        <v>440.0</v>
      </c>
      <c r="M1964" s="18" t="s">
        <v>24</v>
      </c>
      <c r="N1964" s="18" t="s">
        <v>25</v>
      </c>
      <c r="O1964" s="19">
        <v>1.8E7</v>
      </c>
      <c r="P1964" s="10">
        <f t="shared" si="2"/>
        <v>329466</v>
      </c>
      <c r="Q1964" s="12">
        <f t="shared" si="3"/>
        <v>0</v>
      </c>
      <c r="R1964" s="18">
        <v>2010.0</v>
      </c>
      <c r="S1964" s="18">
        <v>7.6</v>
      </c>
    </row>
    <row r="1965" ht="15.75" customHeight="1">
      <c r="A1965" s="7" t="s">
        <v>218</v>
      </c>
      <c r="B1965" s="8" t="str">
        <f>IFERROR(__xludf.DUMMYFUNCTION("REGEXREPLACE(A1965, ""[^0-9a-zA-Z .'Ã]"","""")"),"James Mangold")</f>
        <v>James Mangold</v>
      </c>
      <c r="C1965" s="9">
        <v>440.0</v>
      </c>
      <c r="D1965" s="10">
        <v>1.3255096E8</v>
      </c>
      <c r="E1965" s="9" t="s">
        <v>794</v>
      </c>
      <c r="F1965" s="9">
        <f t="shared" si="1"/>
        <v>4</v>
      </c>
      <c r="G1965" s="9" t="s">
        <v>974</v>
      </c>
      <c r="H1965" s="11" t="str">
        <f>IFERROR(__xludf.DUMMYFUNCTION("REGEXREPLACE(G1965, ""[^0-9a-zA-Z .'Ã]"","""")"),"Hugh Jackman")</f>
        <v>Hugh Jackman</v>
      </c>
      <c r="I1965" s="11" t="s">
        <v>6620</v>
      </c>
      <c r="J1965" s="9">
        <v>328067.0</v>
      </c>
      <c r="K1965" s="9" t="s">
        <v>6621</v>
      </c>
      <c r="L1965" s="9">
        <v>533.0</v>
      </c>
      <c r="M1965" s="9" t="s">
        <v>24</v>
      </c>
      <c r="N1965" s="9" t="s">
        <v>25</v>
      </c>
      <c r="O1965" s="10">
        <v>1.2E8</v>
      </c>
      <c r="P1965" s="10">
        <f t="shared" si="2"/>
        <v>12550960</v>
      </c>
      <c r="Q1965" s="12">
        <f t="shared" si="3"/>
        <v>0</v>
      </c>
      <c r="R1965" s="9">
        <v>2013.0</v>
      </c>
      <c r="S1965" s="9">
        <v>6.7</v>
      </c>
    </row>
    <row r="1966" ht="15.75" customHeight="1">
      <c r="A1966" s="29" t="s">
        <v>5394</v>
      </c>
      <c r="B1966" s="8" t="str">
        <f>IFERROR(__xludf.DUMMYFUNCTION("REGEXREPLACE(A1966, ""[^0-9a-zA-Z .'Ã]"","""")"),"Ron Maxwell")</f>
        <v>Ron Maxwell</v>
      </c>
      <c r="C1966" s="30">
        <v>22.0</v>
      </c>
      <c r="D1966" s="31">
        <v>1.076996E7</v>
      </c>
      <c r="E1966" s="30" t="s">
        <v>74</v>
      </c>
      <c r="F1966" s="9">
        <f t="shared" si="1"/>
        <v>3</v>
      </c>
      <c r="G1966" s="30" t="s">
        <v>1105</v>
      </c>
      <c r="H1966" s="11" t="str">
        <f>IFERROR(__xludf.DUMMYFUNCTION("REGEXREPLACE(G1966, ""[^0-9a-zA-Z .'Ã]"","""")"),"Tom Berenger")</f>
        <v>Tom Berenger</v>
      </c>
      <c r="I1966" s="32" t="s">
        <v>6622</v>
      </c>
      <c r="J1966" s="30">
        <v>21940.0</v>
      </c>
      <c r="K1966" s="30" t="s">
        <v>6623</v>
      </c>
      <c r="L1966" s="30">
        <v>256.0</v>
      </c>
      <c r="M1966" s="30" t="s">
        <v>24</v>
      </c>
      <c r="N1966" s="30" t="s">
        <v>25</v>
      </c>
      <c r="O1966" s="31">
        <v>2.5E7</v>
      </c>
      <c r="P1966" s="10">
        <f t="shared" si="2"/>
        <v>0</v>
      </c>
      <c r="Q1966" s="12">
        <f t="shared" si="3"/>
        <v>14230040</v>
      </c>
      <c r="R1966" s="30">
        <v>1993.0</v>
      </c>
      <c r="S1966" s="30">
        <v>7.7</v>
      </c>
    </row>
    <row r="1967" ht="15.75" customHeight="1">
      <c r="A1967" s="13" t="s">
        <v>6624</v>
      </c>
      <c r="B1967" s="8" t="str">
        <f>IFERROR(__xludf.DUMMYFUNCTION("REGEXREPLACE(A1967, ""[^0-9a-zA-Z .'Ã]"","""")"),"Gary McKendry")</f>
        <v>Gary McKendry</v>
      </c>
      <c r="C1967" s="14">
        <v>189.0</v>
      </c>
      <c r="D1967" s="15">
        <v>2.5093607E7</v>
      </c>
      <c r="E1967" s="14" t="s">
        <v>152</v>
      </c>
      <c r="F1967" s="9">
        <f t="shared" si="1"/>
        <v>3</v>
      </c>
      <c r="G1967" s="14" t="s">
        <v>815</v>
      </c>
      <c r="H1967" s="11" t="str">
        <f>IFERROR(__xludf.DUMMYFUNCTION("REGEXREPLACE(G1967, ""[^0-9a-zA-Z .'Ã]"","""")"),"Jason Statham")</f>
        <v>Jason Statham</v>
      </c>
      <c r="I1967" s="16" t="s">
        <v>6625</v>
      </c>
      <c r="J1967" s="14">
        <v>105556.0</v>
      </c>
      <c r="K1967" s="14" t="s">
        <v>6626</v>
      </c>
      <c r="L1967" s="14">
        <v>157.0</v>
      </c>
      <c r="M1967" s="14" t="s">
        <v>24</v>
      </c>
      <c r="N1967" s="14" t="s">
        <v>130</v>
      </c>
      <c r="O1967" s="15">
        <v>3.5E7</v>
      </c>
      <c r="P1967" s="10">
        <f t="shared" si="2"/>
        <v>0</v>
      </c>
      <c r="Q1967" s="12">
        <f t="shared" si="3"/>
        <v>9906393</v>
      </c>
      <c r="R1967" s="14">
        <v>2011.0</v>
      </c>
      <c r="S1967" s="14">
        <v>6.5</v>
      </c>
    </row>
    <row r="1968" ht="15.75" customHeight="1">
      <c r="A1968" s="17" t="s">
        <v>1610</v>
      </c>
      <c r="B1968" s="8" t="str">
        <f>IFERROR(__xludf.DUMMYFUNCTION("REGEXREPLACE(A1968, ""[^0-9a-zA-Z .'Ã]"","""")"),"Peter Cattaneo")</f>
        <v>Peter Cattaneo</v>
      </c>
      <c r="C1968" s="18">
        <v>122.0</v>
      </c>
      <c r="D1968" s="19">
        <v>4.5857453E7</v>
      </c>
      <c r="E1968" s="18" t="s">
        <v>462</v>
      </c>
      <c r="F1968" s="9">
        <f t="shared" si="1"/>
        <v>3</v>
      </c>
      <c r="G1968" s="18" t="s">
        <v>1490</v>
      </c>
      <c r="H1968" s="11" t="str">
        <f>IFERROR(__xludf.DUMMYFUNCTION("REGEXREPLACE(G1968, ""[^0-9a-zA-Z .'Ã]"","""")"),"Tom Wilkinson")</f>
        <v>Tom Wilkinson</v>
      </c>
      <c r="I1968" s="20" t="s">
        <v>6627</v>
      </c>
      <c r="J1968" s="18">
        <v>82232.0</v>
      </c>
      <c r="K1968" s="18" t="s">
        <v>6628</v>
      </c>
      <c r="L1968" s="18">
        <v>174.0</v>
      </c>
      <c r="M1968" s="18" t="s">
        <v>24</v>
      </c>
      <c r="N1968" s="18" t="s">
        <v>130</v>
      </c>
      <c r="O1968" s="19">
        <v>3500000.0</v>
      </c>
      <c r="P1968" s="10">
        <f t="shared" si="2"/>
        <v>42357453</v>
      </c>
      <c r="Q1968" s="12">
        <f t="shared" si="3"/>
        <v>0</v>
      </c>
      <c r="R1968" s="18">
        <v>1997.0</v>
      </c>
      <c r="S1968" s="18">
        <v>7.2</v>
      </c>
    </row>
    <row r="1969" ht="15.75" customHeight="1">
      <c r="A1969" s="25" t="s">
        <v>4685</v>
      </c>
      <c r="B1969" s="8" t="str">
        <f>IFERROR(__xludf.DUMMYFUNCTION("REGEXREPLACE(A1969, ""[^0-9a-zA-Z .'Ã]"","""")"),"Mira Nair")</f>
        <v>Mira Nair</v>
      </c>
      <c r="C1969" s="26">
        <v>137.0</v>
      </c>
      <c r="D1969" s="27">
        <v>1.3876974E7</v>
      </c>
      <c r="E1969" s="26" t="s">
        <v>159</v>
      </c>
      <c r="F1969" s="9">
        <f t="shared" si="1"/>
        <v>3</v>
      </c>
      <c r="G1969" s="26" t="s">
        <v>6629</v>
      </c>
      <c r="H1969" s="11" t="str">
        <f>IFERROR(__xludf.DUMMYFUNCTION("REGEXREPLACE(G1969, ""[^0-9a-zA-Z .'Ã]"","""")"),"Naseeruddin Shah")</f>
        <v>Naseeruddin Shah</v>
      </c>
      <c r="I1969" s="28" t="s">
        <v>6630</v>
      </c>
      <c r="J1969" s="26">
        <v>19397.0</v>
      </c>
      <c r="K1969" s="26" t="s">
        <v>6631</v>
      </c>
      <c r="L1969" s="26">
        <v>214.0</v>
      </c>
      <c r="M1969" s="26" t="s">
        <v>670</v>
      </c>
      <c r="N1969" s="26" t="s">
        <v>671</v>
      </c>
      <c r="O1969" s="27">
        <v>7000000.0</v>
      </c>
      <c r="P1969" s="10">
        <f t="shared" si="2"/>
        <v>6876974</v>
      </c>
      <c r="Q1969" s="12">
        <f t="shared" si="3"/>
        <v>0</v>
      </c>
      <c r="R1969" s="26">
        <v>2001.0</v>
      </c>
      <c r="S1969" s="26">
        <v>7.4</v>
      </c>
    </row>
    <row r="1970" ht="15.75" customHeight="1">
      <c r="A1970" s="25" t="s">
        <v>5794</v>
      </c>
      <c r="B1970" s="8" t="str">
        <f>IFERROR(__xludf.DUMMYFUNCTION("REGEXREPLACE(A1970, ""[^0-9a-zA-Z .'Ã]"","""")"),"Richard Curtis")</f>
        <v>Richard Curtis</v>
      </c>
      <c r="C1970" s="26">
        <v>218.0</v>
      </c>
      <c r="D1970" s="27">
        <v>5.9365105E7</v>
      </c>
      <c r="E1970" s="26" t="s">
        <v>159</v>
      </c>
      <c r="F1970" s="9">
        <f t="shared" si="1"/>
        <v>3</v>
      </c>
      <c r="G1970" s="26" t="s">
        <v>542</v>
      </c>
      <c r="H1970" s="11" t="str">
        <f>IFERROR(__xludf.DUMMYFUNCTION("REGEXREPLACE(G1970, ""[^0-9a-zA-Z .'Ã]"","""")"),"Colin Firth")</f>
        <v>Colin Firth</v>
      </c>
      <c r="I1970" s="28" t="s">
        <v>6632</v>
      </c>
      <c r="J1970" s="26">
        <v>318634.0</v>
      </c>
      <c r="K1970" s="26" t="s">
        <v>6633</v>
      </c>
      <c r="L1970" s="26">
        <v>1004.0</v>
      </c>
      <c r="M1970" s="26" t="s">
        <v>24</v>
      </c>
      <c r="N1970" s="26" t="s">
        <v>130</v>
      </c>
      <c r="O1970" s="27">
        <v>4.5E7</v>
      </c>
      <c r="P1970" s="10">
        <f t="shared" si="2"/>
        <v>14365105</v>
      </c>
      <c r="Q1970" s="12">
        <f t="shared" si="3"/>
        <v>0</v>
      </c>
      <c r="R1970" s="26">
        <v>2003.0</v>
      </c>
      <c r="S1970" s="26">
        <v>7.7</v>
      </c>
    </row>
    <row r="1971" ht="15.75" customHeight="1">
      <c r="A1971" s="21" t="s">
        <v>594</v>
      </c>
      <c r="B1971" s="8" t="str">
        <f>IFERROR(__xludf.DUMMYFUNCTION("REGEXREPLACE(A1971, ""[^0-9a-zA-Z .'Ã]"","""")"),"Phil Lord")</f>
        <v>Phil Lord</v>
      </c>
      <c r="C1971" s="22">
        <v>435.0</v>
      </c>
      <c r="D1971" s="23">
        <v>2.57756197E8</v>
      </c>
      <c r="E1971" s="22" t="s">
        <v>5410</v>
      </c>
      <c r="F1971" s="9">
        <f t="shared" si="1"/>
        <v>6</v>
      </c>
      <c r="G1971" s="22" t="s">
        <v>170</v>
      </c>
      <c r="H1971" s="11" t="str">
        <f>IFERROR(__xludf.DUMMYFUNCTION("REGEXREPLACE(G1971, ""[^0-9a-zA-Z .'Ã]"","""")"),"Morgan Freeman")</f>
        <v>Morgan Freeman</v>
      </c>
      <c r="I1971" s="24" t="s">
        <v>6634</v>
      </c>
      <c r="J1971" s="22">
        <v>246698.0</v>
      </c>
      <c r="K1971" s="22" t="s">
        <v>6635</v>
      </c>
      <c r="L1971" s="22">
        <v>471.0</v>
      </c>
      <c r="M1971" s="22" t="s">
        <v>24</v>
      </c>
      <c r="N1971" s="22" t="s">
        <v>146</v>
      </c>
      <c r="O1971" s="23">
        <v>6.0E7</v>
      </c>
      <c r="P1971" s="10">
        <f t="shared" si="2"/>
        <v>197756197</v>
      </c>
      <c r="Q1971" s="12">
        <f t="shared" si="3"/>
        <v>0</v>
      </c>
      <c r="R1971" s="22">
        <v>2014.0</v>
      </c>
      <c r="S1971" s="22">
        <v>7.8</v>
      </c>
    </row>
    <row r="1972" ht="15.75" customHeight="1">
      <c r="A1972" s="25" t="s">
        <v>1320</v>
      </c>
      <c r="B1972" s="8" t="str">
        <f>IFERROR(__xludf.DUMMYFUNCTION("REGEXREPLACE(A1972, ""[^0-9a-zA-Z .'Ã]"","""")"),"Tobe Hooper")</f>
        <v>Tobe Hooper</v>
      </c>
      <c r="C1972" s="26">
        <v>159.0</v>
      </c>
      <c r="D1972" s="27">
        <v>8025872.0</v>
      </c>
      <c r="E1972" s="26" t="s">
        <v>364</v>
      </c>
      <c r="F1972" s="9">
        <f t="shared" si="1"/>
        <v>2</v>
      </c>
      <c r="G1972" s="26" t="s">
        <v>6636</v>
      </c>
      <c r="H1972" s="11" t="str">
        <f>IFERROR(__xludf.DUMMYFUNCTION("REGEXREPLACE(G1972, ""[^0-9a-zA-Z .'Ã]"","""")"),"Bill Johnson")</f>
        <v>Bill Johnson</v>
      </c>
      <c r="I1972" s="28" t="s">
        <v>6637</v>
      </c>
      <c r="J1972" s="26">
        <v>19234.0</v>
      </c>
      <c r="K1972" s="26" t="s">
        <v>6638</v>
      </c>
      <c r="L1972" s="26">
        <v>258.0</v>
      </c>
      <c r="M1972" s="26" t="s">
        <v>24</v>
      </c>
      <c r="N1972" s="26" t="s">
        <v>25</v>
      </c>
      <c r="O1972" s="27">
        <v>4700000.0</v>
      </c>
      <c r="P1972" s="10">
        <f t="shared" si="2"/>
        <v>3325872</v>
      </c>
      <c r="Q1972" s="12">
        <f t="shared" si="3"/>
        <v>0</v>
      </c>
      <c r="R1972" s="26">
        <v>1986.0</v>
      </c>
      <c r="S1972" s="26">
        <v>5.5</v>
      </c>
    </row>
    <row r="1973" ht="15.75" customHeight="1">
      <c r="A1973" s="7" t="s">
        <v>2050</v>
      </c>
      <c r="B1973" s="8" t="str">
        <f>IFERROR(__xludf.DUMMYFUNCTION("REGEXREPLACE(A1973, ""[^0-9a-zA-Z .'Ã]"","""")"),"George Roy Hill")</f>
        <v>George Roy Hill</v>
      </c>
      <c r="C1973" s="9">
        <v>130.0</v>
      </c>
      <c r="D1973" s="10">
        <v>1.023089E8</v>
      </c>
      <c r="E1973" s="9" t="s">
        <v>6639</v>
      </c>
      <c r="F1973" s="9">
        <f t="shared" si="1"/>
        <v>4</v>
      </c>
      <c r="G1973" s="9" t="s">
        <v>4030</v>
      </c>
      <c r="H1973" s="11" t="str">
        <f>IFERROR(__xludf.DUMMYFUNCTION("REGEXREPLACE(G1973, ""[^0-9a-zA-Z .'Ã]"","""")"),"Katharine Ross")</f>
        <v>Katharine Ross</v>
      </c>
      <c r="I1973" s="11" t="s">
        <v>6640</v>
      </c>
      <c r="J1973" s="9">
        <v>152089.0</v>
      </c>
      <c r="K1973" s="9" t="s">
        <v>6641</v>
      </c>
      <c r="L1973" s="9">
        <v>309.0</v>
      </c>
      <c r="M1973" s="9" t="s">
        <v>24</v>
      </c>
      <c r="N1973" s="9" t="s">
        <v>25</v>
      </c>
      <c r="O1973" s="10">
        <v>6000000.0</v>
      </c>
      <c r="P1973" s="10">
        <f t="shared" si="2"/>
        <v>96308900</v>
      </c>
      <c r="Q1973" s="12">
        <f t="shared" si="3"/>
        <v>0</v>
      </c>
      <c r="R1973" s="9">
        <v>1969.0</v>
      </c>
      <c r="S1973" s="9">
        <v>8.1</v>
      </c>
    </row>
    <row r="1974" ht="15.75" customHeight="1">
      <c r="A1974" s="7" t="s">
        <v>2252</v>
      </c>
      <c r="B1974" s="8" t="str">
        <f>IFERROR(__xludf.DUMMYFUNCTION("REGEXREPLACE(A1974, ""[^0-9a-zA-Z .'Ã]"","""")"),"Ruben Fleischer")</f>
        <v>Ruben Fleischer</v>
      </c>
      <c r="C1974" s="9">
        <v>445.0</v>
      </c>
      <c r="D1974" s="10">
        <v>7.5590286E7</v>
      </c>
      <c r="E1974" s="9" t="s">
        <v>6642</v>
      </c>
      <c r="F1974" s="9">
        <f t="shared" si="1"/>
        <v>4</v>
      </c>
      <c r="G1974" s="9" t="s">
        <v>497</v>
      </c>
      <c r="H1974" s="11" t="str">
        <f>IFERROR(__xludf.DUMMYFUNCTION("REGEXREPLACE(G1974, ""[^0-9a-zA-Z .'Ã]"","""")"),"Emma Stone")</f>
        <v>Emma Stone</v>
      </c>
      <c r="I1974" s="11" t="s">
        <v>6643</v>
      </c>
      <c r="J1974" s="9">
        <v>386217.0</v>
      </c>
      <c r="K1974" s="9" t="s">
        <v>6644</v>
      </c>
      <c r="L1974" s="9">
        <v>553.0</v>
      </c>
      <c r="M1974" s="9" t="s">
        <v>24</v>
      </c>
      <c r="N1974" s="9" t="s">
        <v>25</v>
      </c>
      <c r="O1974" s="10">
        <v>2.36E7</v>
      </c>
      <c r="P1974" s="10">
        <f t="shared" si="2"/>
        <v>51990286</v>
      </c>
      <c r="Q1974" s="12">
        <f t="shared" si="3"/>
        <v>0</v>
      </c>
      <c r="R1974" s="9">
        <v>2009.0</v>
      </c>
      <c r="S1974" s="9">
        <v>7.7</v>
      </c>
    </row>
    <row r="1975" ht="15.75" customHeight="1">
      <c r="A1975" s="21" t="s">
        <v>6645</v>
      </c>
      <c r="B1975" s="8" t="str">
        <f>IFERROR(__xludf.DUMMYFUNCTION("REGEXREPLACE(A1975, ""[^0-9a-zA-Z .'Ã]"","""")"),"Christopher Cain")</f>
        <v>Christopher Cain</v>
      </c>
      <c r="C1975" s="22">
        <v>50.0</v>
      </c>
      <c r="D1975" s="23">
        <v>4.4726644E7</v>
      </c>
      <c r="E1975" s="22" t="s">
        <v>5482</v>
      </c>
      <c r="F1975" s="9">
        <f t="shared" si="1"/>
        <v>5</v>
      </c>
      <c r="G1975" s="22" t="s">
        <v>6646</v>
      </c>
      <c r="H1975" s="11" t="str">
        <f>IFERROR(__xludf.DUMMYFUNCTION("REGEXREPLACE(G1975, ""[^0-9a-zA-Z .'Ã]"","""")"),"Jack Palance")</f>
        <v>Jack Palance</v>
      </c>
      <c r="I1975" s="24" t="s">
        <v>6647</v>
      </c>
      <c r="J1975" s="22">
        <v>42614.0</v>
      </c>
      <c r="K1975" s="22" t="s">
        <v>6648</v>
      </c>
      <c r="L1975" s="22">
        <v>120.0</v>
      </c>
      <c r="M1975" s="22" t="s">
        <v>24</v>
      </c>
      <c r="N1975" s="22" t="s">
        <v>25</v>
      </c>
      <c r="O1975" s="23">
        <v>1.3E7</v>
      </c>
      <c r="P1975" s="10">
        <f t="shared" si="2"/>
        <v>31726644</v>
      </c>
      <c r="Q1975" s="12">
        <f t="shared" si="3"/>
        <v>0</v>
      </c>
      <c r="R1975" s="22">
        <v>1988.0</v>
      </c>
      <c r="S1975" s="22">
        <v>6.8</v>
      </c>
    </row>
    <row r="1976" ht="15.75" customHeight="1">
      <c r="A1976" s="7" t="s">
        <v>6649</v>
      </c>
      <c r="B1976" s="8" t="str">
        <f>IFERROR(__xludf.DUMMYFUNCTION("REGEXREPLACE(A1976, ""[^0-9a-zA-Z .'Ã]"","""")"),"Kelly Makin")</f>
        <v>Kelly Makin</v>
      </c>
      <c r="C1976" s="9">
        <v>90.0</v>
      </c>
      <c r="D1976" s="10">
        <v>3.3864342E7</v>
      </c>
      <c r="E1976" s="9" t="s">
        <v>241</v>
      </c>
      <c r="F1976" s="9">
        <f t="shared" si="1"/>
        <v>3</v>
      </c>
      <c r="G1976" s="9" t="s">
        <v>1392</v>
      </c>
      <c r="H1976" s="11" t="str">
        <f>IFERROR(__xludf.DUMMYFUNCTION("REGEXREPLACE(G1976, ""[^0-9a-zA-Z .'Ã]"","""")"),"Jeanne Tripplehorn")</f>
        <v>Jeanne Tripplehorn</v>
      </c>
      <c r="I1976" s="11" t="s">
        <v>6650</v>
      </c>
      <c r="J1976" s="9">
        <v>29968.0</v>
      </c>
      <c r="K1976" s="9" t="s">
        <v>6651</v>
      </c>
      <c r="L1976" s="9">
        <v>117.0</v>
      </c>
      <c r="M1976" s="9" t="s">
        <v>24</v>
      </c>
      <c r="N1976" s="9" t="s">
        <v>130</v>
      </c>
      <c r="O1976" s="10">
        <v>4.0E7</v>
      </c>
      <c r="P1976" s="10">
        <f t="shared" si="2"/>
        <v>0</v>
      </c>
      <c r="Q1976" s="12">
        <f t="shared" si="3"/>
        <v>6135658</v>
      </c>
      <c r="R1976" s="9">
        <v>1999.0</v>
      </c>
      <c r="S1976" s="9">
        <v>5.8</v>
      </c>
    </row>
    <row r="1977" ht="15.75" customHeight="1">
      <c r="A1977" s="17" t="s">
        <v>6652</v>
      </c>
      <c r="B1977" s="8" t="str">
        <f>IFERROR(__xludf.DUMMYFUNCTION("REGEXREPLACE(A1977, ""[^0-9a-zA-Z .'Ã]"","""")"),"Frank Sebastiano")</f>
        <v>Frank Sebastiano</v>
      </c>
      <c r="C1977" s="18">
        <v>20.0</v>
      </c>
      <c r="D1977" s="19">
        <v>475000.0</v>
      </c>
      <c r="E1977" s="18" t="s">
        <v>3398</v>
      </c>
      <c r="F1977" s="9">
        <f t="shared" si="1"/>
        <v>2</v>
      </c>
      <c r="G1977" s="18" t="s">
        <v>1850</v>
      </c>
      <c r="H1977" s="11" t="str">
        <f>IFERROR(__xludf.DUMMYFUNCTION("REGEXREPLACE(G1977, ""[^0-9a-zA-Z .'Ã]"","""")"),"Joe Lo Truglio")</f>
        <v>Joe Lo Truglio</v>
      </c>
      <c r="I1977" s="20" t="s">
        <v>6653</v>
      </c>
      <c r="J1977" s="18">
        <v>6930.0</v>
      </c>
      <c r="K1977" s="18" t="s">
        <v>6654</v>
      </c>
      <c r="L1977" s="18">
        <v>53.0</v>
      </c>
      <c r="M1977" s="18" t="s">
        <v>24</v>
      </c>
      <c r="N1977" s="18" t="s">
        <v>25</v>
      </c>
      <c r="O1977" s="19">
        <v>2800000.0</v>
      </c>
      <c r="P1977" s="10">
        <f t="shared" si="2"/>
        <v>0</v>
      </c>
      <c r="Q1977" s="12">
        <f t="shared" si="3"/>
        <v>2325000</v>
      </c>
      <c r="R1977" s="18">
        <v>2006.0</v>
      </c>
      <c r="S1977" s="18">
        <v>6.0</v>
      </c>
    </row>
    <row r="1978" ht="15.75" customHeight="1">
      <c r="A1978" s="7" t="s">
        <v>5354</v>
      </c>
      <c r="B1978" s="8" t="str">
        <f>IFERROR(__xludf.DUMMYFUNCTION("REGEXREPLACE(A1978, ""[^0-9a-zA-Z .'Ã]"","""")"),"Spike Jonze")</f>
        <v>Spike Jonze</v>
      </c>
      <c r="C1978" s="9">
        <v>333.0</v>
      </c>
      <c r="D1978" s="10">
        <v>7.7222184E7</v>
      </c>
      <c r="E1978" s="9" t="s">
        <v>506</v>
      </c>
      <c r="F1978" s="9">
        <f t="shared" si="1"/>
        <v>4</v>
      </c>
      <c r="G1978" s="9" t="s">
        <v>5157</v>
      </c>
      <c r="H1978" s="11" t="str">
        <f>IFERROR(__xludf.DUMMYFUNCTION("REGEXREPLACE(G1978, ""[^0-9a-zA-Z .'Ã]"","""")"),"Catherine O'Hara")</f>
        <v>Catherine O'Hara</v>
      </c>
      <c r="I1978" s="11" t="s">
        <v>6655</v>
      </c>
      <c r="J1978" s="9">
        <v>87677.0</v>
      </c>
      <c r="K1978" s="9" t="s">
        <v>6656</v>
      </c>
      <c r="L1978" s="9">
        <v>388.0</v>
      </c>
      <c r="M1978" s="9" t="s">
        <v>24</v>
      </c>
      <c r="N1978" s="9" t="s">
        <v>173</v>
      </c>
      <c r="O1978" s="10">
        <v>1.0E8</v>
      </c>
      <c r="P1978" s="10">
        <f t="shared" si="2"/>
        <v>0</v>
      </c>
      <c r="Q1978" s="12">
        <f t="shared" si="3"/>
        <v>22777816</v>
      </c>
      <c r="R1978" s="9">
        <v>2009.0</v>
      </c>
      <c r="S1978" s="9">
        <v>6.8</v>
      </c>
    </row>
    <row r="1979" ht="15.75" customHeight="1">
      <c r="A1979" s="21" t="s">
        <v>3206</v>
      </c>
      <c r="B1979" s="8" t="str">
        <f>IFERROR(__xludf.DUMMYFUNCTION("REGEXREPLACE(A1979, ""[^0-9a-zA-Z .'Ã]"","""")"),"Michael Landon Jr.")</f>
        <v>Michael Landon Jr.</v>
      </c>
      <c r="C1979" s="22">
        <v>5.0</v>
      </c>
      <c r="D1979" s="23">
        <v>252726.0</v>
      </c>
      <c r="E1979" s="22" t="s">
        <v>6657</v>
      </c>
      <c r="F1979" s="9">
        <f t="shared" si="1"/>
        <v>3</v>
      </c>
      <c r="G1979" s="22" t="s">
        <v>6658</v>
      </c>
      <c r="H1979" s="11" t="str">
        <f>IFERROR(__xludf.DUMMYFUNCTION("REGEXREPLACE(G1979, ""[^0-9a-zA-Z .'Ã]"","""")"),"William Morgan Sheppard")</f>
        <v>William Morgan Sheppard</v>
      </c>
      <c r="I1979" s="24" t="s">
        <v>6659</v>
      </c>
      <c r="J1979" s="22">
        <v>1289.0</v>
      </c>
      <c r="K1979" s="22" t="s">
        <v>6660</v>
      </c>
      <c r="L1979" s="22">
        <v>18.0</v>
      </c>
      <c r="M1979" s="24" t="s">
        <v>24</v>
      </c>
      <c r="N1979" s="22" t="s">
        <v>25</v>
      </c>
      <c r="O1979" s="23">
        <v>3000000.0</v>
      </c>
      <c r="P1979" s="10">
        <f t="shared" si="2"/>
        <v>0</v>
      </c>
      <c r="Q1979" s="12">
        <f t="shared" si="3"/>
        <v>2747274</v>
      </c>
      <c r="R1979" s="22">
        <v>2006.0</v>
      </c>
      <c r="S1979" s="22">
        <v>7.2</v>
      </c>
    </row>
    <row r="1980" ht="15.75" customHeight="1">
      <c r="A1980" s="7" t="s">
        <v>4105</v>
      </c>
      <c r="B1980" s="8" t="str">
        <f>IFERROR(__xludf.DUMMYFUNCTION("REGEXREPLACE(A1980, ""[^0-9a-zA-Z .'Ã]"","""")"),"Dominic Sena")</f>
        <v>Dominic Sena</v>
      </c>
      <c r="C1980" s="9">
        <v>166.0</v>
      </c>
      <c r="D1980" s="10">
        <v>1.0268846E7</v>
      </c>
      <c r="E1980" s="9" t="s">
        <v>1177</v>
      </c>
      <c r="F1980" s="9">
        <f t="shared" si="1"/>
        <v>4</v>
      </c>
      <c r="G1980" s="9" t="s">
        <v>3203</v>
      </c>
      <c r="H1980" s="11" t="str">
        <f>IFERROR(__xludf.DUMMYFUNCTION("REGEXREPLACE(G1980, ""[^0-9a-zA-Z .'Ã]"","""")"),"Tom Skerritt")</f>
        <v>Tom Skerritt</v>
      </c>
      <c r="I1980" s="11" t="s">
        <v>6661</v>
      </c>
      <c r="J1980" s="9">
        <v>31918.0</v>
      </c>
      <c r="K1980" s="9" t="s">
        <v>6662</v>
      </c>
      <c r="L1980" s="9">
        <v>142.0</v>
      </c>
      <c r="M1980" s="9" t="s">
        <v>24</v>
      </c>
      <c r="N1980" s="9" t="s">
        <v>25</v>
      </c>
      <c r="O1980" s="10">
        <v>3.5E7</v>
      </c>
      <c r="P1980" s="10">
        <f t="shared" si="2"/>
        <v>0</v>
      </c>
      <c r="Q1980" s="12">
        <f t="shared" si="3"/>
        <v>24731154</v>
      </c>
      <c r="R1980" s="9">
        <v>2009.0</v>
      </c>
      <c r="S1980" s="9">
        <v>5.5</v>
      </c>
    </row>
    <row r="1981" ht="15.75" customHeight="1">
      <c r="A1981" s="17" t="s">
        <v>6663</v>
      </c>
      <c r="B1981" s="8" t="str">
        <f>IFERROR(__xludf.DUMMYFUNCTION("REGEXREPLACE(A1981, ""[^0-9a-zA-Z .'Ã]"","""")"),"Jennifer Wynne Farmer")</f>
        <v>Jennifer Wynne Farmer</v>
      </c>
      <c r="C1981" s="18">
        <v>2.0</v>
      </c>
      <c r="D1981" s="19">
        <v>10508.0</v>
      </c>
      <c r="E1981" s="18" t="s">
        <v>103</v>
      </c>
      <c r="F1981" s="9">
        <f t="shared" si="1"/>
        <v>1</v>
      </c>
      <c r="G1981" s="18" t="s">
        <v>6664</v>
      </c>
      <c r="H1981" s="11" t="str">
        <f>IFERROR(__xludf.DUMMYFUNCTION("REGEXREPLACE(G1981, ""[^0-9a-zA-Z .'Ã]"","""")"),"Irene Bedard")</f>
        <v>Irene Bedard</v>
      </c>
      <c r="I1981" s="20" t="s">
        <v>6665</v>
      </c>
      <c r="J1981" s="18">
        <v>103.0</v>
      </c>
      <c r="K1981" s="18" t="s">
        <v>6666</v>
      </c>
      <c r="L1981" s="18">
        <v>6.0</v>
      </c>
      <c r="M1981" s="18" t="s">
        <v>24</v>
      </c>
      <c r="N1981" s="18" t="s">
        <v>25</v>
      </c>
      <c r="O1981" s="19">
        <v>700000.0</v>
      </c>
      <c r="P1981" s="10">
        <f t="shared" si="2"/>
        <v>0</v>
      </c>
      <c r="Q1981" s="12">
        <f t="shared" si="3"/>
        <v>689492</v>
      </c>
      <c r="R1981" s="18">
        <v>1998.0</v>
      </c>
      <c r="S1981" s="18">
        <v>6.5</v>
      </c>
    </row>
    <row r="1982" ht="15.75" customHeight="1">
      <c r="A1982" s="17" t="s">
        <v>1429</v>
      </c>
      <c r="B1982" s="8" t="str">
        <f>IFERROR(__xludf.DUMMYFUNCTION("REGEXREPLACE(A1982, ""[^0-9a-zA-Z .'Ã]"","""")"),"Ron Underwood")</f>
        <v>Ron Underwood</v>
      </c>
      <c r="C1982" s="18">
        <v>66.0</v>
      </c>
      <c r="D1982" s="19">
        <v>4411102.0</v>
      </c>
      <c r="E1982" s="18" t="s">
        <v>1704</v>
      </c>
      <c r="F1982" s="9">
        <f t="shared" si="1"/>
        <v>3</v>
      </c>
      <c r="G1982" s="18" t="s">
        <v>3571</v>
      </c>
      <c r="H1982" s="11" t="str">
        <f>IFERROR(__xludf.DUMMYFUNCTION("REGEXREPLACE(G1982, ""[^0-9a-zA-Z .'Ã]"","""")"),"Rosario Dawson")</f>
        <v>Rosario Dawson</v>
      </c>
      <c r="I1982" s="20" t="s">
        <v>6667</v>
      </c>
      <c r="J1982" s="18">
        <v>20295.0</v>
      </c>
      <c r="K1982" s="18" t="s">
        <v>6668</v>
      </c>
      <c r="L1982" s="18">
        <v>164.0</v>
      </c>
      <c r="M1982" s="18" t="s">
        <v>24</v>
      </c>
      <c r="N1982" s="18" t="s">
        <v>25</v>
      </c>
      <c r="O1982" s="19">
        <v>1.0E8</v>
      </c>
      <c r="P1982" s="10">
        <f t="shared" si="2"/>
        <v>0</v>
      </c>
      <c r="Q1982" s="12">
        <f t="shared" si="3"/>
        <v>95588898</v>
      </c>
      <c r="R1982" s="18">
        <v>2002.0</v>
      </c>
      <c r="S1982" s="18">
        <v>3.8</v>
      </c>
    </row>
    <row r="1983" ht="15.75" customHeight="1">
      <c r="A1983" s="7" t="s">
        <v>4384</v>
      </c>
      <c r="B1983" s="8" t="str">
        <f>IFERROR(__xludf.DUMMYFUNCTION("REGEXREPLACE(A1983, ""[^0-9a-zA-Z .'Ã]"","""")"),"Jerry Jameson")</f>
        <v>Jerry Jameson</v>
      </c>
      <c r="C1983" s="9">
        <v>32.0</v>
      </c>
      <c r="D1983" s="10">
        <v>7000000.0</v>
      </c>
      <c r="E1983" s="9" t="s">
        <v>925</v>
      </c>
      <c r="F1983" s="9">
        <f t="shared" si="1"/>
        <v>4</v>
      </c>
      <c r="G1983" s="9" t="s">
        <v>6669</v>
      </c>
      <c r="H1983" s="11" t="str">
        <f>IFERROR(__xludf.DUMMYFUNCTION("REGEXREPLACE(G1983, ""[^0-9a-zA-Z .'Ã]"","""")"),"M. Emmet Walsh")</f>
        <v>M. Emmet Walsh</v>
      </c>
      <c r="I1983" s="11" t="s">
        <v>6670</v>
      </c>
      <c r="J1983" s="9">
        <v>2933.0</v>
      </c>
      <c r="K1983" s="9" t="s">
        <v>6671</v>
      </c>
      <c r="L1983" s="9">
        <v>70.0</v>
      </c>
      <c r="M1983" s="9" t="s">
        <v>24</v>
      </c>
      <c r="N1983" s="9" t="s">
        <v>130</v>
      </c>
      <c r="O1983" s="10">
        <v>3.6E7</v>
      </c>
      <c r="P1983" s="10">
        <f t="shared" si="2"/>
        <v>0</v>
      </c>
      <c r="Q1983" s="12">
        <f t="shared" si="3"/>
        <v>29000000</v>
      </c>
      <c r="R1983" s="9">
        <v>1980.0</v>
      </c>
      <c r="S1983" s="9">
        <v>4.7</v>
      </c>
    </row>
    <row r="1984" ht="15.75" customHeight="1">
      <c r="A1984" s="7" t="s">
        <v>5884</v>
      </c>
      <c r="B1984" s="8" t="str">
        <f>IFERROR(__xludf.DUMMYFUNCTION("REGEXREPLACE(A1984, ""[^0-9a-zA-Z .'Ã]"","""")"),"Nicole Holofcener")</f>
        <v>Nicole Holofcener</v>
      </c>
      <c r="C1984" s="9">
        <v>71.0</v>
      </c>
      <c r="D1984" s="10">
        <v>4186931.0</v>
      </c>
      <c r="E1984" s="9" t="s">
        <v>159</v>
      </c>
      <c r="F1984" s="9">
        <f t="shared" si="1"/>
        <v>3</v>
      </c>
      <c r="G1984" s="9" t="s">
        <v>6672</v>
      </c>
      <c r="H1984" s="11" t="str">
        <f>IFERROR(__xludf.DUMMYFUNCTION("REGEXREPLACE(G1984, ""[^0-9a-zA-Z .'Ã]"","""")"),"Aunjanue Ellis")</f>
        <v>Aunjanue Ellis</v>
      </c>
      <c r="I1984" s="11" t="s">
        <v>6673</v>
      </c>
      <c r="J1984" s="9">
        <v>6041.0</v>
      </c>
      <c r="K1984" s="9" t="s">
        <v>6674</v>
      </c>
      <c r="L1984" s="9">
        <v>85.0</v>
      </c>
      <c r="M1984" s="9" t="s">
        <v>24</v>
      </c>
      <c r="N1984" s="9" t="s">
        <v>25</v>
      </c>
      <c r="O1984" s="10">
        <v>250000.0</v>
      </c>
      <c r="P1984" s="10">
        <f t="shared" si="2"/>
        <v>3936931</v>
      </c>
      <c r="Q1984" s="12">
        <f t="shared" si="3"/>
        <v>0</v>
      </c>
      <c r="R1984" s="9">
        <v>2001.0</v>
      </c>
      <c r="S1984" s="9">
        <v>6.9</v>
      </c>
    </row>
    <row r="1985" ht="15.75" customHeight="1">
      <c r="A1985" s="7" t="s">
        <v>4822</v>
      </c>
      <c r="B1985" s="8" t="str">
        <f>IFERROR(__xludf.DUMMYFUNCTION("REGEXREPLACE(A1985, ""[^0-9a-zA-Z .'Ã]"","""")"),"Kevin Munroe")</f>
        <v>Kevin Munroe</v>
      </c>
      <c r="C1985" s="9">
        <v>191.0</v>
      </c>
      <c r="D1985" s="10">
        <v>5.4132596E7</v>
      </c>
      <c r="E1985" s="9" t="s">
        <v>579</v>
      </c>
      <c r="F1985" s="9">
        <f t="shared" si="1"/>
        <v>7</v>
      </c>
      <c r="G1985" s="9" t="s">
        <v>983</v>
      </c>
      <c r="H1985" s="11" t="str">
        <f>IFERROR(__xludf.DUMMYFUNCTION("REGEXREPLACE(G1985, ""[^0-9a-zA-Z .'Ã]"","""")"),"Chris Evans")</f>
        <v>Chris Evans</v>
      </c>
      <c r="I1985" s="11" t="s">
        <v>6675</v>
      </c>
      <c r="J1985" s="9">
        <v>53786.0</v>
      </c>
      <c r="K1985" s="9" t="s">
        <v>6676</v>
      </c>
      <c r="L1985" s="9">
        <v>211.0</v>
      </c>
      <c r="M1985" s="9" t="s">
        <v>24</v>
      </c>
      <c r="N1985" s="9" t="s">
        <v>157</v>
      </c>
      <c r="O1985" s="10">
        <v>3.4E7</v>
      </c>
      <c r="P1985" s="10">
        <f t="shared" si="2"/>
        <v>20132596</v>
      </c>
      <c r="Q1985" s="12">
        <f t="shared" si="3"/>
        <v>0</v>
      </c>
      <c r="R1985" s="9">
        <v>2007.0</v>
      </c>
      <c r="S1985" s="9">
        <v>6.3</v>
      </c>
    </row>
    <row r="1986" ht="15.75" customHeight="1">
      <c r="A1986" s="29" t="s">
        <v>53</v>
      </c>
      <c r="B1986" s="8" t="str">
        <f>IFERROR(__xludf.DUMMYFUNCTION("REGEXREPLACE(A1986, ""[^0-9a-zA-Z .'Ã]"","""")"),"Quentin Tarantino")</f>
        <v>Quentin Tarantino</v>
      </c>
      <c r="C1986" s="30">
        <v>354.0</v>
      </c>
      <c r="D1986" s="31">
        <v>7.0098138E7</v>
      </c>
      <c r="E1986" s="30" t="s">
        <v>180</v>
      </c>
      <c r="F1986" s="9">
        <f t="shared" si="1"/>
        <v>1</v>
      </c>
      <c r="G1986" s="30" t="s">
        <v>4331</v>
      </c>
      <c r="H1986" s="11" t="str">
        <f>IFERROR(__xludf.DUMMYFUNCTION("REGEXREPLACE(G1986, ""[^0-9a-zA-Z .'Ã]"","""")"),"David Carradine")</f>
        <v>David Carradine</v>
      </c>
      <c r="I1986" s="32" t="s">
        <v>6677</v>
      </c>
      <c r="J1986" s="30">
        <v>735784.0</v>
      </c>
      <c r="K1986" s="30" t="s">
        <v>6678</v>
      </c>
      <c r="L1986" s="30">
        <v>2105.0</v>
      </c>
      <c r="M1986" s="30" t="s">
        <v>24</v>
      </c>
      <c r="N1986" s="30" t="s">
        <v>25</v>
      </c>
      <c r="O1986" s="31">
        <v>3.0E7</v>
      </c>
      <c r="P1986" s="10">
        <f t="shared" si="2"/>
        <v>40098138</v>
      </c>
      <c r="Q1986" s="12">
        <f t="shared" si="3"/>
        <v>0</v>
      </c>
      <c r="R1986" s="30">
        <v>2003.0</v>
      </c>
      <c r="S1986" s="30">
        <v>8.1</v>
      </c>
    </row>
    <row r="1987" ht="15.75" customHeight="1">
      <c r="A1987" s="7" t="s">
        <v>6679</v>
      </c>
      <c r="B1987" s="8" t="str">
        <f>IFERROR(__xludf.DUMMYFUNCTION("REGEXREPLACE(A1987, ""[^0-9a-zA-Z .'Ã]"","""")"),"Victor Fleming")</f>
        <v>Victor Fleming</v>
      </c>
      <c r="C1987" s="9">
        <v>213.0</v>
      </c>
      <c r="D1987" s="10">
        <v>2.2202612E7</v>
      </c>
      <c r="E1987" s="9" t="s">
        <v>2895</v>
      </c>
      <c r="F1987" s="9">
        <f t="shared" si="1"/>
        <v>4</v>
      </c>
      <c r="G1987" s="9" t="s">
        <v>6680</v>
      </c>
      <c r="H1987" s="11" t="str">
        <f>IFERROR(__xludf.DUMMYFUNCTION("REGEXREPLACE(G1987, ""[^0-9a-zA-Z .'Ã]"","""")"),"Margaret Hamilton")</f>
        <v>Margaret Hamilton</v>
      </c>
      <c r="I1987" s="11" t="s">
        <v>6681</v>
      </c>
      <c r="J1987" s="9">
        <v>291875.0</v>
      </c>
      <c r="K1987" s="9" t="s">
        <v>6682</v>
      </c>
      <c r="L1987" s="9">
        <v>533.0</v>
      </c>
      <c r="M1987" s="9" t="s">
        <v>24</v>
      </c>
      <c r="N1987" s="9" t="s">
        <v>25</v>
      </c>
      <c r="O1987" s="10">
        <v>2800000.0</v>
      </c>
      <c r="P1987" s="10">
        <f t="shared" si="2"/>
        <v>19402612</v>
      </c>
      <c r="Q1987" s="12">
        <f t="shared" si="3"/>
        <v>0</v>
      </c>
      <c r="R1987" s="9">
        <v>1939.0</v>
      </c>
      <c r="S1987" s="9">
        <v>8.1</v>
      </c>
    </row>
    <row r="1988" ht="15.75" customHeight="1">
      <c r="A1988" s="7" t="s">
        <v>6683</v>
      </c>
      <c r="B1988" s="8" t="str">
        <f>IFERROR(__xludf.DUMMYFUNCTION("REGEXREPLACE(A1988, ""[^0-9a-zA-Z .'Ã]"","""")"),"Kief Davidson")</f>
        <v>Kief Davidson</v>
      </c>
      <c r="C1988" s="9">
        <v>43.0</v>
      </c>
      <c r="D1988" s="10">
        <v>100240.0</v>
      </c>
      <c r="E1988" s="9" t="s">
        <v>251</v>
      </c>
      <c r="F1988" s="9">
        <f t="shared" si="1"/>
        <v>1</v>
      </c>
      <c r="G1988" s="9" t="s">
        <v>6684</v>
      </c>
      <c r="H1988" s="11" t="str">
        <f>IFERROR(__xludf.DUMMYFUNCTION("REGEXREPLACE(G1988, ""[^0-9a-zA-Z .'Ã]"","""")"),"G.W. Krauss")</f>
        <v>G.W. Krauss</v>
      </c>
      <c r="I1988" s="11" t="s">
        <v>6685</v>
      </c>
      <c r="J1988" s="9">
        <v>1220.0</v>
      </c>
      <c r="K1988" s="9" t="s">
        <v>6686</v>
      </c>
      <c r="L1988" s="9">
        <v>11.0</v>
      </c>
      <c r="M1988" s="9" t="s">
        <v>24</v>
      </c>
      <c r="N1988" s="9" t="s">
        <v>4016</v>
      </c>
      <c r="O1988" s="10">
        <v>1000000.0</v>
      </c>
      <c r="P1988" s="10">
        <f t="shared" si="2"/>
        <v>0</v>
      </c>
      <c r="Q1988" s="12">
        <f t="shared" si="3"/>
        <v>899760</v>
      </c>
      <c r="R1988" s="9">
        <v>2014.0</v>
      </c>
      <c r="S1988" s="9">
        <v>6.8</v>
      </c>
    </row>
    <row r="1989" ht="15.75" customHeight="1">
      <c r="A1989" s="17" t="s">
        <v>763</v>
      </c>
      <c r="B1989" s="8" t="str">
        <f>IFERROR(__xludf.DUMMYFUNCTION("REGEXREPLACE(A1989, ""[^0-9a-zA-Z .'Ã]"","""")"),"Kimberly Peirce")</f>
        <v>Kimberly Peirce</v>
      </c>
      <c r="C1989" s="18">
        <v>123.0</v>
      </c>
      <c r="D1989" s="19">
        <v>1.1533945E7</v>
      </c>
      <c r="E1989" s="18" t="s">
        <v>3799</v>
      </c>
      <c r="F1989" s="9">
        <f t="shared" si="1"/>
        <v>4</v>
      </c>
      <c r="G1989" s="18" t="s">
        <v>6687</v>
      </c>
      <c r="H1989" s="11" t="str">
        <f>IFERROR(__xludf.DUMMYFUNCTION("REGEXREPLACE(G1989, ""[^0-9a-zA-Z .'Ã]"","""")"),"Alicia Goranson")</f>
        <v>Alicia Goranson</v>
      </c>
      <c r="I1989" s="20" t="s">
        <v>6688</v>
      </c>
      <c r="J1989" s="18">
        <v>77551.0</v>
      </c>
      <c r="K1989" s="18" t="s">
        <v>6689</v>
      </c>
      <c r="L1989" s="18">
        <v>434.0</v>
      </c>
      <c r="M1989" s="18" t="s">
        <v>24</v>
      </c>
      <c r="N1989" s="18" t="s">
        <v>25</v>
      </c>
      <c r="O1989" s="19">
        <v>2000000.0</v>
      </c>
      <c r="P1989" s="10">
        <f t="shared" si="2"/>
        <v>9533945</v>
      </c>
      <c r="Q1989" s="12">
        <f t="shared" si="3"/>
        <v>0</v>
      </c>
      <c r="R1989" s="18">
        <v>1999.0</v>
      </c>
      <c r="S1989" s="18">
        <v>7.6</v>
      </c>
    </row>
    <row r="1990" ht="15.75" customHeight="1">
      <c r="A1990" s="25" t="s">
        <v>4462</v>
      </c>
      <c r="B1990" s="8" t="str">
        <f>IFERROR(__xludf.DUMMYFUNCTION("REGEXREPLACE(A1990, ""[^0-9a-zA-Z .'Ã]"","""")"),"Alexandre Aja")</f>
        <v>Alexandre Aja</v>
      </c>
      <c r="C1990" s="26">
        <v>365.0</v>
      </c>
      <c r="D1990" s="27">
        <v>2.5003072E7</v>
      </c>
      <c r="E1990" s="26" t="s">
        <v>364</v>
      </c>
      <c r="F1990" s="9">
        <f t="shared" si="1"/>
        <v>2</v>
      </c>
      <c r="G1990" s="26" t="s">
        <v>2667</v>
      </c>
      <c r="H1990" s="11" t="str">
        <f>IFERROR(__xludf.DUMMYFUNCTION("REGEXREPLACE(G1990, ""[^0-9a-zA-Z .'Ã]"","""")"),"Adam Scott")</f>
        <v>Adam Scott</v>
      </c>
      <c r="I1990" s="28" t="s">
        <v>6690</v>
      </c>
      <c r="J1990" s="26">
        <v>72552.0</v>
      </c>
      <c r="K1990" s="26" t="s">
        <v>6691</v>
      </c>
      <c r="L1990" s="26">
        <v>374.0</v>
      </c>
      <c r="M1990" s="26" t="s">
        <v>24</v>
      </c>
      <c r="N1990" s="26" t="s">
        <v>25</v>
      </c>
      <c r="O1990" s="27">
        <v>2.4E7</v>
      </c>
      <c r="P1990" s="10">
        <f t="shared" si="2"/>
        <v>1003072</v>
      </c>
      <c r="Q1990" s="12">
        <f t="shared" si="3"/>
        <v>0</v>
      </c>
      <c r="R1990" s="26">
        <v>2010.0</v>
      </c>
      <c r="S1990" s="26">
        <v>5.5</v>
      </c>
    </row>
    <row r="1991" ht="15.75" customHeight="1">
      <c r="A1991" s="7" t="s">
        <v>6692</v>
      </c>
      <c r="B1991" s="8" t="str">
        <f>IFERROR(__xludf.DUMMYFUNCTION("REGEXREPLACE(A1991, ""[^0-9a-zA-Z .'Ã]"","""")"),"R. Balki")</f>
        <v>R. Balki</v>
      </c>
      <c r="C1991" s="9">
        <v>12.0</v>
      </c>
      <c r="D1991" s="10">
        <v>199228.0</v>
      </c>
      <c r="E1991" s="9" t="s">
        <v>454</v>
      </c>
      <c r="F1991" s="9">
        <f t="shared" si="1"/>
        <v>2</v>
      </c>
      <c r="G1991" s="9" t="s">
        <v>6693</v>
      </c>
      <c r="H1991" s="11" t="str">
        <f>IFERROR(__xludf.DUMMYFUNCTION("REGEXREPLACE(G1991, ""[^0-9a-zA-Z .'Ã]"","""")"),"Vidya Balan")</f>
        <v>Vidya Balan</v>
      </c>
      <c r="I1991" s="11" t="s">
        <v>6694</v>
      </c>
      <c r="J1991" s="9">
        <v>7295.0</v>
      </c>
      <c r="K1991" s="9" t="s">
        <v>6695</v>
      </c>
      <c r="L1991" s="9">
        <v>49.0</v>
      </c>
      <c r="M1991" s="9" t="s">
        <v>670</v>
      </c>
      <c r="N1991" s="9" t="s">
        <v>671</v>
      </c>
      <c r="O1991" s="10">
        <v>1.5E8</v>
      </c>
      <c r="P1991" s="10">
        <f t="shared" si="2"/>
        <v>0</v>
      </c>
      <c r="Q1991" s="12">
        <f t="shared" si="3"/>
        <v>149800772</v>
      </c>
      <c r="R1991" s="9">
        <v>2009.0</v>
      </c>
      <c r="S1991" s="9">
        <v>7.2</v>
      </c>
    </row>
    <row r="1992" ht="15.75" customHeight="1">
      <c r="A1992" s="17" t="s">
        <v>2248</v>
      </c>
      <c r="B1992" s="8" t="str">
        <f>IFERROR(__xludf.DUMMYFUNCTION("REGEXREPLACE(A1992, ""[^0-9a-zA-Z .'Ã]"","""")"),"Andy Tennant")</f>
        <v>Andy Tennant</v>
      </c>
      <c r="C1992" s="18">
        <v>92.0</v>
      </c>
      <c r="D1992" s="19">
        <v>6.5703412E7</v>
      </c>
      <c r="E1992" s="18" t="s">
        <v>159</v>
      </c>
      <c r="F1992" s="9">
        <f t="shared" si="1"/>
        <v>3</v>
      </c>
      <c r="G1992" s="18" t="s">
        <v>1601</v>
      </c>
      <c r="H1992" s="11" t="str">
        <f>IFERROR(__xludf.DUMMYFUNCTION("REGEXREPLACE(G1992, ""[^0-9a-zA-Z .'Ã]"","""")"),"Anjelica Huston")</f>
        <v>Anjelica Huston</v>
      </c>
      <c r="I1992" s="20" t="s">
        <v>6696</v>
      </c>
      <c r="J1992" s="18">
        <v>57958.0</v>
      </c>
      <c r="K1992" s="18" t="s">
        <v>6697</v>
      </c>
      <c r="L1992" s="18">
        <v>345.0</v>
      </c>
      <c r="M1992" s="18" t="s">
        <v>24</v>
      </c>
      <c r="N1992" s="18" t="s">
        <v>25</v>
      </c>
      <c r="O1992" s="19">
        <v>2.6E7</v>
      </c>
      <c r="P1992" s="10">
        <f t="shared" si="2"/>
        <v>39703412</v>
      </c>
      <c r="Q1992" s="12">
        <f t="shared" si="3"/>
        <v>0</v>
      </c>
      <c r="R1992" s="18">
        <v>1998.0</v>
      </c>
      <c r="S1992" s="18">
        <v>7.0</v>
      </c>
    </row>
    <row r="1993" ht="15.75" customHeight="1">
      <c r="A1993" s="21" t="s">
        <v>760</v>
      </c>
      <c r="B1993" s="8" t="str">
        <f>IFERROR(__xludf.DUMMYFUNCTION("REGEXREPLACE(A1993, ""[^0-9a-zA-Z .'Ã]"","""")"),"Martin Scorsese")</f>
        <v>Martin Scorsese</v>
      </c>
      <c r="C1993" s="22">
        <v>120.0</v>
      </c>
      <c r="D1993" s="23">
        <v>7.91E7</v>
      </c>
      <c r="E1993" s="22" t="s">
        <v>316</v>
      </c>
      <c r="F1993" s="9">
        <f t="shared" si="1"/>
        <v>2</v>
      </c>
      <c r="G1993" s="22" t="s">
        <v>883</v>
      </c>
      <c r="H1993" s="11" t="str">
        <f>IFERROR(__xludf.DUMMYFUNCTION("REGEXREPLACE(G1993, ""[^0-9a-zA-Z .'Ã]"","""")"),"Robert De Niro")</f>
        <v>Robert De Niro</v>
      </c>
      <c r="I1993" s="24" t="s">
        <v>6698</v>
      </c>
      <c r="J1993" s="22">
        <v>127503.0</v>
      </c>
      <c r="K1993" s="22" t="s">
        <v>6699</v>
      </c>
      <c r="L1993" s="22">
        <v>261.0</v>
      </c>
      <c r="M1993" s="22" t="s">
        <v>24</v>
      </c>
      <c r="N1993" s="22" t="s">
        <v>25</v>
      </c>
      <c r="O1993" s="23">
        <v>3.5E7</v>
      </c>
      <c r="P1993" s="10">
        <f t="shared" si="2"/>
        <v>44100000</v>
      </c>
      <c r="Q1993" s="12">
        <f t="shared" si="3"/>
        <v>0</v>
      </c>
      <c r="R1993" s="22">
        <v>1991.0</v>
      </c>
      <c r="S1993" s="22">
        <v>7.3</v>
      </c>
    </row>
    <row r="1994" ht="15.75" customHeight="1">
      <c r="A1994" s="29" t="s">
        <v>4477</v>
      </c>
      <c r="B1994" s="8" t="str">
        <f>IFERROR(__xludf.DUMMYFUNCTION("REGEXREPLACE(A1994, ""[^0-9a-zA-Z .'Ã]"","""")"),"Gary Winick")</f>
        <v>Gary Winick</v>
      </c>
      <c r="C1994" s="30">
        <v>152.0</v>
      </c>
      <c r="D1994" s="31">
        <v>5.871551E7</v>
      </c>
      <c r="E1994" s="30" t="s">
        <v>89</v>
      </c>
      <c r="F1994" s="9">
        <f t="shared" si="1"/>
        <v>2</v>
      </c>
      <c r="G1994" s="30" t="s">
        <v>419</v>
      </c>
      <c r="H1994" s="11" t="str">
        <f>IFERROR(__xludf.DUMMYFUNCTION("REGEXREPLACE(G1994, ""[^0-9a-zA-Z .'Ã]"","""")"),"Anne Hathaway")</f>
        <v>Anne Hathaway</v>
      </c>
      <c r="I1994" s="32" t="s">
        <v>6700</v>
      </c>
      <c r="J1994" s="30">
        <v>79094.0</v>
      </c>
      <c r="K1994" s="30" t="s">
        <v>6701</v>
      </c>
      <c r="L1994" s="30">
        <v>129.0</v>
      </c>
      <c r="M1994" s="30" t="s">
        <v>24</v>
      </c>
      <c r="N1994" s="30" t="s">
        <v>25</v>
      </c>
      <c r="O1994" s="31">
        <v>3.0E7</v>
      </c>
      <c r="P1994" s="10">
        <f t="shared" si="2"/>
        <v>28715510</v>
      </c>
      <c r="Q1994" s="12">
        <f t="shared" si="3"/>
        <v>0</v>
      </c>
      <c r="R1994" s="30">
        <v>2009.0</v>
      </c>
      <c r="S1994" s="30">
        <v>5.4</v>
      </c>
    </row>
    <row r="1995" ht="15.75" customHeight="1">
      <c r="A1995" s="7" t="s">
        <v>6702</v>
      </c>
      <c r="B1995" s="8" t="str">
        <f>IFERROR(__xludf.DUMMYFUNCTION("REGEXREPLACE(A1995, ""[^0-9a-zA-Z .'Ã]"","""")"),"Mike Flanagan")</f>
        <v>Mike Flanagan</v>
      </c>
      <c r="C1995" s="9">
        <v>336.0</v>
      </c>
      <c r="D1995" s="10">
        <v>2.7689474E7</v>
      </c>
      <c r="E1995" s="9" t="s">
        <v>565</v>
      </c>
      <c r="F1995" s="9">
        <f t="shared" si="1"/>
        <v>2</v>
      </c>
      <c r="G1995" s="9" t="s">
        <v>6703</v>
      </c>
      <c r="H1995" s="11" t="str">
        <f>IFERROR(__xludf.DUMMYFUNCTION("REGEXREPLACE(G1995, ""[^0-9a-zA-Z .'Ã]"","""")"),"James Lafferty")</f>
        <v>James Lafferty</v>
      </c>
      <c r="I1995" s="11" t="s">
        <v>6704</v>
      </c>
      <c r="J1995" s="9">
        <v>85688.0</v>
      </c>
      <c r="K1995" s="9" t="s">
        <v>6705</v>
      </c>
      <c r="L1995" s="9">
        <v>339.0</v>
      </c>
      <c r="M1995" s="9" t="s">
        <v>24</v>
      </c>
      <c r="N1995" s="9" t="s">
        <v>25</v>
      </c>
      <c r="O1995" s="10">
        <v>5000000.0</v>
      </c>
      <c r="P1995" s="10">
        <f t="shared" si="2"/>
        <v>22689474</v>
      </c>
      <c r="Q1995" s="12">
        <f t="shared" si="3"/>
        <v>0</v>
      </c>
      <c r="R1995" s="9">
        <v>2013.0</v>
      </c>
      <c r="S1995" s="9">
        <v>6.5</v>
      </c>
    </row>
    <row r="1996" ht="15.75" customHeight="1">
      <c r="A1996" s="21" t="s">
        <v>5312</v>
      </c>
      <c r="B1996" s="8" t="str">
        <f>IFERROR(__xludf.DUMMYFUNCTION("REGEXREPLACE(A1996, ""[^0-9a-zA-Z .'Ã]"","""")"),"Nicolas Winding Refn")</f>
        <v>Nicolas Winding Refn</v>
      </c>
      <c r="C1996" s="22">
        <v>253.0</v>
      </c>
      <c r="D1996" s="23">
        <v>1330827.0</v>
      </c>
      <c r="E1996" s="22" t="s">
        <v>306</v>
      </c>
      <c r="F1996" s="9">
        <f t="shared" si="1"/>
        <v>2</v>
      </c>
      <c r="G1996" s="22" t="s">
        <v>1170</v>
      </c>
      <c r="H1996" s="11" t="str">
        <f>IFERROR(__xludf.DUMMYFUNCTION("REGEXREPLACE(G1996, ""[^0-9a-zA-Z .'Ã]"","""")"),"Keanu Reeves")</f>
        <v>Keanu Reeves</v>
      </c>
      <c r="I1996" s="24" t="s">
        <v>6706</v>
      </c>
      <c r="J1996" s="22">
        <v>9866.0</v>
      </c>
      <c r="K1996" s="22" t="s">
        <v>6707</v>
      </c>
      <c r="L1996" s="22">
        <v>73.0</v>
      </c>
      <c r="M1996" s="22" t="s">
        <v>24</v>
      </c>
      <c r="N1996" s="22" t="s">
        <v>608</v>
      </c>
      <c r="O1996" s="23">
        <v>7000000.0</v>
      </c>
      <c r="P1996" s="10">
        <f t="shared" si="2"/>
        <v>0</v>
      </c>
      <c r="Q1996" s="12">
        <f t="shared" si="3"/>
        <v>5669173</v>
      </c>
      <c r="R1996" s="22">
        <v>2016.0</v>
      </c>
      <c r="S1996" s="22">
        <v>7.0</v>
      </c>
    </row>
    <row r="1997" ht="15.75" customHeight="1">
      <c r="A1997" s="21" t="s">
        <v>583</v>
      </c>
      <c r="B1997" s="8" t="str">
        <f>IFERROR(__xludf.DUMMYFUNCTION("REGEXREPLACE(A1997, ""[^0-9a-zA-Z .'Ã]"","""")"),"Gus Van Sant")</f>
        <v>Gus Van Sant</v>
      </c>
      <c r="C1997" s="22">
        <v>63.0</v>
      </c>
      <c r="D1997" s="23">
        <v>6401336.0</v>
      </c>
      <c r="E1997" s="22" t="s">
        <v>103</v>
      </c>
      <c r="F1997" s="9">
        <f t="shared" si="1"/>
        <v>1</v>
      </c>
      <c r="G1997" s="22" t="s">
        <v>1170</v>
      </c>
      <c r="H1997" s="11" t="str">
        <f>IFERROR(__xludf.DUMMYFUNCTION("REGEXREPLACE(G1997, ""[^0-9a-zA-Z .'Ã]"","""")"),"Keanu Reeves")</f>
        <v>Keanu Reeves</v>
      </c>
      <c r="I1997" s="24" t="s">
        <v>6708</v>
      </c>
      <c r="J1997" s="22">
        <v>36996.0</v>
      </c>
      <c r="K1997" s="22" t="s">
        <v>6709</v>
      </c>
      <c r="L1997" s="22">
        <v>153.0</v>
      </c>
      <c r="M1997" s="22" t="s">
        <v>24</v>
      </c>
      <c r="N1997" s="22" t="s">
        <v>25</v>
      </c>
      <c r="O1997" s="23">
        <v>2500000.0</v>
      </c>
      <c r="P1997" s="10">
        <f t="shared" si="2"/>
        <v>3901336</v>
      </c>
      <c r="Q1997" s="12">
        <f t="shared" si="3"/>
        <v>0</v>
      </c>
      <c r="R1997" s="22">
        <v>1991.0</v>
      </c>
      <c r="S1997" s="22">
        <v>7.1</v>
      </c>
    </row>
    <row r="1998" ht="15.75" customHeight="1">
      <c r="A1998" s="13" t="s">
        <v>4502</v>
      </c>
      <c r="B1998" s="8" t="str">
        <f>IFERROR(__xludf.DUMMYFUNCTION("REGEXREPLACE(A1998, ""[^0-9a-zA-Z .'Ã]"","""")"),"Kenny Ortega")</f>
        <v>Kenny Ortega</v>
      </c>
      <c r="C1998" s="14">
        <v>36.0</v>
      </c>
      <c r="D1998" s="15">
        <v>3.9514713E7</v>
      </c>
      <c r="E1998" s="14" t="s">
        <v>514</v>
      </c>
      <c r="F1998" s="9">
        <f t="shared" si="1"/>
        <v>3</v>
      </c>
      <c r="G1998" s="14" t="s">
        <v>6710</v>
      </c>
      <c r="H1998" s="11" t="str">
        <f>IFERROR(__xludf.DUMMYFUNCTION("REGEXREPLACE(G1998, ""[^0-9a-zA-Z .'Ã]"","""")"),"Vinessa Shaw")</f>
        <v>Vinessa Shaw</v>
      </c>
      <c r="I1998" s="16" t="s">
        <v>6711</v>
      </c>
      <c r="J1998" s="14">
        <v>60494.0</v>
      </c>
      <c r="K1998" s="14" t="s">
        <v>6712</v>
      </c>
      <c r="L1998" s="14">
        <v>132.0</v>
      </c>
      <c r="M1998" s="14" t="s">
        <v>24</v>
      </c>
      <c r="N1998" s="14" t="s">
        <v>25</v>
      </c>
      <c r="O1998" s="15">
        <v>2.8E7</v>
      </c>
      <c r="P1998" s="10">
        <f t="shared" si="2"/>
        <v>11514713</v>
      </c>
      <c r="Q1998" s="12">
        <f t="shared" si="3"/>
        <v>0</v>
      </c>
      <c r="R1998" s="14">
        <v>1993.0</v>
      </c>
      <c r="S1998" s="14">
        <v>6.7</v>
      </c>
    </row>
    <row r="1999" ht="15.75" customHeight="1">
      <c r="A1999" s="21" t="s">
        <v>3674</v>
      </c>
      <c r="B1999" s="8" t="str">
        <f>IFERROR(__xludf.DUMMYFUNCTION("REGEXREPLACE(A1999, ""[^0-9a-zA-Z .'Ã]"","""")"),"Michael Tiddes")</f>
        <v>Michael Tiddes</v>
      </c>
      <c r="C1999" s="22">
        <v>59.0</v>
      </c>
      <c r="D1999" s="23">
        <v>1.1675178E7</v>
      </c>
      <c r="E1999" s="22" t="s">
        <v>137</v>
      </c>
      <c r="F1999" s="9">
        <f t="shared" si="1"/>
        <v>1</v>
      </c>
      <c r="G1999" s="22" t="s">
        <v>6713</v>
      </c>
      <c r="H1999" s="11" t="str">
        <f>IFERROR(__xludf.DUMMYFUNCTION("REGEXREPLACE(G1999, ""[^0-9a-zA-Z .'Ã]"","""")"),"Fred Willard")</f>
        <v>Fred Willard</v>
      </c>
      <c r="I1999" s="24" t="s">
        <v>6714</v>
      </c>
      <c r="J1999" s="22">
        <v>9509.0</v>
      </c>
      <c r="K1999" s="22" t="s">
        <v>6715</v>
      </c>
      <c r="L1999" s="22">
        <v>53.0</v>
      </c>
      <c r="M1999" s="22" t="s">
        <v>24</v>
      </c>
      <c r="N1999" s="22" t="s">
        <v>25</v>
      </c>
      <c r="O1999" s="23">
        <v>5000000.0</v>
      </c>
      <c r="P1999" s="10">
        <f t="shared" si="2"/>
        <v>6675178</v>
      </c>
      <c r="Q1999" s="12">
        <f t="shared" si="3"/>
        <v>0</v>
      </c>
      <c r="R1999" s="22">
        <v>2016.0</v>
      </c>
      <c r="S1999" s="22">
        <v>3.5</v>
      </c>
    </row>
    <row r="2000" ht="15.75" customHeight="1">
      <c r="A2000" s="7" t="s">
        <v>469</v>
      </c>
      <c r="B2000" s="8" t="str">
        <f>IFERROR(__xludf.DUMMYFUNCTION("REGEXREPLACE(A2000, ""[^0-9a-zA-Z .'Ã]"","""")"),"Wes Anderson")</f>
        <v>Wes Anderson</v>
      </c>
      <c r="C2000" s="9">
        <v>536.0</v>
      </c>
      <c r="D2000" s="10">
        <v>5.9073773E7</v>
      </c>
      <c r="E2000" s="9" t="s">
        <v>6716</v>
      </c>
      <c r="F2000" s="9">
        <f t="shared" si="1"/>
        <v>4</v>
      </c>
      <c r="G2000" s="9" t="s">
        <v>470</v>
      </c>
      <c r="H2000" s="11" t="str">
        <f>IFERROR(__xludf.DUMMYFUNCTION("REGEXREPLACE(G2000, ""[^0-9a-zA-Z .'Ã]"","""")"),"Bill Murray")</f>
        <v>Bill Murray</v>
      </c>
      <c r="I2000" s="11" t="s">
        <v>6717</v>
      </c>
      <c r="J2000" s="9">
        <v>475518.0</v>
      </c>
      <c r="K2000" s="9" t="s">
        <v>6718</v>
      </c>
      <c r="L2000" s="9">
        <v>644.0</v>
      </c>
      <c r="M2000" s="9" t="s">
        <v>24</v>
      </c>
      <c r="N2000" s="9" t="s">
        <v>25</v>
      </c>
      <c r="O2000" s="10">
        <v>2.5E7</v>
      </c>
      <c r="P2000" s="10">
        <f t="shared" si="2"/>
        <v>34073773</v>
      </c>
      <c r="Q2000" s="12">
        <f t="shared" si="3"/>
        <v>0</v>
      </c>
      <c r="R2000" s="9">
        <v>2014.0</v>
      </c>
      <c r="S2000" s="9">
        <v>8.1</v>
      </c>
    </row>
    <row r="2001" ht="15.75" customHeight="1">
      <c r="A2001" s="7" t="s">
        <v>4050</v>
      </c>
      <c r="B2001" s="8" t="str">
        <f>IFERROR(__xludf.DUMMYFUNCTION("REGEXREPLACE(A2001, ""[^0-9a-zA-Z -.'Ã]"","""")"),"Alfonso CuarÃn")</f>
        <v>Alfonso CuarÃn</v>
      </c>
      <c r="C2001" s="9">
        <v>274.0</v>
      </c>
      <c r="D2001" s="10">
        <v>2.49358727E8</v>
      </c>
      <c r="E2001" s="9" t="s">
        <v>1022</v>
      </c>
      <c r="F2001" s="9">
        <f t="shared" si="1"/>
        <v>4</v>
      </c>
      <c r="G2001" s="9" t="s">
        <v>2094</v>
      </c>
      <c r="H2001" s="11" t="str">
        <f>IFERROR(__xludf.DUMMYFUNCTION("REGEXREPLACE(G2001, ""[^0-9a-zA-Z .'Ã]"","""")"),"Daniel Radcliffe")</f>
        <v>Daniel Radcliffe</v>
      </c>
      <c r="I2001" s="11" t="s">
        <v>6719</v>
      </c>
      <c r="J2001" s="9">
        <v>382255.0</v>
      </c>
      <c r="K2001" s="9" t="s">
        <v>6720</v>
      </c>
      <c r="L2001" s="9">
        <v>1504.0</v>
      </c>
      <c r="M2001" s="9" t="s">
        <v>24</v>
      </c>
      <c r="N2001" s="9" t="s">
        <v>130</v>
      </c>
      <c r="O2001" s="10">
        <v>1.3E8</v>
      </c>
      <c r="P2001" s="10">
        <f t="shared" si="2"/>
        <v>119358727</v>
      </c>
      <c r="Q2001" s="12">
        <f t="shared" si="3"/>
        <v>0</v>
      </c>
      <c r="R2001" s="9">
        <v>2004.0</v>
      </c>
      <c r="S2001" s="9">
        <v>7.8</v>
      </c>
    </row>
    <row r="2002" ht="15.75" customHeight="1">
      <c r="A2002" s="17" t="s">
        <v>6721</v>
      </c>
      <c r="B2002" s="8" t="str">
        <f>IFERROR(__xludf.DUMMYFUNCTION("REGEXREPLACE(A2002, ""[^0-9a-zA-Z .'Ã]"","""")"),"Alister Grierson")</f>
        <v>Alister Grierson</v>
      </c>
      <c r="C2002" s="18">
        <v>244.0</v>
      </c>
      <c r="D2002" s="19">
        <v>2.3070045E7</v>
      </c>
      <c r="E2002" s="18" t="s">
        <v>3081</v>
      </c>
      <c r="F2002" s="9">
        <f t="shared" si="1"/>
        <v>3</v>
      </c>
      <c r="G2002" s="18" t="s">
        <v>75</v>
      </c>
      <c r="H2002" s="11" t="str">
        <f>IFERROR(__xludf.DUMMYFUNCTION("REGEXREPLACE(G2002, ""[^0-9a-zA-Z .'Ã]"","""")"),"Ioan Gruffudd")</f>
        <v>Ioan Gruffudd</v>
      </c>
      <c r="I2002" s="20" t="s">
        <v>6722</v>
      </c>
      <c r="J2002" s="18">
        <v>47003.0</v>
      </c>
      <c r="K2002" s="18" t="s">
        <v>6723</v>
      </c>
      <c r="L2002" s="18">
        <v>215.0</v>
      </c>
      <c r="M2002" s="18" t="s">
        <v>24</v>
      </c>
      <c r="N2002" s="18" t="s">
        <v>25</v>
      </c>
      <c r="O2002" s="19">
        <v>3.0E7</v>
      </c>
      <c r="P2002" s="10">
        <f t="shared" si="2"/>
        <v>0</v>
      </c>
      <c r="Q2002" s="12">
        <f t="shared" si="3"/>
        <v>6929955</v>
      </c>
      <c r="R2002" s="18">
        <v>2011.0</v>
      </c>
      <c r="S2002" s="18">
        <v>5.9</v>
      </c>
    </row>
    <row r="2003" ht="15.75" customHeight="1">
      <c r="A2003" s="17" t="s">
        <v>2730</v>
      </c>
      <c r="B2003" s="8" t="str">
        <f>IFERROR(__xludf.DUMMYFUNCTION("REGEXREPLACE(A2003, ""[^0-9a-zA-Z .'Ã]"","""")"),"Matthew Vaughn")</f>
        <v>Matthew Vaughn</v>
      </c>
      <c r="C2003" s="18">
        <v>149.0</v>
      </c>
      <c r="D2003" s="19">
        <v>2338695.0</v>
      </c>
      <c r="E2003" s="18" t="s">
        <v>113</v>
      </c>
      <c r="F2003" s="9">
        <f t="shared" si="1"/>
        <v>3</v>
      </c>
      <c r="G2003" s="18" t="s">
        <v>1634</v>
      </c>
      <c r="H2003" s="11" t="str">
        <f>IFERROR(__xludf.DUMMYFUNCTION("REGEXREPLACE(G2003, ""[^0-9a-zA-Z .'Ã]"","""")"),"Tom Hardy")</f>
        <v>Tom Hardy</v>
      </c>
      <c r="I2003" s="20" t="s">
        <v>6724</v>
      </c>
      <c r="J2003" s="18">
        <v>134070.0</v>
      </c>
      <c r="K2003" s="18" t="s">
        <v>6725</v>
      </c>
      <c r="L2003" s="18">
        <v>263.0</v>
      </c>
      <c r="M2003" s="18" t="s">
        <v>24</v>
      </c>
      <c r="N2003" s="18" t="s">
        <v>130</v>
      </c>
      <c r="O2003" s="19">
        <v>4000000.0</v>
      </c>
      <c r="P2003" s="10">
        <f t="shared" si="2"/>
        <v>0</v>
      </c>
      <c r="Q2003" s="12">
        <f t="shared" si="3"/>
        <v>1661305</v>
      </c>
      <c r="R2003" s="18">
        <v>2004.0</v>
      </c>
      <c r="S2003" s="18">
        <v>7.4</v>
      </c>
    </row>
    <row r="2004" ht="15.75" customHeight="1">
      <c r="A2004" s="7" t="s">
        <v>924</v>
      </c>
      <c r="B2004" s="8" t="str">
        <f>IFERROR(__xludf.DUMMYFUNCTION("REGEXREPLACE(A2004, ""[^0-9a-zA-Z .'Ã]"","""")"),"Wolfgang Petersen")</f>
        <v>Wolfgang Petersen</v>
      </c>
      <c r="C2004" s="9">
        <v>220.0</v>
      </c>
      <c r="D2004" s="10">
        <v>1.33228348E8</v>
      </c>
      <c r="E2004" s="9" t="s">
        <v>5617</v>
      </c>
      <c r="F2004" s="9">
        <f t="shared" si="1"/>
        <v>1</v>
      </c>
      <c r="G2004" s="9" t="s">
        <v>1426</v>
      </c>
      <c r="H2004" s="11" t="str">
        <f>IFERROR(__xludf.DUMMYFUNCTION("REGEXREPLACE(G2004, ""[^0-9a-zA-Z .'Ã]"","""")"),"Brad Pitt")</f>
        <v>Brad Pitt</v>
      </c>
      <c r="I2004" s="11" t="s">
        <v>6726</v>
      </c>
      <c r="J2004" s="9">
        <v>381672.0</v>
      </c>
      <c r="K2004" s="9" t="s">
        <v>6727</v>
      </c>
      <c r="L2004" s="9">
        <v>1694.0</v>
      </c>
      <c r="M2004" s="9" t="s">
        <v>24</v>
      </c>
      <c r="N2004" s="9" t="s">
        <v>25</v>
      </c>
      <c r="O2004" s="10">
        <v>1.75E8</v>
      </c>
      <c r="P2004" s="10">
        <f t="shared" si="2"/>
        <v>0</v>
      </c>
      <c r="Q2004" s="12">
        <f t="shared" si="3"/>
        <v>41771652</v>
      </c>
      <c r="R2004" s="9">
        <v>2004.0</v>
      </c>
      <c r="S2004" s="9">
        <v>7.2</v>
      </c>
    </row>
    <row r="2005" ht="15.75" customHeight="1">
      <c r="A2005" s="21" t="s">
        <v>6728</v>
      </c>
      <c r="B2005" s="8" t="str">
        <f>IFERROR(__xludf.DUMMYFUNCTION("REGEXREPLACE(A2005, ""[^0-9a-zA-Z -.'Ã]"","""")"),"Max FÃrberbÃck")</f>
        <v>Max FÃrberbÃck</v>
      </c>
      <c r="C2005" s="22">
        <v>63.0</v>
      </c>
      <c r="D2005" s="23">
        <v>927107.0</v>
      </c>
      <c r="E2005" s="22" t="s">
        <v>2640</v>
      </c>
      <c r="F2005" s="9">
        <f t="shared" si="1"/>
        <v>4</v>
      </c>
      <c r="G2005" s="22" t="s">
        <v>6729</v>
      </c>
      <c r="H2005" s="11" t="str">
        <f>IFERROR(__xludf.DUMMYFUNCTION("REGEXREPLACE(G2005, ""[^0-9a-zA-Z .'Ã]"","""")"),"Heike Makatsch")</f>
        <v>Heike Makatsch</v>
      </c>
      <c r="I2005" s="24" t="s">
        <v>6730</v>
      </c>
      <c r="J2005" s="22">
        <v>5153.0</v>
      </c>
      <c r="K2005" s="22" t="s">
        <v>6731</v>
      </c>
      <c r="L2005" s="22">
        <v>51.0</v>
      </c>
      <c r="M2005" s="22" t="s">
        <v>1042</v>
      </c>
      <c r="N2005" s="22" t="s">
        <v>173</v>
      </c>
      <c r="O2005" s="23">
        <v>1.5E7</v>
      </c>
      <c r="P2005" s="10">
        <f t="shared" si="2"/>
        <v>0</v>
      </c>
      <c r="Q2005" s="12">
        <f t="shared" si="3"/>
        <v>14072893</v>
      </c>
      <c r="R2005" s="22">
        <v>1999.0</v>
      </c>
      <c r="S2005" s="22">
        <v>7.3</v>
      </c>
    </row>
    <row r="2006" ht="15.75" customHeight="1">
      <c r="A2006" s="7" t="s">
        <v>6732</v>
      </c>
      <c r="B2006" s="8" t="str">
        <f>IFERROR(__xludf.DUMMYFUNCTION("REGEXREPLACE(A2006, ""[^0-9a-zA-Z .'Ã]"","""")"),"Allen Hughes")</f>
        <v>Allen Hughes</v>
      </c>
      <c r="C2006" s="9">
        <v>298.0</v>
      </c>
      <c r="D2006" s="10">
        <v>1.9692608E7</v>
      </c>
      <c r="E2006" s="9" t="s">
        <v>113</v>
      </c>
      <c r="F2006" s="9">
        <f t="shared" si="1"/>
        <v>3</v>
      </c>
      <c r="G2006" s="9" t="s">
        <v>6733</v>
      </c>
      <c r="H2006" s="11" t="str">
        <f>IFERROR(__xludf.DUMMYFUNCTION("REGEXREPLACE(G2006, ""[^0-9a-zA-Z .'Ã]"","""")"),"Alona Tal")</f>
        <v>Alona Tal</v>
      </c>
      <c r="I2006" s="11" t="s">
        <v>6734</v>
      </c>
      <c r="J2006" s="9">
        <v>63548.0</v>
      </c>
      <c r="K2006" s="9" t="s">
        <v>6735</v>
      </c>
      <c r="L2006" s="9">
        <v>134.0</v>
      </c>
      <c r="M2006" s="9" t="s">
        <v>24</v>
      </c>
      <c r="N2006" s="9" t="s">
        <v>25</v>
      </c>
      <c r="O2006" s="10">
        <v>3.5E7</v>
      </c>
      <c r="P2006" s="10">
        <f t="shared" si="2"/>
        <v>0</v>
      </c>
      <c r="Q2006" s="12">
        <f t="shared" si="3"/>
        <v>15307392</v>
      </c>
      <c r="R2006" s="9">
        <v>2013.0</v>
      </c>
      <c r="S2006" s="9">
        <v>6.2</v>
      </c>
    </row>
    <row r="2007" ht="15.75" customHeight="1">
      <c r="A2007" s="7" t="s">
        <v>760</v>
      </c>
      <c r="B2007" s="8" t="str">
        <f>IFERROR(__xludf.DUMMYFUNCTION("REGEXREPLACE(A2007, ""[^0-9a-zA-Z .'Ã]"","""")"),"Martin Scorsese")</f>
        <v>Martin Scorsese</v>
      </c>
      <c r="C2007" s="9">
        <v>56.0</v>
      </c>
      <c r="D2007" s="10">
        <v>3.2E7</v>
      </c>
      <c r="E2007" s="9" t="s">
        <v>232</v>
      </c>
      <c r="F2007" s="9">
        <f t="shared" si="1"/>
        <v>2</v>
      </c>
      <c r="G2007" s="9" t="s">
        <v>3968</v>
      </c>
      <c r="H2007" s="11" t="str">
        <f>IFERROR(__xludf.DUMMYFUNCTION("REGEXREPLACE(G2007, ""[^0-9a-zA-Z .'Ã]"","""")"),"Richard E. Grant")</f>
        <v>Richard E. Grant</v>
      </c>
      <c r="I2007" s="11" t="s">
        <v>6736</v>
      </c>
      <c r="J2007" s="9">
        <v>36267.0</v>
      </c>
      <c r="K2007" s="9" t="s">
        <v>6737</v>
      </c>
      <c r="L2007" s="9">
        <v>150.0</v>
      </c>
      <c r="M2007" s="9" t="s">
        <v>24</v>
      </c>
      <c r="N2007" s="9" t="s">
        <v>25</v>
      </c>
      <c r="O2007" s="10">
        <v>3.0E7</v>
      </c>
      <c r="P2007" s="10">
        <f t="shared" si="2"/>
        <v>2000000</v>
      </c>
      <c r="Q2007" s="12">
        <f t="shared" si="3"/>
        <v>0</v>
      </c>
      <c r="R2007" s="9">
        <v>1993.0</v>
      </c>
      <c r="S2007" s="9">
        <v>7.2</v>
      </c>
    </row>
    <row r="2008" ht="15.75" customHeight="1">
      <c r="A2008" s="21" t="s">
        <v>2446</v>
      </c>
      <c r="B2008" s="8" t="str">
        <f>IFERROR(__xludf.DUMMYFUNCTION("REGEXREPLACE(A2008, ""[^0-9a-zA-Z .'Ã]"","""")"),"Brad Anderson")</f>
        <v>Brad Anderson</v>
      </c>
      <c r="C2008" s="22">
        <v>127.0</v>
      </c>
      <c r="D2008" s="23">
        <v>373967.0</v>
      </c>
      <c r="E2008" s="22" t="s">
        <v>565</v>
      </c>
      <c r="F2008" s="9">
        <f t="shared" si="1"/>
        <v>2</v>
      </c>
      <c r="G2008" s="22" t="s">
        <v>6738</v>
      </c>
      <c r="H2008" s="11" t="str">
        <f>IFERROR(__xludf.DUMMYFUNCTION("REGEXREPLACE(G2008, ""[^0-9a-zA-Z .'Ã]"","""")"),"Paul Guilfoyle")</f>
        <v>Paul Guilfoyle</v>
      </c>
      <c r="I2008" s="24" t="s">
        <v>6739</v>
      </c>
      <c r="J2008" s="22">
        <v>43839.0</v>
      </c>
      <c r="K2008" s="22" t="s">
        <v>6740</v>
      </c>
      <c r="L2008" s="22">
        <v>481.0</v>
      </c>
      <c r="M2008" s="22" t="s">
        <v>24</v>
      </c>
      <c r="N2008" s="22" t="s">
        <v>25</v>
      </c>
      <c r="O2008" s="23">
        <v>1500000.0</v>
      </c>
      <c r="P2008" s="10">
        <f t="shared" si="2"/>
        <v>0</v>
      </c>
      <c r="Q2008" s="12">
        <f t="shared" si="3"/>
        <v>1126033</v>
      </c>
      <c r="R2008" s="22">
        <v>2001.0</v>
      </c>
      <c r="S2008" s="22">
        <v>6.5</v>
      </c>
    </row>
    <row r="2009" ht="15.75" customHeight="1">
      <c r="A2009" s="21" t="s">
        <v>4022</v>
      </c>
      <c r="B2009" s="8" t="str">
        <f>IFERROR(__xludf.DUMMYFUNCTION("REGEXREPLACE(A2009, ""[^0-9a-zA-Z .'Ã]"","""")"),"Tim Hill")</f>
        <v>Tim Hill</v>
      </c>
      <c r="C2009" s="22">
        <v>70.0</v>
      </c>
      <c r="D2009" s="23">
        <v>1.6290976E7</v>
      </c>
      <c r="E2009" s="22" t="s">
        <v>6741</v>
      </c>
      <c r="F2009" s="9">
        <f t="shared" si="1"/>
        <v>6</v>
      </c>
      <c r="G2009" s="22" t="s">
        <v>3890</v>
      </c>
      <c r="H2009" s="11" t="str">
        <f>IFERROR(__xludf.DUMMYFUNCTION("REGEXREPLACE(G2009, ""[^0-9a-zA-Z .'Ã]"","""")"),"Josh Charles")</f>
        <v>Josh Charles</v>
      </c>
      <c r="I2009" s="24" t="s">
        <v>6742</v>
      </c>
      <c r="J2009" s="22">
        <v>14637.0</v>
      </c>
      <c r="K2009" s="22" t="s">
        <v>6743</v>
      </c>
      <c r="L2009" s="22">
        <v>100.0</v>
      </c>
      <c r="M2009" s="22" t="s">
        <v>24</v>
      </c>
      <c r="N2009" s="22" t="s">
        <v>25</v>
      </c>
      <c r="O2009" s="23">
        <v>2.4E7</v>
      </c>
      <c r="P2009" s="10">
        <f t="shared" si="2"/>
        <v>0</v>
      </c>
      <c r="Q2009" s="12">
        <f t="shared" si="3"/>
        <v>7709024</v>
      </c>
      <c r="R2009" s="22">
        <v>1999.0</v>
      </c>
      <c r="S2009" s="22">
        <v>6.2</v>
      </c>
    </row>
    <row r="2010" ht="15.75" customHeight="1">
      <c r="A2010" s="21" t="s">
        <v>6744</v>
      </c>
      <c r="B2010" s="8" t="str">
        <f>IFERROR(__xludf.DUMMYFUNCTION("REGEXREPLACE(A2010, ""[^0-9a-zA-Z .'Ã]"","""")"),"Deb Hagan")</f>
        <v>Deb Hagan</v>
      </c>
      <c r="C2010" s="22">
        <v>42.0</v>
      </c>
      <c r="D2010" s="23">
        <v>4693919.0</v>
      </c>
      <c r="E2010" s="22" t="s">
        <v>137</v>
      </c>
      <c r="F2010" s="9">
        <f t="shared" si="1"/>
        <v>1</v>
      </c>
      <c r="G2010" s="22" t="s">
        <v>1917</v>
      </c>
      <c r="H2010" s="11" t="str">
        <f>IFERROR(__xludf.DUMMYFUNCTION("REGEXREPLACE(G2010, ""[^0-9a-zA-Z .'Ã]"","""")"),"Drake Bell")</f>
        <v>Drake Bell</v>
      </c>
      <c r="I2010" s="24" t="s">
        <v>6745</v>
      </c>
      <c r="J2010" s="22">
        <v>11011.0</v>
      </c>
      <c r="K2010" s="22" t="s">
        <v>6746</v>
      </c>
      <c r="L2010" s="22">
        <v>78.0</v>
      </c>
      <c r="M2010" s="22" t="s">
        <v>24</v>
      </c>
      <c r="N2010" s="22" t="s">
        <v>25</v>
      </c>
      <c r="O2010" s="23">
        <v>6500000.0</v>
      </c>
      <c r="P2010" s="10">
        <f t="shared" si="2"/>
        <v>0</v>
      </c>
      <c r="Q2010" s="12">
        <f t="shared" si="3"/>
        <v>1806081</v>
      </c>
      <c r="R2010" s="22">
        <v>2008.0</v>
      </c>
      <c r="S2010" s="22">
        <v>4.6</v>
      </c>
    </row>
    <row r="2011" ht="15.75" customHeight="1">
      <c r="A2011" s="7" t="s">
        <v>1886</v>
      </c>
      <c r="B2011" s="8" t="str">
        <f>IFERROR(__xludf.DUMMYFUNCTION("REGEXREPLACE(A2011, ""[^0-9a-zA-Z .'Ã]"","""")"),"Jamie Blanks")</f>
        <v>Jamie Blanks</v>
      </c>
      <c r="C2011" s="9">
        <v>120.0</v>
      </c>
      <c r="D2011" s="10">
        <v>2.0384136E7</v>
      </c>
      <c r="E2011" s="9" t="s">
        <v>94</v>
      </c>
      <c r="F2011" s="9">
        <f t="shared" si="1"/>
        <v>3</v>
      </c>
      <c r="G2011" s="9" t="s">
        <v>3808</v>
      </c>
      <c r="H2011" s="11" t="str">
        <f>IFERROR(__xludf.DUMMYFUNCTION("REGEXREPLACE(G2011, ""[^0-9a-zA-Z .'Ã]"","""")"),"Marley Shelton")</f>
        <v>Marley Shelton</v>
      </c>
      <c r="I2011" s="11" t="s">
        <v>6747</v>
      </c>
      <c r="J2011" s="9">
        <v>20467.0</v>
      </c>
      <c r="K2011" s="9" t="s">
        <v>6748</v>
      </c>
      <c r="L2011" s="9">
        <v>371.0</v>
      </c>
      <c r="M2011" s="9" t="s">
        <v>24</v>
      </c>
      <c r="N2011" s="9" t="s">
        <v>25</v>
      </c>
      <c r="O2011" s="10">
        <v>1.0E7</v>
      </c>
      <c r="P2011" s="10">
        <f t="shared" si="2"/>
        <v>10384136</v>
      </c>
      <c r="Q2011" s="12">
        <f t="shared" si="3"/>
        <v>0</v>
      </c>
      <c r="R2011" s="9">
        <v>2001.0</v>
      </c>
      <c r="S2011" s="9">
        <v>4.7</v>
      </c>
    </row>
    <row r="2012" ht="15.75" customHeight="1">
      <c r="A2012" s="25" t="s">
        <v>38</v>
      </c>
      <c r="B2012" s="8" t="str">
        <f>IFERROR(__xludf.DUMMYFUNCTION("REGEXREPLACE(A2012, ""[^0-9a-zA-Z .'Ã]"","""")"),"Clint Eastwood")</f>
        <v>Clint Eastwood</v>
      </c>
      <c r="C2012" s="26">
        <v>146.0</v>
      </c>
      <c r="D2012" s="27">
        <v>2.6199517E7</v>
      </c>
      <c r="E2012" s="26" t="s">
        <v>610</v>
      </c>
      <c r="F2012" s="9">
        <f t="shared" si="1"/>
        <v>5</v>
      </c>
      <c r="G2012" s="26" t="s">
        <v>38</v>
      </c>
      <c r="H2012" s="11" t="str">
        <f>IFERROR(__xludf.DUMMYFUNCTION("REGEXREPLACE(G2012, ""[^0-9a-zA-Z .'Ã]"","""")"),"Clint Eastwood")</f>
        <v>Clint Eastwood</v>
      </c>
      <c r="I2012" s="28" t="s">
        <v>6749</v>
      </c>
      <c r="J2012" s="26">
        <v>34356.0</v>
      </c>
      <c r="K2012" s="26" t="s">
        <v>6750</v>
      </c>
      <c r="L2012" s="26">
        <v>260.0</v>
      </c>
      <c r="M2012" s="26" t="s">
        <v>24</v>
      </c>
      <c r="N2012" s="26" t="s">
        <v>25</v>
      </c>
      <c r="O2012" s="27">
        <v>5.0E7</v>
      </c>
      <c r="P2012" s="10">
        <f t="shared" si="2"/>
        <v>0</v>
      </c>
      <c r="Q2012" s="12">
        <f t="shared" si="3"/>
        <v>23800483</v>
      </c>
      <c r="R2012" s="26">
        <v>2002.0</v>
      </c>
      <c r="S2012" s="26">
        <v>6.4</v>
      </c>
    </row>
    <row r="2013" ht="15.75" customHeight="1">
      <c r="A2013" s="7" t="s">
        <v>5460</v>
      </c>
      <c r="B2013" s="8" t="str">
        <f>IFERROR(__xludf.DUMMYFUNCTION("REGEXREPLACE(A2013, ""[^0-9a-zA-Z .'Ã]"","""")"),"Kathryn Bigelow")</f>
        <v>Kathryn Bigelow</v>
      </c>
      <c r="C2013" s="9">
        <v>388.0</v>
      </c>
      <c r="D2013" s="10">
        <v>1.57E7</v>
      </c>
      <c r="E2013" s="9" t="s">
        <v>5461</v>
      </c>
      <c r="F2013" s="9">
        <f t="shared" si="1"/>
        <v>4</v>
      </c>
      <c r="G2013" s="9" t="s">
        <v>480</v>
      </c>
      <c r="H2013" s="11" t="str">
        <f>IFERROR(__xludf.DUMMYFUNCTION("REGEXREPLACE(G2013, ""[^0-9a-zA-Z .'Ã]"","""")"),"Jeremy Renner")</f>
        <v>Jeremy Renner</v>
      </c>
      <c r="I2013" s="11" t="s">
        <v>6751</v>
      </c>
      <c r="J2013" s="9">
        <v>332065.0</v>
      </c>
      <c r="K2013" s="9" t="s">
        <v>6752</v>
      </c>
      <c r="L2013" s="9">
        <v>876.0</v>
      </c>
      <c r="M2013" s="9" t="s">
        <v>24</v>
      </c>
      <c r="N2013" s="9" t="s">
        <v>25</v>
      </c>
      <c r="O2013" s="10">
        <v>1.5E7</v>
      </c>
      <c r="P2013" s="10">
        <f t="shared" si="2"/>
        <v>700000</v>
      </c>
      <c r="Q2013" s="12">
        <f t="shared" si="3"/>
        <v>0</v>
      </c>
      <c r="R2013" s="9">
        <v>2008.0</v>
      </c>
      <c r="S2013" s="9">
        <v>7.6</v>
      </c>
    </row>
    <row r="2014" ht="15.75" customHeight="1">
      <c r="A2014" s="7" t="s">
        <v>1075</v>
      </c>
      <c r="B2014" s="8" t="str">
        <f>IFERROR(__xludf.DUMMYFUNCTION("REGEXREPLACE(A2014, ""[^0-9a-zA-Z .'Ã]"","""")"),"Irwin Winkler")</f>
        <v>Irwin Winkler</v>
      </c>
      <c r="C2014" s="9">
        <v>53.0</v>
      </c>
      <c r="D2014" s="10">
        <v>5.0728E7</v>
      </c>
      <c r="E2014" s="9" t="s">
        <v>610</v>
      </c>
      <c r="F2014" s="9">
        <f t="shared" si="1"/>
        <v>5</v>
      </c>
      <c r="G2014" s="9" t="s">
        <v>274</v>
      </c>
      <c r="H2014" s="11" t="str">
        <f>IFERROR(__xludf.DUMMYFUNCTION("REGEXREPLACE(G2014, ""[^0-9a-zA-Z .'Ã]"","""")"),"Ken Howard")</f>
        <v>Ken Howard</v>
      </c>
      <c r="I2014" s="11" t="s">
        <v>6753</v>
      </c>
      <c r="J2014" s="9">
        <v>48909.0</v>
      </c>
      <c r="K2014" s="9" t="s">
        <v>6754</v>
      </c>
      <c r="L2014" s="9">
        <v>166.0</v>
      </c>
      <c r="M2014" s="9" t="s">
        <v>24</v>
      </c>
      <c r="N2014" s="9" t="s">
        <v>25</v>
      </c>
      <c r="O2014" s="10">
        <v>2.2E7</v>
      </c>
      <c r="P2014" s="10">
        <f t="shared" si="2"/>
        <v>28728000</v>
      </c>
      <c r="Q2014" s="12">
        <f t="shared" si="3"/>
        <v>0</v>
      </c>
      <c r="R2014" s="9">
        <v>1995.0</v>
      </c>
      <c r="S2014" s="9">
        <v>5.8</v>
      </c>
    </row>
    <row r="2015" ht="15.75" customHeight="1">
      <c r="A2015" s="29" t="s">
        <v>6755</v>
      </c>
      <c r="B2015" s="8" t="str">
        <f>IFERROR(__xludf.DUMMYFUNCTION("REGEXREPLACE(A2015, ""[^0-9a-zA-Z .'Ã]"","""")"),"Mark Tonderai")</f>
        <v>Mark Tonderai</v>
      </c>
      <c r="C2015" s="30">
        <v>224.0</v>
      </c>
      <c r="D2015" s="31">
        <v>3.1607598E7</v>
      </c>
      <c r="E2015" s="30" t="s">
        <v>1840</v>
      </c>
      <c r="F2015" s="9">
        <f t="shared" si="1"/>
        <v>3</v>
      </c>
      <c r="G2015" s="30" t="s">
        <v>1494</v>
      </c>
      <c r="H2015" s="11" t="str">
        <f>IFERROR(__xludf.DUMMYFUNCTION("REGEXREPLACE(G2015, ""[^0-9a-zA-Z .'Ã]"","""")"),"Jennifer Lawrence")</f>
        <v>Jennifer Lawrence</v>
      </c>
      <c r="I2015" s="32" t="s">
        <v>6756</v>
      </c>
      <c r="J2015" s="30">
        <v>58366.0</v>
      </c>
      <c r="K2015" s="30" t="s">
        <v>6757</v>
      </c>
      <c r="L2015" s="30">
        <v>160.0</v>
      </c>
      <c r="M2015" s="30" t="s">
        <v>24</v>
      </c>
      <c r="N2015" s="30" t="s">
        <v>624</v>
      </c>
      <c r="O2015" s="31">
        <v>6900000.0</v>
      </c>
      <c r="P2015" s="10">
        <f t="shared" si="2"/>
        <v>24707598</v>
      </c>
      <c r="Q2015" s="12">
        <f t="shared" si="3"/>
        <v>0</v>
      </c>
      <c r="R2015" s="30">
        <v>2012.0</v>
      </c>
      <c r="S2015" s="30">
        <v>5.6</v>
      </c>
    </row>
    <row r="2016" ht="15.75" customHeight="1">
      <c r="A2016" s="25" t="s">
        <v>1123</v>
      </c>
      <c r="B2016" s="8" t="str">
        <f>IFERROR(__xludf.DUMMYFUNCTION("REGEXREPLACE(A2016, ""[^0-9a-zA-Z .'Ã]"","""")"),"Ron Howard")</f>
        <v>Ron Howard</v>
      </c>
      <c r="C2016" s="26">
        <v>115.0</v>
      </c>
      <c r="D2016" s="27">
        <v>2.23625E7</v>
      </c>
      <c r="E2016" s="26" t="s">
        <v>454</v>
      </c>
      <c r="F2016" s="9">
        <f t="shared" si="1"/>
        <v>2</v>
      </c>
      <c r="G2016" s="26" t="s">
        <v>80</v>
      </c>
      <c r="H2016" s="11" t="str">
        <f>IFERROR(__xludf.DUMMYFUNCTION("REGEXREPLACE(G2016, ""[^0-9a-zA-Z .'Ã]"","""")"),"Matthew McConaughey")</f>
        <v>Matthew McConaughey</v>
      </c>
      <c r="I2016" s="28" t="s">
        <v>6758</v>
      </c>
      <c r="J2016" s="26">
        <v>35599.0</v>
      </c>
      <c r="K2016" s="26" t="s">
        <v>6759</v>
      </c>
      <c r="L2016" s="26">
        <v>195.0</v>
      </c>
      <c r="M2016" s="26" t="s">
        <v>24</v>
      </c>
      <c r="N2016" s="26" t="s">
        <v>25</v>
      </c>
      <c r="O2016" s="27">
        <v>5.5E7</v>
      </c>
      <c r="P2016" s="10">
        <f t="shared" si="2"/>
        <v>0</v>
      </c>
      <c r="Q2016" s="12">
        <f t="shared" si="3"/>
        <v>32637500</v>
      </c>
      <c r="R2016" s="26">
        <v>1999.0</v>
      </c>
      <c r="S2016" s="26">
        <v>6.1</v>
      </c>
    </row>
    <row r="2017" ht="15.75" customHeight="1">
      <c r="A2017" s="25" t="s">
        <v>1844</v>
      </c>
      <c r="B2017" s="8" t="str">
        <f>IFERROR(__xludf.DUMMYFUNCTION("REGEXREPLACE(A2017, ""[^0-9a-zA-Z .'Ã]"","""")"),"Mike Leigh")</f>
        <v>Mike Leigh</v>
      </c>
      <c r="C2017" s="26">
        <v>262.0</v>
      </c>
      <c r="D2017" s="27">
        <v>3958500.0</v>
      </c>
      <c r="E2017" s="26" t="s">
        <v>620</v>
      </c>
      <c r="F2017" s="9">
        <f t="shared" si="1"/>
        <v>3</v>
      </c>
      <c r="G2017" s="26" t="s">
        <v>4367</v>
      </c>
      <c r="H2017" s="11" t="str">
        <f>IFERROR(__xludf.DUMMYFUNCTION("REGEXREPLACE(G2017, ""[^0-9a-zA-Z .'Ã]"","""")"),"Lesley Manville")</f>
        <v>Lesley Manville</v>
      </c>
      <c r="I2017" s="28" t="s">
        <v>6760</v>
      </c>
      <c r="J2017" s="26">
        <v>17933.0</v>
      </c>
      <c r="K2017" s="26" t="s">
        <v>6761</v>
      </c>
      <c r="L2017" s="26">
        <v>165.0</v>
      </c>
      <c r="M2017" s="26" t="s">
        <v>24</v>
      </c>
      <c r="N2017" s="26" t="s">
        <v>130</v>
      </c>
      <c r="O2017" s="27">
        <v>8200000.0</v>
      </c>
      <c r="P2017" s="10">
        <f t="shared" si="2"/>
        <v>0</v>
      </c>
      <c r="Q2017" s="12">
        <f t="shared" si="3"/>
        <v>4241500</v>
      </c>
      <c r="R2017" s="26">
        <v>2014.0</v>
      </c>
      <c r="S2017" s="26">
        <v>6.8</v>
      </c>
    </row>
    <row r="2018" ht="15.75" customHeight="1">
      <c r="A2018" s="13" t="s">
        <v>505</v>
      </c>
      <c r="B2018" s="8" t="str">
        <f>IFERROR(__xludf.DUMMYFUNCTION("REGEXREPLACE(A2018, ""[^0-9a-zA-Z .'Ã]"","""")"),"Jon Favreau")</f>
        <v>Jon Favreau</v>
      </c>
      <c r="C2018" s="14">
        <v>81.0</v>
      </c>
      <c r="D2018" s="15">
        <v>5308707.0</v>
      </c>
      <c r="E2018" s="14" t="s">
        <v>3215</v>
      </c>
      <c r="F2018" s="9">
        <f t="shared" si="1"/>
        <v>4</v>
      </c>
      <c r="G2018" s="14" t="s">
        <v>505</v>
      </c>
      <c r="H2018" s="11" t="str">
        <f>IFERROR(__xludf.DUMMYFUNCTION("REGEXREPLACE(G2018, ""[^0-9a-zA-Z .'Ã]"","""")"),"Jon Favreau")</f>
        <v>Jon Favreau</v>
      </c>
      <c r="I2018" s="16" t="s">
        <v>6762</v>
      </c>
      <c r="J2018" s="14">
        <v>15053.0</v>
      </c>
      <c r="K2018" s="14" t="s">
        <v>6763</v>
      </c>
      <c r="L2018" s="14">
        <v>165.0</v>
      </c>
      <c r="M2018" s="14" t="s">
        <v>24</v>
      </c>
      <c r="N2018" s="14" t="s">
        <v>25</v>
      </c>
      <c r="O2018" s="15">
        <v>5000000.0</v>
      </c>
      <c r="P2018" s="10">
        <f t="shared" si="2"/>
        <v>308707</v>
      </c>
      <c r="Q2018" s="12">
        <f t="shared" si="3"/>
        <v>0</v>
      </c>
      <c r="R2018" s="14">
        <v>2001.0</v>
      </c>
      <c r="S2018" s="14">
        <v>6.4</v>
      </c>
    </row>
    <row r="2019" ht="15.75" customHeight="1">
      <c r="A2019" s="17" t="s">
        <v>4968</v>
      </c>
      <c r="B2019" s="8" t="str">
        <f>IFERROR(__xludf.DUMMYFUNCTION("REGEXREPLACE(A2019, ""[^0-9a-zA-Z .'Ã]"","""")"),"Justin Lin")</f>
        <v>Justin Lin</v>
      </c>
      <c r="C2019" s="18">
        <v>35.0</v>
      </c>
      <c r="D2019" s="19">
        <v>52850.0</v>
      </c>
      <c r="E2019" s="18" t="s">
        <v>137</v>
      </c>
      <c r="F2019" s="9">
        <f t="shared" si="1"/>
        <v>1</v>
      </c>
      <c r="G2019" s="18" t="s">
        <v>6764</v>
      </c>
      <c r="H2019" s="11" t="str">
        <f>IFERROR(__xludf.DUMMYFUNCTION("REGEXREPLACE(G2019, ""[^0-9a-zA-Z .'Ã]"","""")"),"Monique Gabriela Curnen")</f>
        <v>Monique Gabriela Curnen</v>
      </c>
      <c r="I2019" s="20" t="s">
        <v>6765</v>
      </c>
      <c r="J2019" s="18">
        <v>1656.0</v>
      </c>
      <c r="K2019" s="18" t="s">
        <v>6766</v>
      </c>
      <c r="L2019" s="18">
        <v>12.0</v>
      </c>
      <c r="M2019" s="18" t="s">
        <v>24</v>
      </c>
      <c r="N2019" s="18" t="s">
        <v>25</v>
      </c>
      <c r="O2019" s="19">
        <v>500000.0</v>
      </c>
      <c r="P2019" s="10">
        <f t="shared" si="2"/>
        <v>0</v>
      </c>
      <c r="Q2019" s="12">
        <f t="shared" si="3"/>
        <v>447150</v>
      </c>
      <c r="R2019" s="18">
        <v>2007.0</v>
      </c>
      <c r="S2019" s="18">
        <v>6.2</v>
      </c>
    </row>
    <row r="2020" ht="15.75" customHeight="1">
      <c r="A2020" s="7" t="s">
        <v>3663</v>
      </c>
      <c r="B2020" s="8" t="str">
        <f>IFERROR(__xludf.DUMMYFUNCTION("REGEXREPLACE(A2020, ""[^0-9a-zA-Z .'Ã]"","""")"),"Niki Caro")</f>
        <v>Niki Caro</v>
      </c>
      <c r="C2020" s="9">
        <v>149.0</v>
      </c>
      <c r="D2020" s="10">
        <v>2.0772796E7</v>
      </c>
      <c r="E2020" s="9" t="s">
        <v>2166</v>
      </c>
      <c r="F2020" s="9">
        <f t="shared" si="1"/>
        <v>2</v>
      </c>
      <c r="G2020" s="9" t="s">
        <v>6767</v>
      </c>
      <c r="H2020" s="11" t="str">
        <f>IFERROR(__xludf.DUMMYFUNCTION("REGEXREPLACE(G2020, ""[^0-9a-zA-Z .'Ã]"","""")"),"Keisha CastleHughes")</f>
        <v>Keisha CastleHughes</v>
      </c>
      <c r="I2020" s="11" t="s">
        <v>6768</v>
      </c>
      <c r="J2020" s="9">
        <v>34232.0</v>
      </c>
      <c r="K2020" s="9" t="s">
        <v>6769</v>
      </c>
      <c r="L2020" s="9">
        <v>346.0</v>
      </c>
      <c r="M2020" s="9" t="s">
        <v>24</v>
      </c>
      <c r="N2020" s="9" t="s">
        <v>1002</v>
      </c>
      <c r="O2020" s="10">
        <v>6000000.0</v>
      </c>
      <c r="P2020" s="10">
        <f t="shared" si="2"/>
        <v>14772796</v>
      </c>
      <c r="Q2020" s="12">
        <f t="shared" si="3"/>
        <v>0</v>
      </c>
      <c r="R2020" s="9">
        <v>2002.0</v>
      </c>
      <c r="S2020" s="9">
        <v>7.6</v>
      </c>
    </row>
    <row r="2021" ht="15.75" customHeight="1">
      <c r="A2021" s="17" t="s">
        <v>352</v>
      </c>
      <c r="B2021" s="8" t="str">
        <f>IFERROR(__xludf.DUMMYFUNCTION("REGEXREPLACE(A2021, ""[^0-9a-zA-Z .'Ã]"","""")"),"Alex Kendrick")</f>
        <v>Alex Kendrick</v>
      </c>
      <c r="C2021" s="18">
        <v>34.0</v>
      </c>
      <c r="D2021" s="19">
        <v>3.4522221E7</v>
      </c>
      <c r="E2021" s="18" t="s">
        <v>103</v>
      </c>
      <c r="F2021" s="9">
        <f t="shared" si="1"/>
        <v>1</v>
      </c>
      <c r="G2021" s="18" t="s">
        <v>6770</v>
      </c>
      <c r="H2021" s="11" t="str">
        <f>IFERROR(__xludf.DUMMYFUNCTION("REGEXREPLACE(G2021, ""[^0-9a-zA-Z .'Ã]"","""")"),"Ben Davies")</f>
        <v>Ben Davies</v>
      </c>
      <c r="I2021" s="20" t="s">
        <v>6771</v>
      </c>
      <c r="J2021" s="18">
        <v>15401.0</v>
      </c>
      <c r="K2021" s="18" t="s">
        <v>6772</v>
      </c>
      <c r="L2021" s="18">
        <v>175.0</v>
      </c>
      <c r="M2021" s="18" t="s">
        <v>24</v>
      </c>
      <c r="N2021" s="18" t="s">
        <v>25</v>
      </c>
      <c r="O2021" s="19">
        <v>2000000.0</v>
      </c>
      <c r="P2021" s="10">
        <f t="shared" si="2"/>
        <v>32522221</v>
      </c>
      <c r="Q2021" s="12">
        <f t="shared" si="3"/>
        <v>0</v>
      </c>
      <c r="R2021" s="18">
        <v>2011.0</v>
      </c>
      <c r="S2021" s="18">
        <v>7.0</v>
      </c>
    </row>
    <row r="2022" ht="15.75" customHeight="1">
      <c r="A2022" s="7" t="s">
        <v>3768</v>
      </c>
      <c r="B2022" s="8" t="str">
        <f>IFERROR(__xludf.DUMMYFUNCTION("REGEXREPLACE(A2022, ""[^0-9a-zA-Z .'Ã]"","""")"),"Peter Hedges")</f>
        <v>Peter Hedges</v>
      </c>
      <c r="C2022" s="9">
        <v>169.0</v>
      </c>
      <c r="D2022" s="10">
        <v>5.185345E7</v>
      </c>
      <c r="E2022" s="9" t="s">
        <v>2060</v>
      </c>
      <c r="F2022" s="9">
        <f t="shared" si="1"/>
        <v>4</v>
      </c>
      <c r="G2022" s="9" t="s">
        <v>862</v>
      </c>
      <c r="H2022" s="11" t="str">
        <f>IFERROR(__xludf.DUMMYFUNCTION("REGEXREPLACE(G2022, ""[^0-9a-zA-Z .'Ã]"","""")"),"Jennifer Garner")</f>
        <v>Jennifer Garner</v>
      </c>
      <c r="I2022" s="11" t="s">
        <v>6773</v>
      </c>
      <c r="J2022" s="9">
        <v>37398.0</v>
      </c>
      <c r="K2022" s="9" t="s">
        <v>6774</v>
      </c>
      <c r="L2022" s="9">
        <v>110.0</v>
      </c>
      <c r="M2022" s="9" t="s">
        <v>24</v>
      </c>
      <c r="N2022" s="9" t="s">
        <v>25</v>
      </c>
      <c r="O2022" s="10">
        <v>2.5E7</v>
      </c>
      <c r="P2022" s="10">
        <f t="shared" si="2"/>
        <v>26853450</v>
      </c>
      <c r="Q2022" s="12">
        <f t="shared" si="3"/>
        <v>0</v>
      </c>
      <c r="R2022" s="9">
        <v>2012.0</v>
      </c>
      <c r="S2022" s="9">
        <v>6.6</v>
      </c>
    </row>
    <row r="2023" ht="15.75" customHeight="1">
      <c r="A2023" s="7" t="s">
        <v>1343</v>
      </c>
      <c r="B2023" s="8" t="str">
        <f>IFERROR(__xludf.DUMMYFUNCTION("REGEXREPLACE(A2023, ""[^0-9a-zA-Z .'Ã]"","""")"),"Joe Nussbaum")</f>
        <v>Joe Nussbaum</v>
      </c>
      <c r="C2023" s="9">
        <v>83.0</v>
      </c>
      <c r="D2023" s="10">
        <v>1.0106233E7</v>
      </c>
      <c r="E2023" s="9" t="s">
        <v>454</v>
      </c>
      <c r="F2023" s="9">
        <f t="shared" si="1"/>
        <v>2</v>
      </c>
      <c r="G2023" s="9" t="s">
        <v>6775</v>
      </c>
      <c r="H2023" s="11" t="str">
        <f>IFERROR(__xludf.DUMMYFUNCTION("REGEXREPLACE(G2023, ""[^0-9a-zA-Z .'Ã]"","""")"),"Cameron Monaghan")</f>
        <v>Cameron Monaghan</v>
      </c>
      <c r="I2023" s="11" t="s">
        <v>6776</v>
      </c>
      <c r="J2023" s="9">
        <v>12702.0</v>
      </c>
      <c r="K2023" s="9" t="s">
        <v>6777</v>
      </c>
      <c r="L2023" s="9">
        <v>32.0</v>
      </c>
      <c r="M2023" s="9" t="s">
        <v>24</v>
      </c>
      <c r="N2023" s="9" t="s">
        <v>25</v>
      </c>
      <c r="O2023" s="10">
        <v>8000000.0</v>
      </c>
      <c r="P2023" s="10">
        <f t="shared" si="2"/>
        <v>2106233</v>
      </c>
      <c r="Q2023" s="12">
        <f t="shared" si="3"/>
        <v>0</v>
      </c>
      <c r="R2023" s="9">
        <v>2011.0</v>
      </c>
      <c r="S2023" s="9">
        <v>5.4</v>
      </c>
    </row>
    <row r="2024" ht="15.75" customHeight="1">
      <c r="A2024" s="13" t="s">
        <v>2135</v>
      </c>
      <c r="B2024" s="8" t="str">
        <f>IFERROR(__xludf.DUMMYFUNCTION("REGEXREPLACE(A2024, ""[^0-9a-zA-Z .'Ã]"","""")"),"Nora Ephron")</f>
        <v>Nora Ephron</v>
      </c>
      <c r="C2024" s="14">
        <v>153.0</v>
      </c>
      <c r="D2024" s="15">
        <v>1.15731542E8</v>
      </c>
      <c r="E2024" s="14" t="s">
        <v>159</v>
      </c>
      <c r="F2024" s="9">
        <f t="shared" si="1"/>
        <v>3</v>
      </c>
      <c r="G2024" s="14" t="s">
        <v>461</v>
      </c>
      <c r="H2024" s="11" t="str">
        <f>IFERROR(__xludf.DUMMYFUNCTION("REGEXREPLACE(G2024, ""[^0-9a-zA-Z .'Ã]"","""")"),"Tom Hanks")</f>
        <v>Tom Hanks</v>
      </c>
      <c r="I2024" s="16" t="s">
        <v>6778</v>
      </c>
      <c r="J2024" s="14">
        <v>151812.0</v>
      </c>
      <c r="K2024" s="14" t="s">
        <v>6779</v>
      </c>
      <c r="L2024" s="14">
        <v>556.0</v>
      </c>
      <c r="M2024" s="14" t="s">
        <v>24</v>
      </c>
      <c r="N2024" s="14" t="s">
        <v>25</v>
      </c>
      <c r="O2024" s="15">
        <v>6.5E7</v>
      </c>
      <c r="P2024" s="10">
        <f t="shared" si="2"/>
        <v>50731542</v>
      </c>
      <c r="Q2024" s="12">
        <f t="shared" si="3"/>
        <v>0</v>
      </c>
      <c r="R2024" s="14">
        <v>1998.0</v>
      </c>
      <c r="S2024" s="14">
        <v>6.5</v>
      </c>
    </row>
    <row r="2025" ht="15.75" customHeight="1">
      <c r="A2025" s="7" t="s">
        <v>6780</v>
      </c>
      <c r="B2025" s="8" t="str">
        <f>IFERROR(__xludf.DUMMYFUNCTION("REGEXREPLACE(A2025, ""[^0-9a-zA-Z .'Ã]"","""")"),"John Boorman")</f>
        <v>John Boorman</v>
      </c>
      <c r="C2025" s="9">
        <v>104.0</v>
      </c>
      <c r="D2025" s="10">
        <v>1.3491653E7</v>
      </c>
      <c r="E2025" s="9" t="s">
        <v>369</v>
      </c>
      <c r="F2025" s="9">
        <f t="shared" si="1"/>
        <v>2</v>
      </c>
      <c r="G2025" s="9" t="s">
        <v>2094</v>
      </c>
      <c r="H2025" s="11" t="str">
        <f>IFERROR(__xludf.DUMMYFUNCTION("REGEXREPLACE(G2025, ""[^0-9a-zA-Z .'Ã]"","""")"),"Daniel Radcliffe")</f>
        <v>Daniel Radcliffe</v>
      </c>
      <c r="I2025" s="11" t="s">
        <v>6781</v>
      </c>
      <c r="J2025" s="9">
        <v>23728.0</v>
      </c>
      <c r="K2025" s="9" t="s">
        <v>6782</v>
      </c>
      <c r="L2025" s="9">
        <v>213.0</v>
      </c>
      <c r="M2025" s="9" t="s">
        <v>24</v>
      </c>
      <c r="N2025" s="9" t="s">
        <v>25</v>
      </c>
      <c r="O2025" s="10">
        <v>1.8E7</v>
      </c>
      <c r="P2025" s="10">
        <f t="shared" si="2"/>
        <v>0</v>
      </c>
      <c r="Q2025" s="12">
        <f t="shared" si="3"/>
        <v>4508347</v>
      </c>
      <c r="R2025" s="9">
        <v>2001.0</v>
      </c>
      <c r="S2025" s="9">
        <v>6.1</v>
      </c>
    </row>
    <row r="2026" ht="15.75" customHeight="1">
      <c r="A2026" s="7" t="s">
        <v>6783</v>
      </c>
      <c r="B2026" s="8" t="str">
        <f>IFERROR(__xludf.DUMMYFUNCTION("REGEXREPLACE(A2026, ""[^0-9a-zA-Z .'Ã]"","""")"),"Robert Lee King")</f>
        <v>Robert Lee King</v>
      </c>
      <c r="C2026" s="9">
        <v>51.0</v>
      </c>
      <c r="D2026" s="10">
        <v>265107.0</v>
      </c>
      <c r="E2026" s="9" t="s">
        <v>6784</v>
      </c>
      <c r="F2026" s="9">
        <f t="shared" si="1"/>
        <v>3</v>
      </c>
      <c r="G2026" s="9" t="s">
        <v>6785</v>
      </c>
      <c r="H2026" s="11" t="str">
        <f>IFERROR(__xludf.DUMMYFUNCTION("REGEXREPLACE(G2026, ""[^0-9a-zA-Z .'Ã]"","""")"),"Lauren Ambrose")</f>
        <v>Lauren Ambrose</v>
      </c>
      <c r="I2026" s="11" t="s">
        <v>6786</v>
      </c>
      <c r="J2026" s="9">
        <v>4617.0</v>
      </c>
      <c r="K2026" s="9" t="s">
        <v>6787</v>
      </c>
      <c r="L2026" s="9">
        <v>93.0</v>
      </c>
      <c r="M2026" s="9" t="s">
        <v>24</v>
      </c>
      <c r="N2026" s="9" t="s">
        <v>146</v>
      </c>
      <c r="O2026" s="10">
        <v>1500000.0</v>
      </c>
      <c r="P2026" s="10">
        <f t="shared" si="2"/>
        <v>0</v>
      </c>
      <c r="Q2026" s="12">
        <f t="shared" si="3"/>
        <v>1234893</v>
      </c>
      <c r="R2026" s="9">
        <v>2000.0</v>
      </c>
      <c r="S2026" s="9">
        <v>6.3</v>
      </c>
    </row>
    <row r="2027" ht="15.75" customHeight="1">
      <c r="A2027" s="13" t="s">
        <v>4661</v>
      </c>
      <c r="B2027" s="8" t="str">
        <f>IFERROR(__xludf.DUMMYFUNCTION("REGEXREPLACE(A2027, ""[^0-9a-zA-Z .'Ã]"","""")"),"Randall Wallace")</f>
        <v>Randall Wallace</v>
      </c>
      <c r="C2027" s="14">
        <v>83.0</v>
      </c>
      <c r="D2027" s="15">
        <v>5.6876365E7</v>
      </c>
      <c r="E2027" s="14" t="s">
        <v>636</v>
      </c>
      <c r="F2027" s="9">
        <f t="shared" si="1"/>
        <v>2</v>
      </c>
      <c r="G2027" s="14" t="s">
        <v>1351</v>
      </c>
      <c r="H2027" s="11" t="str">
        <f>IFERROR(__xludf.DUMMYFUNCTION("REGEXREPLACE(G2027, ""[^0-9a-zA-Z .'Ã]"","""")"),"Leonardo DiCaprio")</f>
        <v>Leonardo DiCaprio</v>
      </c>
      <c r="I2027" s="16" t="s">
        <v>6788</v>
      </c>
      <c r="J2027" s="14">
        <v>125219.0</v>
      </c>
      <c r="K2027" s="14" t="s">
        <v>6789</v>
      </c>
      <c r="L2027" s="14">
        <v>244.0</v>
      </c>
      <c r="M2027" s="14" t="s">
        <v>24</v>
      </c>
      <c r="N2027" s="14" t="s">
        <v>25</v>
      </c>
      <c r="O2027" s="15">
        <v>3.5E7</v>
      </c>
      <c r="P2027" s="10">
        <f t="shared" si="2"/>
        <v>21876365</v>
      </c>
      <c r="Q2027" s="12">
        <f t="shared" si="3"/>
        <v>0</v>
      </c>
      <c r="R2027" s="14">
        <v>1998.0</v>
      </c>
      <c r="S2027" s="14">
        <v>6.4</v>
      </c>
    </row>
    <row r="2028" ht="15.75" customHeight="1">
      <c r="A2028" s="25" t="s">
        <v>844</v>
      </c>
      <c r="B2028" s="8" t="str">
        <f>IFERROR(__xludf.DUMMYFUNCTION("REGEXREPLACE(A2028, ""[^0-9a-zA-Z .'Ã]"","""")"),"Angelina Jolie Pitt")</f>
        <v>Angelina Jolie Pitt</v>
      </c>
      <c r="C2028" s="26">
        <v>110.0</v>
      </c>
      <c r="D2028" s="27">
        <v>301305.0</v>
      </c>
      <c r="E2028" s="26" t="s">
        <v>3427</v>
      </c>
      <c r="F2028" s="9">
        <f t="shared" si="1"/>
        <v>3</v>
      </c>
      <c r="G2028" s="26" t="s">
        <v>6790</v>
      </c>
      <c r="H2028" s="11" t="str">
        <f>IFERROR(__xludf.DUMMYFUNCTION("REGEXREPLACE(G2028, ""[^0-9a-zA-Z .'Ã]"","""")"),"Jelena Jovanova")</f>
        <v>Jelena Jovanova</v>
      </c>
      <c r="I2028" s="28" t="s">
        <v>6791</v>
      </c>
      <c r="J2028" s="26">
        <v>31414.0</v>
      </c>
      <c r="K2028" s="26" t="s">
        <v>6792</v>
      </c>
      <c r="L2028" s="26">
        <v>180.0</v>
      </c>
      <c r="M2028" s="26" t="s">
        <v>6793</v>
      </c>
      <c r="N2028" s="26" t="s">
        <v>25</v>
      </c>
      <c r="O2028" s="27">
        <v>1.3E7</v>
      </c>
      <c r="P2028" s="10">
        <f t="shared" si="2"/>
        <v>0</v>
      </c>
      <c r="Q2028" s="12">
        <f t="shared" si="3"/>
        <v>12698695</v>
      </c>
      <c r="R2028" s="26">
        <v>2011.0</v>
      </c>
      <c r="S2028" s="26">
        <v>4.3</v>
      </c>
    </row>
    <row r="2029" ht="15.75" customHeight="1">
      <c r="A2029" s="13" t="s">
        <v>288</v>
      </c>
      <c r="B2029" s="8" t="str">
        <f>IFERROR(__xludf.DUMMYFUNCTION("REGEXREPLACE(A2029, ""[^0-9a-zA-Z .'Ã]"","""")"),"Joel Zwick")</f>
        <v>Joel Zwick</v>
      </c>
      <c r="C2029" s="14">
        <v>59.0</v>
      </c>
      <c r="D2029" s="15">
        <v>4.8114556E7</v>
      </c>
      <c r="E2029" s="14" t="s">
        <v>4725</v>
      </c>
      <c r="F2029" s="9">
        <f t="shared" si="1"/>
        <v>4</v>
      </c>
      <c r="G2029" s="14" t="s">
        <v>6794</v>
      </c>
      <c r="H2029" s="11" t="str">
        <f>IFERROR(__xludf.DUMMYFUNCTION("REGEXREPLACE(G2029, ""[^0-9a-zA-Z .'Ã]"","""")"),"Dania Ramirez")</f>
        <v>Dania Ramirez</v>
      </c>
      <c r="I2029" s="16" t="s">
        <v>6795</v>
      </c>
      <c r="J2029" s="14">
        <v>9380.0</v>
      </c>
      <c r="K2029" s="14" t="s">
        <v>6796</v>
      </c>
      <c r="L2029" s="14">
        <v>91.0</v>
      </c>
      <c r="M2029" s="14" t="s">
        <v>24</v>
      </c>
      <c r="N2029" s="14" t="s">
        <v>25</v>
      </c>
      <c r="O2029" s="15">
        <v>2.6E7</v>
      </c>
      <c r="P2029" s="10">
        <f t="shared" si="2"/>
        <v>22114556</v>
      </c>
      <c r="Q2029" s="12">
        <f t="shared" si="3"/>
        <v>0</v>
      </c>
      <c r="R2029" s="14">
        <v>2004.0</v>
      </c>
      <c r="S2029" s="14">
        <v>4.3</v>
      </c>
    </row>
    <row r="2030" ht="15.75" customHeight="1">
      <c r="A2030" s="17" t="s">
        <v>6797</v>
      </c>
      <c r="B2030" s="8" t="str">
        <f>IFERROR(__xludf.DUMMYFUNCTION("REGEXREPLACE(A2030, ""[^0-9a-zA-Z .'Ã]"","""")"),"Brad Peyton")</f>
        <v>Brad Peyton</v>
      </c>
      <c r="C2030" s="18">
        <v>358.0</v>
      </c>
      <c r="D2030" s="19">
        <v>1.55181732E8</v>
      </c>
      <c r="E2030" s="18" t="s">
        <v>925</v>
      </c>
      <c r="F2030" s="9">
        <f t="shared" si="1"/>
        <v>4</v>
      </c>
      <c r="G2030" s="18" t="s">
        <v>50</v>
      </c>
      <c r="H2030" s="11" t="str">
        <f>IFERROR(__xludf.DUMMYFUNCTION("REGEXREPLACE(G2030, ""[^0-9a-zA-Z .'Ã]"","""")"),"Dwayne Johnson")</f>
        <v>Dwayne Johnson</v>
      </c>
      <c r="I2030" s="20" t="s">
        <v>6798</v>
      </c>
      <c r="J2030" s="18">
        <v>147497.0</v>
      </c>
      <c r="K2030" s="18" t="s">
        <v>6799</v>
      </c>
      <c r="L2030" s="18">
        <v>499.0</v>
      </c>
      <c r="M2030" s="18" t="s">
        <v>24</v>
      </c>
      <c r="N2030" s="18" t="s">
        <v>25</v>
      </c>
      <c r="O2030" s="19">
        <v>1.1E8</v>
      </c>
      <c r="P2030" s="10">
        <f t="shared" si="2"/>
        <v>45181732</v>
      </c>
      <c r="Q2030" s="12">
        <f t="shared" si="3"/>
        <v>0</v>
      </c>
      <c r="R2030" s="18">
        <v>2015.0</v>
      </c>
      <c r="S2030" s="18">
        <v>6.1</v>
      </c>
    </row>
    <row r="2031" ht="15.75" customHeight="1">
      <c r="A2031" s="21" t="s">
        <v>3967</v>
      </c>
      <c r="B2031" s="8" t="str">
        <f>IFERROR(__xludf.DUMMYFUNCTION("REGEXREPLACE(A2031, ""[^0-9a-zA-Z .'Ã]"","""")"),"Uli Edel")</f>
        <v>Uli Edel</v>
      </c>
      <c r="C2031" s="22">
        <v>160.0</v>
      </c>
      <c r="D2031" s="23">
        <v>476270.0</v>
      </c>
      <c r="E2031" s="22" t="s">
        <v>6800</v>
      </c>
      <c r="F2031" s="9">
        <f t="shared" si="1"/>
        <v>4</v>
      </c>
      <c r="G2031" s="22" t="s">
        <v>1570</v>
      </c>
      <c r="H2031" s="11" t="str">
        <f>IFERROR(__xludf.DUMMYFUNCTION("REGEXREPLACE(G2031, ""[^0-9a-zA-Z .'Ã]"","""")"),"Moritz Bleibtreu")</f>
        <v>Moritz Bleibtreu</v>
      </c>
      <c r="I2031" s="24" t="s">
        <v>6801</v>
      </c>
      <c r="J2031" s="22">
        <v>29602.0</v>
      </c>
      <c r="K2031" s="22" t="s">
        <v>6802</v>
      </c>
      <c r="L2031" s="22">
        <v>110.0</v>
      </c>
      <c r="M2031" s="22" t="s">
        <v>1042</v>
      </c>
      <c r="N2031" s="22" t="s">
        <v>173</v>
      </c>
      <c r="O2031" s="23">
        <v>2.0E7</v>
      </c>
      <c r="P2031" s="10">
        <f t="shared" si="2"/>
        <v>0</v>
      </c>
      <c r="Q2031" s="12">
        <f t="shared" si="3"/>
        <v>19523730</v>
      </c>
      <c r="R2031" s="22">
        <v>2008.0</v>
      </c>
      <c r="S2031" s="22">
        <v>7.4</v>
      </c>
    </row>
    <row r="2032" ht="15.75" customHeight="1">
      <c r="A2032" s="17" t="s">
        <v>1152</v>
      </c>
      <c r="B2032" s="8" t="str">
        <f>IFERROR(__xludf.DUMMYFUNCTION("REGEXREPLACE(A2032, ""[^0-9a-zA-Z .'Ã]"","""")"),"Scott Stewart")</f>
        <v>Scott Stewart</v>
      </c>
      <c r="C2032" s="18">
        <v>225.0</v>
      </c>
      <c r="D2032" s="19">
        <v>2.9136626E7</v>
      </c>
      <c r="E2032" s="18" t="s">
        <v>6803</v>
      </c>
      <c r="F2032" s="9">
        <f t="shared" si="1"/>
        <v>5</v>
      </c>
      <c r="G2032" s="18" t="s">
        <v>6804</v>
      </c>
      <c r="H2032" s="11" t="str">
        <f>IFERROR(__xludf.DUMMYFUNCTION("REGEXREPLACE(G2032, ""[^0-9a-zA-Z .'Ã]"","""")"),"Josh Wingate")</f>
        <v>Josh Wingate</v>
      </c>
      <c r="I2032" s="20" t="s">
        <v>6805</v>
      </c>
      <c r="J2032" s="18">
        <v>97089.0</v>
      </c>
      <c r="K2032" s="18" t="s">
        <v>6806</v>
      </c>
      <c r="L2032" s="18">
        <v>233.0</v>
      </c>
      <c r="M2032" s="18" t="s">
        <v>24</v>
      </c>
      <c r="N2032" s="18" t="s">
        <v>25</v>
      </c>
      <c r="O2032" s="19">
        <v>6.0E7</v>
      </c>
      <c r="P2032" s="10">
        <f t="shared" si="2"/>
        <v>0</v>
      </c>
      <c r="Q2032" s="12">
        <f t="shared" si="3"/>
        <v>30863374</v>
      </c>
      <c r="R2032" s="18">
        <v>2011.0</v>
      </c>
      <c r="S2032" s="18">
        <v>5.7</v>
      </c>
    </row>
    <row r="2033" ht="15.75" customHeight="1">
      <c r="A2033" s="7" t="s">
        <v>6807</v>
      </c>
      <c r="B2033" s="8" t="str">
        <f>IFERROR(__xludf.DUMMYFUNCTION("REGEXREPLACE(A2033, ""[^0-9a-zA-Z .'Ã]"","""")"),"Rob Pritts")</f>
        <v>Rob Pritts</v>
      </c>
      <c r="C2033" s="9">
        <v>62.0</v>
      </c>
      <c r="D2033" s="10">
        <v>2.3978402E7</v>
      </c>
      <c r="E2033" s="9" t="s">
        <v>440</v>
      </c>
      <c r="F2033" s="9">
        <f t="shared" si="1"/>
        <v>2</v>
      </c>
      <c r="G2033" s="9" t="s">
        <v>5727</v>
      </c>
      <c r="H2033" s="11" t="str">
        <f>IFERROR(__xludf.DUMMYFUNCTION("REGEXREPLACE(G2033, ""[^0-9a-zA-Z .'Ã]"","""")"),"Vincent Pastore")</f>
        <v>Vincent Pastore</v>
      </c>
      <c r="I2033" s="11" t="s">
        <v>6808</v>
      </c>
      <c r="J2033" s="9">
        <v>10966.0</v>
      </c>
      <c r="K2033" s="9" t="s">
        <v>6809</v>
      </c>
      <c r="L2033" s="9">
        <v>100.0</v>
      </c>
      <c r="M2033" s="9" t="s">
        <v>24</v>
      </c>
      <c r="N2033" s="9" t="s">
        <v>25</v>
      </c>
      <c r="O2033" s="10">
        <v>1.1E7</v>
      </c>
      <c r="P2033" s="10">
        <f t="shared" si="2"/>
        <v>12978402</v>
      </c>
      <c r="Q2033" s="12">
        <f t="shared" si="3"/>
        <v>0</v>
      </c>
      <c r="R2033" s="9">
        <v>2001.0</v>
      </c>
      <c r="S2033" s="9">
        <v>4.6</v>
      </c>
    </row>
    <row r="2034" ht="15.75" customHeight="1">
      <c r="A2034" s="17" t="s">
        <v>6810</v>
      </c>
      <c r="B2034" s="8" t="str">
        <f>IFERROR(__xludf.DUMMYFUNCTION("REGEXREPLACE(A2034, ""[^0-9a-zA-Z .'Ã]"","""")"),"Geoff Murphy")</f>
        <v>Geoff Murphy</v>
      </c>
      <c r="C2034" s="18">
        <v>47.0</v>
      </c>
      <c r="D2034" s="19">
        <v>5.0024083E7</v>
      </c>
      <c r="E2034" s="18" t="s">
        <v>1096</v>
      </c>
      <c r="F2034" s="9">
        <f t="shared" si="1"/>
        <v>2</v>
      </c>
      <c r="G2034" s="18" t="s">
        <v>493</v>
      </c>
      <c r="H2034" s="11" t="str">
        <f>IFERROR(__xludf.DUMMYFUNCTION("REGEXREPLACE(G2034, ""[^0-9a-zA-Z .'Ã]"","""")"),"Peter Greene")</f>
        <v>Peter Greene</v>
      </c>
      <c r="I2034" s="20" t="s">
        <v>6811</v>
      </c>
      <c r="J2034" s="18">
        <v>35918.0</v>
      </c>
      <c r="K2034" s="18" t="s">
        <v>6812</v>
      </c>
      <c r="L2034" s="18">
        <v>126.0</v>
      </c>
      <c r="M2034" s="18" t="s">
        <v>24</v>
      </c>
      <c r="N2034" s="18" t="s">
        <v>25</v>
      </c>
      <c r="O2034" s="19">
        <v>6.0E7</v>
      </c>
      <c r="P2034" s="10">
        <f t="shared" si="2"/>
        <v>0</v>
      </c>
      <c r="Q2034" s="12">
        <f t="shared" si="3"/>
        <v>9975917</v>
      </c>
      <c r="R2034" s="18">
        <v>1995.0</v>
      </c>
      <c r="S2034" s="18">
        <v>5.4</v>
      </c>
    </row>
    <row r="2035" ht="15.75" customHeight="1">
      <c r="A2035" s="7" t="s">
        <v>949</v>
      </c>
      <c r="B2035" s="8" t="str">
        <f>IFERROR(__xludf.DUMMYFUNCTION("REGEXREPLACE(A2035, ""[^0-9a-zA-Z .'Ã]"","""")"),"Don Bluth")</f>
        <v>Don Bluth</v>
      </c>
      <c r="C2035" s="9">
        <v>24.0</v>
      </c>
      <c r="D2035" s="10">
        <v>4.8092846E7</v>
      </c>
      <c r="E2035" s="9" t="s">
        <v>6813</v>
      </c>
      <c r="F2035" s="9">
        <f t="shared" si="1"/>
        <v>3</v>
      </c>
      <c r="G2035" s="9" t="s">
        <v>2037</v>
      </c>
      <c r="H2035" s="11" t="str">
        <f>IFERROR(__xludf.DUMMYFUNCTION("REGEXREPLACE(G2035, ""[^0-9a-zA-Z .'Ã]"","""")"),"Judith Barsi")</f>
        <v>Judith Barsi</v>
      </c>
      <c r="I2035" s="11" t="s">
        <v>6814</v>
      </c>
      <c r="J2035" s="9">
        <v>61753.0</v>
      </c>
      <c r="K2035" s="9" t="s">
        <v>6815</v>
      </c>
      <c r="L2035" s="9">
        <v>133.0</v>
      </c>
      <c r="M2035" s="9" t="s">
        <v>24</v>
      </c>
      <c r="N2035" s="9" t="s">
        <v>25</v>
      </c>
      <c r="O2035" s="10">
        <v>1.25E7</v>
      </c>
      <c r="P2035" s="10">
        <f t="shared" si="2"/>
        <v>35592846</v>
      </c>
      <c r="Q2035" s="12">
        <f t="shared" si="3"/>
        <v>0</v>
      </c>
      <c r="R2035" s="9">
        <v>1988.0</v>
      </c>
      <c r="S2035" s="9">
        <v>7.3</v>
      </c>
    </row>
    <row r="2036" ht="15.75" customHeight="1">
      <c r="A2036" s="21" t="s">
        <v>6816</v>
      </c>
      <c r="B2036" s="8" t="str">
        <f>IFERROR(__xludf.DUMMYFUNCTION("REGEXREPLACE(A2036, ""[^0-9a-zA-Z .'Ã]"","""")"),"Brian Percival")</f>
        <v>Brian Percival</v>
      </c>
      <c r="C2036" s="22">
        <v>252.0</v>
      </c>
      <c r="D2036" s="23">
        <v>2.1483154E7</v>
      </c>
      <c r="E2036" s="22" t="s">
        <v>679</v>
      </c>
      <c r="F2036" s="9">
        <f t="shared" si="1"/>
        <v>2</v>
      </c>
      <c r="G2036" s="22" t="s">
        <v>6817</v>
      </c>
      <c r="H2036" s="11" t="str">
        <f>IFERROR(__xludf.DUMMYFUNCTION("REGEXREPLACE(G2036, ""[^0-9a-zA-Z .'Ã]"","""")"),"Emily Watson")</f>
        <v>Emily Watson</v>
      </c>
      <c r="I2036" s="24" t="s">
        <v>6818</v>
      </c>
      <c r="J2036" s="22">
        <v>98741.0</v>
      </c>
      <c r="K2036" s="22" t="s">
        <v>6819</v>
      </c>
      <c r="L2036" s="22">
        <v>236.0</v>
      </c>
      <c r="M2036" s="22" t="s">
        <v>24</v>
      </c>
      <c r="N2036" s="22" t="s">
        <v>25</v>
      </c>
      <c r="O2036" s="23">
        <v>1.9E7</v>
      </c>
      <c r="P2036" s="10">
        <f t="shared" si="2"/>
        <v>2483154</v>
      </c>
      <c r="Q2036" s="12">
        <f t="shared" si="3"/>
        <v>0</v>
      </c>
      <c r="R2036" s="22">
        <v>2013.0</v>
      </c>
      <c r="S2036" s="22">
        <v>7.6</v>
      </c>
    </row>
    <row r="2037" ht="15.75" customHeight="1">
      <c r="A2037" s="7" t="s">
        <v>4307</v>
      </c>
      <c r="B2037" s="8" t="str">
        <f>IFERROR(__xludf.DUMMYFUNCTION("REGEXREPLACE(A2037, ""[^0-9a-zA-Z .'Ã]"","""")"),"Scott Cooper")</f>
        <v>Scott Cooper</v>
      </c>
      <c r="C2037" s="9">
        <v>288.0</v>
      </c>
      <c r="D2037" s="10">
        <v>1.1326836E7</v>
      </c>
      <c r="E2037" s="9" t="s">
        <v>113</v>
      </c>
      <c r="F2037" s="9">
        <f t="shared" si="1"/>
        <v>3</v>
      </c>
      <c r="G2037" s="9" t="s">
        <v>1579</v>
      </c>
      <c r="H2037" s="11" t="str">
        <f>IFERROR(__xludf.DUMMYFUNCTION("REGEXREPLACE(G2037, ""[^0-9a-zA-Z .'Ã]"","""")"),"Christian Bale")</f>
        <v>Christian Bale</v>
      </c>
      <c r="I2037" s="11" t="s">
        <v>6820</v>
      </c>
      <c r="J2037" s="9">
        <v>83171.0</v>
      </c>
      <c r="K2037" s="9" t="s">
        <v>6821</v>
      </c>
      <c r="L2037" s="9">
        <v>231.0</v>
      </c>
      <c r="M2037" s="9" t="s">
        <v>24</v>
      </c>
      <c r="N2037" s="9" t="s">
        <v>25</v>
      </c>
      <c r="O2037" s="10">
        <v>2.2E7</v>
      </c>
      <c r="P2037" s="10">
        <f t="shared" si="2"/>
        <v>0</v>
      </c>
      <c r="Q2037" s="12">
        <f t="shared" si="3"/>
        <v>10673164</v>
      </c>
      <c r="R2037" s="9">
        <v>2013.0</v>
      </c>
      <c r="S2037" s="9">
        <v>6.8</v>
      </c>
    </row>
    <row r="2038" ht="15.75" customHeight="1">
      <c r="A2038" s="25" t="s">
        <v>6822</v>
      </c>
      <c r="B2038" s="8" t="str">
        <f>IFERROR(__xludf.DUMMYFUNCTION("REGEXREPLACE(A2038, ""[^0-9a-zA-Z .'Ã]"","""")"),"Rick Bieber")</f>
        <v>Rick Bieber</v>
      </c>
      <c r="C2038" s="26">
        <v>16.0</v>
      </c>
      <c r="D2038" s="27">
        <v>399611.0</v>
      </c>
      <c r="E2038" s="26" t="s">
        <v>1124</v>
      </c>
      <c r="F2038" s="9">
        <f t="shared" si="1"/>
        <v>3</v>
      </c>
      <c r="G2038" s="26" t="s">
        <v>6823</v>
      </c>
      <c r="H2038" s="11" t="str">
        <f>IFERROR(__xludf.DUMMYFUNCTION("REGEXREPLACE(G2038, ""[^0-9a-zA-Z .'Ã]"","""")"),"Aidan Quinn")</f>
        <v>Aidan Quinn</v>
      </c>
      <c r="I2038" s="28" t="s">
        <v>6824</v>
      </c>
      <c r="J2038" s="26">
        <v>1245.0</v>
      </c>
      <c r="K2038" s="26" t="s">
        <v>6825</v>
      </c>
      <c r="L2038" s="26">
        <v>29.0</v>
      </c>
      <c r="M2038" s="26" t="s">
        <v>24</v>
      </c>
      <c r="N2038" s="26" t="s">
        <v>25</v>
      </c>
      <c r="O2038" s="27">
        <v>6000000.0</v>
      </c>
      <c r="P2038" s="10">
        <f t="shared" si="2"/>
        <v>0</v>
      </c>
      <c r="Q2038" s="12">
        <f t="shared" si="3"/>
        <v>5600389</v>
      </c>
      <c r="R2038" s="26">
        <v>2010.0</v>
      </c>
      <c r="S2038" s="26">
        <v>5.7</v>
      </c>
    </row>
    <row r="2039" ht="15.75" customHeight="1">
      <c r="A2039" s="7" t="s">
        <v>2338</v>
      </c>
      <c r="B2039" s="8" t="str">
        <f>IFERROR(__xludf.DUMMYFUNCTION("REGEXREPLACE(A2039, ""[^0-9a-zA-Z .'Ã]"","""")"),"Jonathan Frakes")</f>
        <v>Jonathan Frakes</v>
      </c>
      <c r="C2039" s="9">
        <v>143.0</v>
      </c>
      <c r="D2039" s="10">
        <v>9.2001027E7</v>
      </c>
      <c r="E2039" s="9" t="s">
        <v>6503</v>
      </c>
      <c r="F2039" s="9">
        <f t="shared" si="1"/>
        <v>5</v>
      </c>
      <c r="G2039" s="9" t="s">
        <v>6826</v>
      </c>
      <c r="H2039" s="11" t="str">
        <f>IFERROR(__xludf.DUMMYFUNCTION("REGEXREPLACE(G2039, ""[^0-9a-zA-Z .'Ã]"","""")"),"LeVar Burton")</f>
        <v>LeVar Burton</v>
      </c>
      <c r="I2039" s="11" t="s">
        <v>6827</v>
      </c>
      <c r="J2039" s="9">
        <v>97838.0</v>
      </c>
      <c r="K2039" s="9" t="s">
        <v>6828</v>
      </c>
      <c r="L2039" s="9">
        <v>286.0</v>
      </c>
      <c r="M2039" s="9" t="s">
        <v>24</v>
      </c>
      <c r="N2039" s="9" t="s">
        <v>25</v>
      </c>
      <c r="O2039" s="10">
        <v>4.5E7</v>
      </c>
      <c r="P2039" s="10">
        <f t="shared" si="2"/>
        <v>47001027</v>
      </c>
      <c r="Q2039" s="12">
        <f t="shared" si="3"/>
        <v>0</v>
      </c>
      <c r="R2039" s="9">
        <v>1996.0</v>
      </c>
      <c r="S2039" s="9">
        <v>7.6</v>
      </c>
    </row>
    <row r="2040" ht="15.75" customHeight="1">
      <c r="A2040" s="7" t="s">
        <v>5613</v>
      </c>
      <c r="B2040" s="8" t="str">
        <f>IFERROR(__xludf.DUMMYFUNCTION("REGEXREPLACE(A2040, ""[^0-9a-zA-Z -.'Ã]"","""")"),"Mikael HÃfstrÃm")</f>
        <v>Mikael HÃfstrÃm</v>
      </c>
      <c r="C2040" s="9">
        <v>314.0</v>
      </c>
      <c r="D2040" s="10">
        <v>7.1975611E7</v>
      </c>
      <c r="E2040" s="9" t="s">
        <v>1235</v>
      </c>
      <c r="F2040" s="9">
        <f t="shared" si="1"/>
        <v>2</v>
      </c>
      <c r="G2040" s="9" t="s">
        <v>6829</v>
      </c>
      <c r="H2040" s="11" t="str">
        <f>IFERROR(__xludf.DUMMYFUNCTION("REGEXREPLACE(G2040, ""[^0-9a-zA-Z .'Ã]"","""")"),"Drew Powell")</f>
        <v>Drew Powell</v>
      </c>
      <c r="I2040" s="11" t="s">
        <v>6830</v>
      </c>
      <c r="J2040" s="9">
        <v>209396.0</v>
      </c>
      <c r="K2040" s="9" t="s">
        <v>6831</v>
      </c>
      <c r="L2040" s="9">
        <v>580.0</v>
      </c>
      <c r="M2040" s="9" t="s">
        <v>24</v>
      </c>
      <c r="N2040" s="9" t="s">
        <v>25</v>
      </c>
      <c r="O2040" s="10">
        <v>2.5E7</v>
      </c>
      <c r="P2040" s="10">
        <f t="shared" si="2"/>
        <v>46975611</v>
      </c>
      <c r="Q2040" s="12">
        <f t="shared" si="3"/>
        <v>0</v>
      </c>
      <c r="R2040" s="9">
        <v>2007.0</v>
      </c>
      <c r="S2040" s="9">
        <v>6.8</v>
      </c>
    </row>
    <row r="2041" ht="15.75" customHeight="1">
      <c r="A2041" s="7" t="s">
        <v>6832</v>
      </c>
      <c r="B2041" s="8" t="str">
        <f>IFERROR(__xludf.DUMMYFUNCTION("REGEXREPLACE(A2041, ""[^0-9a-zA-Z .'Ã]"","""")"),"Tim Story")</f>
        <v>Tim Story</v>
      </c>
      <c r="C2041" s="9">
        <v>146.0</v>
      </c>
      <c r="D2041" s="10">
        <v>1.3414153E8</v>
      </c>
      <c r="E2041" s="9" t="s">
        <v>3245</v>
      </c>
      <c r="F2041" s="9">
        <f t="shared" si="1"/>
        <v>4</v>
      </c>
      <c r="G2041" s="9" t="s">
        <v>6833</v>
      </c>
      <c r="H2041" s="11" t="str">
        <f>IFERROR(__xludf.DUMMYFUNCTION("REGEXREPLACE(G2041, ""[^0-9a-zA-Z .'Ã]"","""")"),"Bruce McGill")</f>
        <v>Bruce McGill</v>
      </c>
      <c r="I2041" s="11" t="s">
        <v>6834</v>
      </c>
      <c r="J2041" s="9">
        <v>75903.0</v>
      </c>
      <c r="K2041" s="9" t="s">
        <v>6835</v>
      </c>
      <c r="L2041" s="9">
        <v>109.0</v>
      </c>
      <c r="M2041" s="9" t="s">
        <v>24</v>
      </c>
      <c r="N2041" s="9" t="s">
        <v>25</v>
      </c>
      <c r="O2041" s="10">
        <v>2.5E7</v>
      </c>
      <c r="P2041" s="10">
        <f t="shared" si="2"/>
        <v>109141530</v>
      </c>
      <c r="Q2041" s="12">
        <f t="shared" si="3"/>
        <v>0</v>
      </c>
      <c r="R2041" s="9">
        <v>2014.0</v>
      </c>
      <c r="S2041" s="9">
        <v>6.2</v>
      </c>
    </row>
    <row r="2042" ht="15.75" customHeight="1">
      <c r="A2042" s="17" t="s">
        <v>6836</v>
      </c>
      <c r="B2042" s="8" t="str">
        <f>IFERROR(__xludf.DUMMYFUNCTION("REGEXREPLACE(A2042, ""[^0-9a-zA-Z .'Ã]"","""")"),"Stephen J. Anderson")</f>
        <v>Stephen J. Anderson</v>
      </c>
      <c r="C2042" s="18">
        <v>162.0</v>
      </c>
      <c r="D2042" s="19">
        <v>2.6687172E7</v>
      </c>
      <c r="E2042" s="18" t="s">
        <v>6007</v>
      </c>
      <c r="F2042" s="9">
        <f t="shared" si="1"/>
        <v>5</v>
      </c>
      <c r="G2042" s="18" t="s">
        <v>6837</v>
      </c>
      <c r="H2042" s="11" t="str">
        <f>IFERROR(__xludf.DUMMYFUNCTION("REGEXREPLACE(G2042, ""[^0-9a-zA-Z .'Ã]"","""")"),"Craig Ferguson")</f>
        <v>Craig Ferguson</v>
      </c>
      <c r="I2042" s="20" t="s">
        <v>6838</v>
      </c>
      <c r="J2042" s="18">
        <v>15600.0</v>
      </c>
      <c r="K2042" s="18" t="s">
        <v>6839</v>
      </c>
      <c r="L2042" s="18">
        <v>55.0</v>
      </c>
      <c r="M2042" s="18" t="s">
        <v>24</v>
      </c>
      <c r="N2042" s="18" t="s">
        <v>25</v>
      </c>
      <c r="O2042" s="19">
        <v>3.0E7</v>
      </c>
      <c r="P2042" s="10">
        <f t="shared" si="2"/>
        <v>0</v>
      </c>
      <c r="Q2042" s="12">
        <f t="shared" si="3"/>
        <v>3312828</v>
      </c>
      <c r="R2042" s="18">
        <v>2011.0</v>
      </c>
      <c r="S2042" s="18">
        <v>7.3</v>
      </c>
    </row>
    <row r="2043" ht="15.75" customHeight="1">
      <c r="A2043" s="7" t="s">
        <v>73</v>
      </c>
      <c r="B2043" s="8" t="str">
        <f>IFERROR(__xludf.DUMMYFUNCTION("REGEXREPLACE(A2043, ""[^0-9a-zA-Z .'Ã]"","""")"),"Ridley Scott")</f>
        <v>Ridley Scott</v>
      </c>
      <c r="C2043" s="9">
        <v>97.0</v>
      </c>
      <c r="D2043" s="10">
        <v>4.8154732E7</v>
      </c>
      <c r="E2043" s="9" t="s">
        <v>403</v>
      </c>
      <c r="F2043" s="9">
        <f t="shared" si="1"/>
        <v>3</v>
      </c>
      <c r="G2043" s="9" t="s">
        <v>484</v>
      </c>
      <c r="H2043" s="11" t="str">
        <f>IFERROR(__xludf.DUMMYFUNCTION("REGEXREPLACE(G2043, ""[^0-9a-zA-Z .'Ã]"","""")"),"Viggo Mortensen")</f>
        <v>Viggo Mortensen</v>
      </c>
      <c r="I2043" s="11" t="s">
        <v>6840</v>
      </c>
      <c r="J2043" s="9">
        <v>60326.0</v>
      </c>
      <c r="K2043" s="9" t="s">
        <v>6841</v>
      </c>
      <c r="L2043" s="9">
        <v>142.0</v>
      </c>
      <c r="M2043" s="9" t="s">
        <v>24</v>
      </c>
      <c r="N2043" s="9" t="s">
        <v>25</v>
      </c>
      <c r="O2043" s="10">
        <v>5.0E7</v>
      </c>
      <c r="P2043" s="10">
        <f t="shared" si="2"/>
        <v>0</v>
      </c>
      <c r="Q2043" s="12">
        <f t="shared" si="3"/>
        <v>1845268</v>
      </c>
      <c r="R2043" s="9">
        <v>1997.0</v>
      </c>
      <c r="S2043" s="9">
        <v>5.8</v>
      </c>
    </row>
    <row r="2044" ht="15.75" customHeight="1">
      <c r="A2044" s="13" t="s">
        <v>6842</v>
      </c>
      <c r="B2044" s="8" t="str">
        <f>IFERROR(__xludf.DUMMYFUNCTION("REGEXREPLACE(A2044, ""[^0-9a-zA-Z .'Ã]"","""")"),"George Sidney")</f>
        <v>George Sidney</v>
      </c>
      <c r="C2044" s="14">
        <v>21.0</v>
      </c>
      <c r="D2044" s="15">
        <v>8000000.0</v>
      </c>
      <c r="E2044" s="14" t="s">
        <v>6843</v>
      </c>
      <c r="F2044" s="9">
        <f t="shared" si="1"/>
        <v>5</v>
      </c>
      <c r="G2044" s="14" t="s">
        <v>6844</v>
      </c>
      <c r="H2044" s="11" t="str">
        <f>IFERROR(__xludf.DUMMYFUNCTION("REGEXREPLACE(G2044, ""[^0-9a-zA-Z .'Ã]"","""")"),"Keenan Wynn")</f>
        <v>Keenan Wynn</v>
      </c>
      <c r="I2044" s="16" t="s">
        <v>6845</v>
      </c>
      <c r="J2044" s="14">
        <v>3167.0</v>
      </c>
      <c r="K2044" s="14" t="s">
        <v>6846</v>
      </c>
      <c r="L2044" s="14">
        <v>90.0</v>
      </c>
      <c r="M2044" s="14" t="s">
        <v>24</v>
      </c>
      <c r="N2044" s="14" t="s">
        <v>25</v>
      </c>
      <c r="O2044" s="15">
        <v>3768785.0</v>
      </c>
      <c r="P2044" s="10">
        <f t="shared" si="2"/>
        <v>4231215</v>
      </c>
      <c r="Q2044" s="12">
        <f t="shared" si="3"/>
        <v>0</v>
      </c>
      <c r="R2044" s="14">
        <v>1950.0</v>
      </c>
      <c r="S2044" s="14">
        <v>7.0</v>
      </c>
    </row>
    <row r="2045" ht="15.75" customHeight="1">
      <c r="A2045" s="7" t="s">
        <v>828</v>
      </c>
      <c r="B2045" s="8" t="str">
        <f>IFERROR(__xludf.DUMMYFUNCTION("REGEXREPLACE(A2045, ""[^0-9a-zA-Z .'Ã]"","""")"),"Gabriele Muccino")</f>
        <v>Gabriele Muccino</v>
      </c>
      <c r="C2045" s="9">
        <v>202.0</v>
      </c>
      <c r="D2045" s="10">
        <v>6.9951824E7</v>
      </c>
      <c r="E2045" s="9" t="s">
        <v>232</v>
      </c>
      <c r="F2045" s="9">
        <f t="shared" si="1"/>
        <v>2</v>
      </c>
      <c r="G2045" s="9" t="s">
        <v>2717</v>
      </c>
      <c r="H2045" s="11" t="str">
        <f>IFERROR(__xludf.DUMMYFUNCTION("REGEXREPLACE(G2045, ""[^0-9a-zA-Z .'Ã]"","""")"),"Will Smith")</f>
        <v>Will Smith</v>
      </c>
      <c r="I2045" s="11" t="s">
        <v>6847</v>
      </c>
      <c r="J2045" s="9">
        <v>232710.0</v>
      </c>
      <c r="K2045" s="9" t="s">
        <v>6848</v>
      </c>
      <c r="L2045" s="9">
        <v>599.0</v>
      </c>
      <c r="M2045" s="9" t="s">
        <v>24</v>
      </c>
      <c r="N2045" s="9" t="s">
        <v>25</v>
      </c>
      <c r="O2045" s="10">
        <v>5.5E7</v>
      </c>
      <c r="P2045" s="10">
        <f t="shared" si="2"/>
        <v>14951824</v>
      </c>
      <c r="Q2045" s="12">
        <f t="shared" si="3"/>
        <v>0</v>
      </c>
      <c r="R2045" s="9">
        <v>2008.0</v>
      </c>
      <c r="S2045" s="9">
        <v>7.7</v>
      </c>
    </row>
    <row r="2046" ht="15.75" customHeight="1">
      <c r="A2046" s="7" t="s">
        <v>38</v>
      </c>
      <c r="B2046" s="8" t="str">
        <f>IFERROR(__xludf.DUMMYFUNCTION("REGEXREPLACE(A2046, ""[^0-9a-zA-Z .'Ã]"","""")"),"Clint Eastwood")</f>
        <v>Clint Eastwood</v>
      </c>
      <c r="C2046" s="9">
        <v>392.0</v>
      </c>
      <c r="D2046" s="10">
        <v>3.730495E7</v>
      </c>
      <c r="E2046" s="9" t="s">
        <v>1774</v>
      </c>
      <c r="F2046" s="9">
        <f t="shared" si="1"/>
        <v>3</v>
      </c>
      <c r="G2046" s="9" t="s">
        <v>1351</v>
      </c>
      <c r="H2046" s="11" t="str">
        <f>IFERROR(__xludf.DUMMYFUNCTION("REGEXREPLACE(G2046, ""[^0-9a-zA-Z .'Ã]"","""")"),"Leonardo DiCaprio")</f>
        <v>Leonardo DiCaprio</v>
      </c>
      <c r="I2046" s="11" t="s">
        <v>6849</v>
      </c>
      <c r="J2046" s="9">
        <v>102728.0</v>
      </c>
      <c r="K2046" s="9" t="s">
        <v>6850</v>
      </c>
      <c r="L2046" s="9">
        <v>279.0</v>
      </c>
      <c r="M2046" s="9" t="s">
        <v>24</v>
      </c>
      <c r="N2046" s="9" t="s">
        <v>25</v>
      </c>
      <c r="O2046" s="10">
        <v>3.5E7</v>
      </c>
      <c r="P2046" s="10">
        <f t="shared" si="2"/>
        <v>2304950</v>
      </c>
      <c r="Q2046" s="12">
        <f t="shared" si="3"/>
        <v>0</v>
      </c>
      <c r="R2046" s="9">
        <v>2011.0</v>
      </c>
      <c r="S2046" s="9">
        <v>6.6</v>
      </c>
    </row>
    <row r="2047" ht="15.75" customHeight="1">
      <c r="A2047" s="13" t="s">
        <v>6851</v>
      </c>
      <c r="B2047" s="8" t="str">
        <f>IFERROR(__xludf.DUMMYFUNCTION("REGEXREPLACE(A2047, ""[^0-9a-zA-Z .'Ã]"","""")"),"Marco Schnabel")</f>
        <v>Marco Schnabel</v>
      </c>
      <c r="C2047" s="14">
        <v>150.0</v>
      </c>
      <c r="D2047" s="15">
        <v>3.2178777E7</v>
      </c>
      <c r="E2047" s="14" t="s">
        <v>829</v>
      </c>
      <c r="F2047" s="9">
        <f t="shared" si="1"/>
        <v>3</v>
      </c>
      <c r="G2047" s="14" t="s">
        <v>302</v>
      </c>
      <c r="H2047" s="11" t="str">
        <f>IFERROR(__xludf.DUMMYFUNCTION("REGEXREPLACE(G2047, ""[^0-9a-zA-Z .'Ã]"","""")"),"Justin Timberlake")</f>
        <v>Justin Timberlake</v>
      </c>
      <c r="I2047" s="16" t="s">
        <v>6852</v>
      </c>
      <c r="J2047" s="14">
        <v>43300.0</v>
      </c>
      <c r="K2047" s="14" t="s">
        <v>6853</v>
      </c>
      <c r="L2047" s="14">
        <v>250.0</v>
      </c>
      <c r="M2047" s="14" t="s">
        <v>24</v>
      </c>
      <c r="N2047" s="14" t="s">
        <v>25</v>
      </c>
      <c r="O2047" s="15">
        <v>6.2E7</v>
      </c>
      <c r="P2047" s="10">
        <f t="shared" si="2"/>
        <v>0</v>
      </c>
      <c r="Q2047" s="12">
        <f t="shared" si="3"/>
        <v>29821223</v>
      </c>
      <c r="R2047" s="14">
        <v>2008.0</v>
      </c>
      <c r="S2047" s="14">
        <v>3.8</v>
      </c>
    </row>
    <row r="2048" ht="15.75" customHeight="1">
      <c r="A2048" s="7" t="s">
        <v>6854</v>
      </c>
      <c r="B2048" s="8" t="str">
        <f>IFERROR(__xludf.DUMMYFUNCTION("REGEXREPLACE(A2048, ""[^0-9a-zA-Z .'Ã]"","""")"),"Pitof")</f>
        <v>Pitof</v>
      </c>
      <c r="C2048" s="9">
        <v>212.0</v>
      </c>
      <c r="D2048" s="10">
        <v>4.019871E7</v>
      </c>
      <c r="E2048" s="9" t="s">
        <v>6855</v>
      </c>
      <c r="F2048" s="9">
        <f t="shared" si="1"/>
        <v>5</v>
      </c>
      <c r="G2048" s="9" t="s">
        <v>853</v>
      </c>
      <c r="H2048" s="11" t="str">
        <f>IFERROR(__xludf.DUMMYFUNCTION("REGEXREPLACE(G2048, ""[^0-9a-zA-Z .'Ã]"","""")"),"Frances Conroy")</f>
        <v>Frances Conroy</v>
      </c>
      <c r="I2048" s="11" t="s">
        <v>6856</v>
      </c>
      <c r="J2048" s="9">
        <v>87451.0</v>
      </c>
      <c r="K2048" s="9" t="s">
        <v>6857</v>
      </c>
      <c r="L2048" s="9">
        <v>660.0</v>
      </c>
      <c r="M2048" s="9" t="s">
        <v>24</v>
      </c>
      <c r="N2048" s="9" t="s">
        <v>25</v>
      </c>
      <c r="O2048" s="10">
        <v>1.0E8</v>
      </c>
      <c r="P2048" s="10">
        <f t="shared" si="2"/>
        <v>0</v>
      </c>
      <c r="Q2048" s="12">
        <f t="shared" si="3"/>
        <v>59801290</v>
      </c>
      <c r="R2048" s="9">
        <v>2004.0</v>
      </c>
      <c r="S2048" s="9">
        <v>3.3</v>
      </c>
    </row>
    <row r="2049" ht="15.75" customHeight="1">
      <c r="A2049" s="13" t="s">
        <v>692</v>
      </c>
      <c r="B2049" s="8" t="str">
        <f>IFERROR(__xludf.DUMMYFUNCTION("REGEXREPLACE(A2049, ""[^0-9a-zA-Z .'Ã]"","""")"),"Peter Segal")</f>
        <v>Peter Segal</v>
      </c>
      <c r="C2049" s="14">
        <v>94.0</v>
      </c>
      <c r="D2049" s="15">
        <v>1.23307945E8</v>
      </c>
      <c r="E2049" s="14" t="s">
        <v>1455</v>
      </c>
      <c r="F2049" s="9">
        <f t="shared" si="1"/>
        <v>3</v>
      </c>
      <c r="G2049" s="14" t="s">
        <v>6858</v>
      </c>
      <c r="H2049" s="11" t="str">
        <f>IFERROR(__xludf.DUMMYFUNCTION("REGEXREPLACE(G2049, ""[^0-9a-zA-Z .'Ã]"","""")"),"Larry Miller")</f>
        <v>Larry Miller</v>
      </c>
      <c r="I2049" s="16" t="s">
        <v>6859</v>
      </c>
      <c r="J2049" s="14">
        <v>39391.0</v>
      </c>
      <c r="K2049" s="14" t="s">
        <v>6860</v>
      </c>
      <c r="L2049" s="14">
        <v>171.0</v>
      </c>
      <c r="M2049" s="14" t="s">
        <v>24</v>
      </c>
      <c r="N2049" s="14" t="s">
        <v>25</v>
      </c>
      <c r="O2049" s="15">
        <v>6.5E7</v>
      </c>
      <c r="P2049" s="10">
        <f t="shared" si="2"/>
        <v>58307945</v>
      </c>
      <c r="Q2049" s="12">
        <f t="shared" si="3"/>
        <v>0</v>
      </c>
      <c r="R2049" s="14">
        <v>2000.0</v>
      </c>
      <c r="S2049" s="14">
        <v>4.3</v>
      </c>
    </row>
    <row r="2050" ht="15.75" customHeight="1">
      <c r="A2050" s="7" t="s">
        <v>6861</v>
      </c>
      <c r="B2050" s="8" t="str">
        <f>IFERROR(__xludf.DUMMYFUNCTION("REGEXREPLACE(A2050, ""[^0-9a-zA-Z .'Ã]"","""")"),"Michael Gornick")</f>
        <v>Michael Gornick</v>
      </c>
      <c r="C2050" s="9">
        <v>95.0</v>
      </c>
      <c r="D2050" s="10">
        <v>1.4E7</v>
      </c>
      <c r="E2050" s="9" t="s">
        <v>2328</v>
      </c>
      <c r="F2050" s="9">
        <f t="shared" si="1"/>
        <v>4</v>
      </c>
      <c r="G2050" s="9" t="s">
        <v>2006</v>
      </c>
      <c r="H2050" s="11" t="str">
        <f>IFERROR(__xludf.DUMMYFUNCTION("REGEXREPLACE(G2050, ""[^0-9a-zA-Z .'Ã]"","""")"),"George Kennedy")</f>
        <v>George Kennedy</v>
      </c>
      <c r="I2050" s="11" t="s">
        <v>6862</v>
      </c>
      <c r="J2050" s="9">
        <v>15956.0</v>
      </c>
      <c r="K2050" s="9" t="s">
        <v>6863</v>
      </c>
      <c r="L2050" s="9">
        <v>118.0</v>
      </c>
      <c r="M2050" s="9" t="s">
        <v>24</v>
      </c>
      <c r="N2050" s="9" t="s">
        <v>25</v>
      </c>
      <c r="O2050" s="10">
        <v>3500000.0</v>
      </c>
      <c r="P2050" s="10">
        <f t="shared" si="2"/>
        <v>10500000</v>
      </c>
      <c r="Q2050" s="12">
        <f t="shared" si="3"/>
        <v>0</v>
      </c>
      <c r="R2050" s="9">
        <v>1987.0</v>
      </c>
      <c r="S2050" s="9">
        <v>6.0</v>
      </c>
    </row>
    <row r="2051" ht="15.75" customHeight="1">
      <c r="A2051" s="29" t="s">
        <v>4877</v>
      </c>
      <c r="B2051" s="8" t="str">
        <f>IFERROR(__xludf.DUMMYFUNCTION("REGEXREPLACE(A2051, ""[^0-9a-zA-Z .'Ã]"","""")"),"Hayao Miyazaki")</f>
        <v>Hayao Miyazaki</v>
      </c>
      <c r="C2051" s="30">
        <v>174.0</v>
      </c>
      <c r="D2051" s="31">
        <v>2298191.0</v>
      </c>
      <c r="E2051" s="30" t="s">
        <v>6864</v>
      </c>
      <c r="F2051" s="9">
        <f t="shared" si="1"/>
        <v>3</v>
      </c>
      <c r="G2051" s="30" t="s">
        <v>1397</v>
      </c>
      <c r="H2051" s="11" t="str">
        <f>IFERROR(__xludf.DUMMYFUNCTION("REGEXREPLACE(G2051, ""[^0-9a-zA-Z .'Ã]"","""")"),"Minnie Driver")</f>
        <v>Minnie Driver</v>
      </c>
      <c r="I2051" s="32" t="s">
        <v>6865</v>
      </c>
      <c r="J2051" s="30">
        <v>221552.0</v>
      </c>
      <c r="K2051" s="30" t="s">
        <v>6866</v>
      </c>
      <c r="L2051" s="30">
        <v>570.0</v>
      </c>
      <c r="M2051" s="30" t="s">
        <v>1534</v>
      </c>
      <c r="N2051" s="30" t="s">
        <v>1535</v>
      </c>
      <c r="O2051" s="31">
        <v>2.4E9</v>
      </c>
      <c r="P2051" s="10">
        <f t="shared" si="2"/>
        <v>0</v>
      </c>
      <c r="Q2051" s="12">
        <f t="shared" si="3"/>
        <v>2397701809</v>
      </c>
      <c r="R2051" s="30">
        <v>1997.0</v>
      </c>
      <c r="S2051" s="30">
        <v>8.4</v>
      </c>
    </row>
    <row r="2052" ht="15.75" customHeight="1">
      <c r="A2052" s="7" t="s">
        <v>1123</v>
      </c>
      <c r="B2052" s="8" t="str">
        <f>IFERROR(__xludf.DUMMYFUNCTION("REGEXREPLACE(A2052, ""[^0-9a-zA-Z .'Ã]"","""")"),"Ron Howard")</f>
        <v>Ron Howard</v>
      </c>
      <c r="C2052" s="9">
        <v>302.0</v>
      </c>
      <c r="D2052" s="10">
        <v>1.8593156E7</v>
      </c>
      <c r="E2052" s="9" t="s">
        <v>103</v>
      </c>
      <c r="F2052" s="9">
        <f t="shared" si="1"/>
        <v>1</v>
      </c>
      <c r="G2052" s="9" t="s">
        <v>6867</v>
      </c>
      <c r="H2052" s="11" t="str">
        <f>IFERROR(__xludf.DUMMYFUNCTION("REGEXREPLACE(G2052, ""[^0-9a-zA-Z .'Ã]"","""")"),"Toby Jones")</f>
        <v>Toby Jones</v>
      </c>
      <c r="I2052" s="11" t="s">
        <v>6868</v>
      </c>
      <c r="J2052" s="9">
        <v>88682.0</v>
      </c>
      <c r="K2052" s="9" t="s">
        <v>6869</v>
      </c>
      <c r="L2052" s="9">
        <v>241.0</v>
      </c>
      <c r="M2052" s="9" t="s">
        <v>24</v>
      </c>
      <c r="N2052" s="9" t="s">
        <v>25</v>
      </c>
      <c r="O2052" s="10">
        <v>3.5E7</v>
      </c>
      <c r="P2052" s="10">
        <f t="shared" si="2"/>
        <v>0</v>
      </c>
      <c r="Q2052" s="12">
        <f t="shared" si="3"/>
        <v>16406844</v>
      </c>
      <c r="R2052" s="9">
        <v>2008.0</v>
      </c>
      <c r="S2052" s="9">
        <v>7.7</v>
      </c>
    </row>
    <row r="2053" ht="15.75" customHeight="1">
      <c r="A2053" s="17" t="s">
        <v>38</v>
      </c>
      <c r="B2053" s="8" t="str">
        <f>IFERROR(__xludf.DUMMYFUNCTION("REGEXREPLACE(A2053, ""[^0-9a-zA-Z .'Ã]"","""")"),"Clint Eastwood")</f>
        <v>Clint Eastwood</v>
      </c>
      <c r="C2053" s="18">
        <v>315.0</v>
      </c>
      <c r="D2053" s="19">
        <v>3.2741596E7</v>
      </c>
      <c r="E2053" s="18" t="s">
        <v>683</v>
      </c>
      <c r="F2053" s="9">
        <f t="shared" si="1"/>
        <v>2</v>
      </c>
      <c r="G2053" s="18" t="s">
        <v>585</v>
      </c>
      <c r="H2053" s="11" t="str">
        <f>IFERROR(__xludf.DUMMYFUNCTION("REGEXREPLACE(G2053, ""[^0-9a-zA-Z .'Ã]"","""")"),"Matt Damon")</f>
        <v>Matt Damon</v>
      </c>
      <c r="I2053" s="20" t="s">
        <v>6870</v>
      </c>
      <c r="J2053" s="18">
        <v>80140.0</v>
      </c>
      <c r="K2053" s="18" t="s">
        <v>6871</v>
      </c>
      <c r="L2053" s="18">
        <v>323.0</v>
      </c>
      <c r="M2053" s="18" t="s">
        <v>24</v>
      </c>
      <c r="N2053" s="18" t="s">
        <v>25</v>
      </c>
      <c r="O2053" s="19">
        <v>5.0E7</v>
      </c>
      <c r="P2053" s="10">
        <f t="shared" si="2"/>
        <v>0</v>
      </c>
      <c r="Q2053" s="12">
        <f t="shared" si="3"/>
        <v>17258404</v>
      </c>
      <c r="R2053" s="18">
        <v>2010.0</v>
      </c>
      <c r="S2053" s="18">
        <v>6.5</v>
      </c>
    </row>
    <row r="2054" ht="15.75" customHeight="1">
      <c r="A2054" s="21" t="s">
        <v>3691</v>
      </c>
      <c r="B2054" s="8" t="str">
        <f>IFERROR(__xludf.DUMMYFUNCTION("REGEXREPLACE(A2054, ""[^0-9a-zA-Z .'Ã]"","""")"),"Mark Dindal")</f>
        <v>Mark Dindal</v>
      </c>
      <c r="C2054" s="22">
        <v>161.0</v>
      </c>
      <c r="D2054" s="23">
        <v>1.35381507E8</v>
      </c>
      <c r="E2054" s="22" t="s">
        <v>20</v>
      </c>
      <c r="F2054" s="9">
        <f t="shared" si="1"/>
        <v>5</v>
      </c>
      <c r="G2054" s="22" t="s">
        <v>5157</v>
      </c>
      <c r="H2054" s="11" t="str">
        <f>IFERROR(__xludf.DUMMYFUNCTION("REGEXREPLACE(G2054, ""[^0-9a-zA-Z .'Ã]"","""")"),"Catherine O'Hara")</f>
        <v>Catherine O'Hara</v>
      </c>
      <c r="I2054" s="24" t="s">
        <v>6872</v>
      </c>
      <c r="J2054" s="22">
        <v>63912.0</v>
      </c>
      <c r="K2054" s="22" t="s">
        <v>6873</v>
      </c>
      <c r="L2054" s="22">
        <v>251.0</v>
      </c>
      <c r="M2054" s="22" t="s">
        <v>24</v>
      </c>
      <c r="N2054" s="22" t="s">
        <v>25</v>
      </c>
      <c r="O2054" s="23">
        <v>1.5E8</v>
      </c>
      <c r="P2054" s="10">
        <f t="shared" si="2"/>
        <v>0</v>
      </c>
      <c r="Q2054" s="12">
        <f t="shared" si="3"/>
        <v>14618493</v>
      </c>
      <c r="R2054" s="22">
        <v>2005.0</v>
      </c>
      <c r="S2054" s="22">
        <v>5.8</v>
      </c>
    </row>
    <row r="2055" ht="15.75" customHeight="1">
      <c r="A2055" s="7" t="s">
        <v>5154</v>
      </c>
      <c r="B2055" s="8" t="str">
        <f>IFERROR(__xludf.DUMMYFUNCTION("REGEXREPLACE(A2055, ""[^0-9a-zA-Z -.'Ã]"","""")"),"Roland JoffÃ")</f>
        <v>Roland JoffÃ</v>
      </c>
      <c r="C2055" s="9">
        <v>77.0</v>
      </c>
      <c r="D2055" s="10">
        <v>1068392.0</v>
      </c>
      <c r="E2055" s="9" t="s">
        <v>6874</v>
      </c>
      <c r="F2055" s="9">
        <f t="shared" si="1"/>
        <v>3</v>
      </c>
      <c r="G2055" s="9" t="s">
        <v>6875</v>
      </c>
      <c r="H2055" s="11" t="str">
        <f>IFERROR(__xludf.DUMMYFUNCTION("REGEXREPLACE(G2055, ""[^0-9a-zA-Z .'Ã]"","""")"),"Jordi MollÃ")</f>
        <v>Jordi MollÃ</v>
      </c>
      <c r="I2055" s="11" t="s">
        <v>6876</v>
      </c>
      <c r="J2055" s="9">
        <v>3865.0</v>
      </c>
      <c r="K2055" s="9" t="s">
        <v>6877</v>
      </c>
      <c r="L2055" s="9">
        <v>53.0</v>
      </c>
      <c r="M2055" s="9" t="s">
        <v>24</v>
      </c>
      <c r="N2055" s="9" t="s">
        <v>1108</v>
      </c>
      <c r="O2055" s="10">
        <v>3.6E7</v>
      </c>
      <c r="P2055" s="10">
        <f t="shared" si="2"/>
        <v>0</v>
      </c>
      <c r="Q2055" s="12">
        <f t="shared" si="3"/>
        <v>34931608</v>
      </c>
      <c r="R2055" s="9">
        <v>2011.0</v>
      </c>
      <c r="S2055" s="9">
        <v>5.9</v>
      </c>
    </row>
    <row r="2056" ht="15.75" customHeight="1">
      <c r="A2056" s="29" t="s">
        <v>1391</v>
      </c>
      <c r="B2056" s="8" t="str">
        <f>IFERROR(__xludf.DUMMYFUNCTION("REGEXREPLACE(A2056, ""[^0-9a-zA-Z .'Ã]"","""")"),"Kevin Reynolds")</f>
        <v>Kevin Reynolds</v>
      </c>
      <c r="C2056" s="30">
        <v>67.0</v>
      </c>
      <c r="D2056" s="31">
        <v>1.655E8</v>
      </c>
      <c r="E2056" s="30" t="s">
        <v>999</v>
      </c>
      <c r="F2056" s="9">
        <f t="shared" si="1"/>
        <v>4</v>
      </c>
      <c r="G2056" s="30" t="s">
        <v>647</v>
      </c>
      <c r="H2056" s="11" t="str">
        <f>IFERROR(__xludf.DUMMYFUNCTION("REGEXREPLACE(G2056, ""[^0-9a-zA-Z .'Ã]"","""")"),"Alan Rickman")</f>
        <v>Alan Rickman</v>
      </c>
      <c r="I2056" s="32" t="s">
        <v>6878</v>
      </c>
      <c r="J2056" s="30">
        <v>145257.0</v>
      </c>
      <c r="K2056" s="30" t="s">
        <v>6879</v>
      </c>
      <c r="L2056" s="30">
        <v>322.0</v>
      </c>
      <c r="M2056" s="30" t="s">
        <v>24</v>
      </c>
      <c r="N2056" s="30" t="s">
        <v>25</v>
      </c>
      <c r="O2056" s="31">
        <v>4.8E7</v>
      </c>
      <c r="P2056" s="10">
        <f t="shared" si="2"/>
        <v>117500000</v>
      </c>
      <c r="Q2056" s="12">
        <f t="shared" si="3"/>
        <v>0</v>
      </c>
      <c r="R2056" s="30">
        <v>1991.0</v>
      </c>
      <c r="S2056" s="30">
        <v>6.9</v>
      </c>
    </row>
    <row r="2057" ht="15.75" customHeight="1">
      <c r="A2057" s="21" t="s">
        <v>4516</v>
      </c>
      <c r="B2057" s="8" t="str">
        <f>IFERROR(__xludf.DUMMYFUNCTION("REGEXREPLACE(A2057, ""[^0-9a-zA-Z .'Ã]"","""")"),"George Miller")</f>
        <v>George Miller</v>
      </c>
      <c r="C2057" s="22">
        <v>739.0</v>
      </c>
      <c r="D2057" s="23">
        <v>1.53629485E8</v>
      </c>
      <c r="E2057" s="22" t="s">
        <v>794</v>
      </c>
      <c r="F2057" s="9">
        <f t="shared" si="1"/>
        <v>4</v>
      </c>
      <c r="G2057" s="22" t="s">
        <v>1634</v>
      </c>
      <c r="H2057" s="11" t="str">
        <f>IFERROR(__xludf.DUMMYFUNCTION("REGEXREPLACE(G2057, ""[^0-9a-zA-Z .'Ã]"","""")"),"Tom Hardy")</f>
        <v>Tom Hardy</v>
      </c>
      <c r="I2057" s="24" t="s">
        <v>6880</v>
      </c>
      <c r="J2057" s="22">
        <v>552503.0</v>
      </c>
      <c r="K2057" s="22" t="s">
        <v>6881</v>
      </c>
      <c r="L2057" s="22">
        <v>1588.0</v>
      </c>
      <c r="M2057" s="22" t="s">
        <v>24</v>
      </c>
      <c r="N2057" s="22" t="s">
        <v>146</v>
      </c>
      <c r="O2057" s="23">
        <v>1.5E8</v>
      </c>
      <c r="P2057" s="10">
        <f t="shared" si="2"/>
        <v>3629485</v>
      </c>
      <c r="Q2057" s="12">
        <f t="shared" si="3"/>
        <v>0</v>
      </c>
      <c r="R2057" s="22">
        <v>2015.0</v>
      </c>
      <c r="S2057" s="22">
        <v>8.1</v>
      </c>
    </row>
    <row r="2058" ht="15.75" customHeight="1">
      <c r="A2058" s="7" t="s">
        <v>6882</v>
      </c>
      <c r="B2058" s="8" t="str">
        <f>IFERROR(__xludf.DUMMYFUNCTION("REGEXREPLACE(A2058, ""[^0-9a-zA-Z .'Ã]"","""")"),"Maggie Greenwald")</f>
        <v>Maggie Greenwald</v>
      </c>
      <c r="C2058" s="9">
        <v>39.0</v>
      </c>
      <c r="D2058" s="10">
        <v>3050934.0</v>
      </c>
      <c r="E2058" s="9" t="s">
        <v>418</v>
      </c>
      <c r="F2058" s="9">
        <f t="shared" si="1"/>
        <v>2</v>
      </c>
      <c r="G2058" s="9" t="s">
        <v>6823</v>
      </c>
      <c r="H2058" s="11" t="str">
        <f>IFERROR(__xludf.DUMMYFUNCTION("REGEXREPLACE(G2058, ""[^0-9a-zA-Z .'Ã]"","""")"),"Aidan Quinn")</f>
        <v>Aidan Quinn</v>
      </c>
      <c r="I2058" s="11" t="s">
        <v>6883</v>
      </c>
      <c r="J2058" s="9">
        <v>2794.0</v>
      </c>
      <c r="K2058" s="9" t="s">
        <v>6884</v>
      </c>
      <c r="L2058" s="9">
        <v>78.0</v>
      </c>
      <c r="M2058" s="9" t="s">
        <v>24</v>
      </c>
      <c r="N2058" s="9" t="s">
        <v>25</v>
      </c>
      <c r="O2058" s="10">
        <v>1800000.0</v>
      </c>
      <c r="P2058" s="10">
        <f t="shared" si="2"/>
        <v>1250934</v>
      </c>
      <c r="Q2058" s="12">
        <f t="shared" si="3"/>
        <v>0</v>
      </c>
      <c r="R2058" s="9">
        <v>2000.0</v>
      </c>
      <c r="S2058" s="9">
        <v>7.3</v>
      </c>
    </row>
    <row r="2059" ht="15.75" customHeight="1">
      <c r="A2059" s="21" t="s">
        <v>6885</v>
      </c>
      <c r="B2059" s="8" t="str">
        <f>IFERROR(__xludf.DUMMYFUNCTION("REGEXREPLACE(A2059, ""[^0-9a-zA-Z .'Ã]"","""")"),"Andrew Stanton")</f>
        <v>Andrew Stanton</v>
      </c>
      <c r="C2059" s="22">
        <v>462.0</v>
      </c>
      <c r="D2059" s="23">
        <v>7.3058679E7</v>
      </c>
      <c r="E2059" s="22" t="s">
        <v>185</v>
      </c>
      <c r="F2059" s="9">
        <f t="shared" si="1"/>
        <v>3</v>
      </c>
      <c r="G2059" s="22" t="s">
        <v>6886</v>
      </c>
      <c r="H2059" s="11" t="str">
        <f>IFERROR(__xludf.DUMMYFUNCTION("REGEXREPLACE(G2059, ""[^0-9a-zA-Z .'Ã]"","""")"),"Daryl Sabara")</f>
        <v>Daryl Sabara</v>
      </c>
      <c r="I2059" s="24" t="s">
        <v>6887</v>
      </c>
      <c r="J2059" s="22">
        <v>212204.0</v>
      </c>
      <c r="K2059" s="22" t="s">
        <v>6888</v>
      </c>
      <c r="L2059" s="22">
        <v>738.0</v>
      </c>
      <c r="M2059" s="22" t="s">
        <v>24</v>
      </c>
      <c r="N2059" s="22" t="s">
        <v>25</v>
      </c>
      <c r="O2059" s="23">
        <v>2.637E8</v>
      </c>
      <c r="P2059" s="10">
        <f t="shared" si="2"/>
        <v>0</v>
      </c>
      <c r="Q2059" s="12">
        <f t="shared" si="3"/>
        <v>190641321</v>
      </c>
      <c r="R2059" s="22">
        <v>2012.0</v>
      </c>
      <c r="S2059" s="22">
        <v>6.6</v>
      </c>
    </row>
    <row r="2060" ht="15.75" customHeight="1">
      <c r="A2060" s="7" t="s">
        <v>6889</v>
      </c>
      <c r="B2060" s="8" t="str">
        <f>IFERROR(__xludf.DUMMYFUNCTION("REGEXREPLACE(A2060, ""[^0-9a-zA-Z .'Ã]"","""")"),"Callie Khouri")</f>
        <v>Callie Khouri</v>
      </c>
      <c r="C2060" s="9">
        <v>98.0</v>
      </c>
      <c r="D2060" s="10">
        <v>2.0668843E7</v>
      </c>
      <c r="E2060" s="9" t="s">
        <v>589</v>
      </c>
      <c r="F2060" s="9">
        <f t="shared" si="1"/>
        <v>3</v>
      </c>
      <c r="G2060" s="9" t="s">
        <v>897</v>
      </c>
      <c r="H2060" s="11" t="str">
        <f>IFERROR(__xludf.DUMMYFUNCTION("REGEXREPLACE(G2060, ""[^0-9a-zA-Z .'Ã]"","""")"),"Stephen Root")</f>
        <v>Stephen Root</v>
      </c>
      <c r="I2060" s="11" t="s">
        <v>6890</v>
      </c>
      <c r="J2060" s="9">
        <v>16831.0</v>
      </c>
      <c r="K2060" s="9" t="s">
        <v>6891</v>
      </c>
      <c r="L2060" s="9">
        <v>54.0</v>
      </c>
      <c r="M2060" s="9" t="s">
        <v>24</v>
      </c>
      <c r="N2060" s="9" t="s">
        <v>25</v>
      </c>
      <c r="O2060" s="10">
        <v>2.2E7</v>
      </c>
      <c r="P2060" s="10">
        <f t="shared" si="2"/>
        <v>0</v>
      </c>
      <c r="Q2060" s="12">
        <f t="shared" si="3"/>
        <v>1331157</v>
      </c>
      <c r="R2060" s="9">
        <v>2008.0</v>
      </c>
      <c r="S2060" s="9">
        <v>5.8</v>
      </c>
    </row>
    <row r="2061" ht="15.75" customHeight="1">
      <c r="A2061" s="21" t="s">
        <v>6892</v>
      </c>
      <c r="B2061" s="8" t="str">
        <f>IFERROR(__xludf.DUMMYFUNCTION("REGEXREPLACE(A2061, ""[^0-9a-zA-Z .'Ã]"","""")"),"Sam Fell")</f>
        <v>Sam Fell</v>
      </c>
      <c r="C2061" s="22">
        <v>118.0</v>
      </c>
      <c r="D2061" s="23">
        <v>5.081875E7</v>
      </c>
      <c r="E2061" s="22" t="s">
        <v>301</v>
      </c>
      <c r="F2061" s="9">
        <f t="shared" si="1"/>
        <v>5</v>
      </c>
      <c r="G2061" s="22" t="s">
        <v>6893</v>
      </c>
      <c r="H2061" s="11" t="str">
        <f>IFERROR(__xludf.DUMMYFUNCTION("REGEXREPLACE(G2061, ""[^0-9a-zA-Z .'Ã]"","""")"),"Emma Watson")</f>
        <v>Emma Watson</v>
      </c>
      <c r="I2061" s="24" t="s">
        <v>6894</v>
      </c>
      <c r="J2061" s="22">
        <v>31209.0</v>
      </c>
      <c r="K2061" s="22" t="s">
        <v>6895</v>
      </c>
      <c r="L2061" s="22">
        <v>106.0</v>
      </c>
      <c r="M2061" s="22" t="s">
        <v>24</v>
      </c>
      <c r="N2061" s="22" t="s">
        <v>130</v>
      </c>
      <c r="O2061" s="23">
        <v>6.0E7</v>
      </c>
      <c r="P2061" s="10">
        <f t="shared" si="2"/>
        <v>0</v>
      </c>
      <c r="Q2061" s="12">
        <f t="shared" si="3"/>
        <v>9181250</v>
      </c>
      <c r="R2061" s="22">
        <v>2008.0</v>
      </c>
      <c r="S2061" s="22">
        <v>6.1</v>
      </c>
    </row>
    <row r="2062" ht="15.75" customHeight="1">
      <c r="A2062" s="7" t="s">
        <v>1016</v>
      </c>
      <c r="B2062" s="8" t="str">
        <f>IFERROR(__xludf.DUMMYFUNCTION("REGEXREPLACE(A2062, ""[^0-9a-zA-Z .'Ã]"","""")"),"John Erick Dowdle")</f>
        <v>John Erick Dowdle</v>
      </c>
      <c r="C2062" s="9">
        <v>203.0</v>
      </c>
      <c r="D2062" s="10">
        <v>2.7285953E7</v>
      </c>
      <c r="E2062" s="9" t="s">
        <v>1096</v>
      </c>
      <c r="F2062" s="9">
        <f t="shared" si="1"/>
        <v>2</v>
      </c>
      <c r="G2062" s="9" t="s">
        <v>6896</v>
      </c>
      <c r="H2062" s="11" t="str">
        <f>IFERROR(__xludf.DUMMYFUNCTION("REGEXREPLACE(G2062, ""[^0-9a-zA-Z .'Ã]"","""")"),"Sterling Jerins")</f>
        <v>Sterling Jerins</v>
      </c>
      <c r="I2062" s="11" t="s">
        <v>6897</v>
      </c>
      <c r="J2062" s="9">
        <v>48675.0</v>
      </c>
      <c r="K2062" s="9" t="s">
        <v>6898</v>
      </c>
      <c r="L2062" s="9">
        <v>214.0</v>
      </c>
      <c r="M2062" s="9" t="s">
        <v>24</v>
      </c>
      <c r="N2062" s="9" t="s">
        <v>25</v>
      </c>
      <c r="O2062" s="10">
        <v>5000000.0</v>
      </c>
      <c r="P2062" s="10">
        <f t="shared" si="2"/>
        <v>22285953</v>
      </c>
      <c r="Q2062" s="12">
        <f t="shared" si="3"/>
        <v>0</v>
      </c>
      <c r="R2062" s="9">
        <v>2015.0</v>
      </c>
      <c r="S2062" s="9">
        <v>6.8</v>
      </c>
    </row>
    <row r="2063" ht="15.75" customHeight="1">
      <c r="A2063" s="17" t="s">
        <v>3992</v>
      </c>
      <c r="B2063" s="8" t="str">
        <f>IFERROR(__xludf.DUMMYFUNCTION("REGEXREPLACE(A2063, ""[^0-9a-zA-Z .'Ã]"","""")"),"Jeremy Saulnier")</f>
        <v>Jeremy Saulnier</v>
      </c>
      <c r="C2063" s="18">
        <v>322.0</v>
      </c>
      <c r="D2063" s="19">
        <v>3219029.0</v>
      </c>
      <c r="E2063" s="18" t="s">
        <v>6899</v>
      </c>
      <c r="F2063" s="9">
        <f t="shared" si="1"/>
        <v>4</v>
      </c>
      <c r="G2063" s="18" t="s">
        <v>6900</v>
      </c>
      <c r="H2063" s="11" t="str">
        <f>IFERROR(__xludf.DUMMYFUNCTION("REGEXREPLACE(G2063, ""[^0-9a-zA-Z .'Ã]"","""")"),"Alia Shawkat")</f>
        <v>Alia Shawkat</v>
      </c>
      <c r="I2063" s="20" t="s">
        <v>6901</v>
      </c>
      <c r="J2063" s="18">
        <v>28845.0</v>
      </c>
      <c r="K2063" s="18" t="s">
        <v>6902</v>
      </c>
      <c r="L2063" s="18">
        <v>125.0</v>
      </c>
      <c r="M2063" s="18" t="s">
        <v>24</v>
      </c>
      <c r="N2063" s="18" t="s">
        <v>25</v>
      </c>
      <c r="O2063" s="19">
        <v>5000000.0</v>
      </c>
      <c r="P2063" s="10">
        <f t="shared" si="2"/>
        <v>0</v>
      </c>
      <c r="Q2063" s="12">
        <f t="shared" si="3"/>
        <v>1780971</v>
      </c>
      <c r="R2063" s="18">
        <v>2015.0</v>
      </c>
      <c r="S2063" s="18">
        <v>7.1</v>
      </c>
    </row>
    <row r="2064" ht="15.75" customHeight="1">
      <c r="A2064" s="13" t="s">
        <v>6903</v>
      </c>
      <c r="B2064" s="8" t="str">
        <f>IFERROR(__xludf.DUMMYFUNCTION("REGEXREPLACE(A2064, ""[^0-9a-zA-Z .'Ã]"","""")"),"Thaddeus O'Sullivan")</f>
        <v>Thaddeus O'Sullivan</v>
      </c>
      <c r="C2064" s="14">
        <v>39.0</v>
      </c>
      <c r="D2064" s="15">
        <v>196067.0</v>
      </c>
      <c r="E2064" s="14" t="s">
        <v>232</v>
      </c>
      <c r="F2064" s="9">
        <f t="shared" si="1"/>
        <v>2</v>
      </c>
      <c r="G2064" s="14" t="s">
        <v>6904</v>
      </c>
      <c r="H2064" s="11" t="str">
        <f>IFERROR(__xludf.DUMMYFUNCTION("REGEXREPLACE(G2064, ""[^0-9a-zA-Z .'Ã]"","""")"),"Olivia Williams")</f>
        <v>Olivia Williams</v>
      </c>
      <c r="I2064" s="16" t="s">
        <v>6905</v>
      </c>
      <c r="J2064" s="14">
        <v>1966.0</v>
      </c>
      <c r="K2064" s="14" t="s">
        <v>6906</v>
      </c>
      <c r="L2064" s="14">
        <v>25.0</v>
      </c>
      <c r="M2064" s="14" t="s">
        <v>24</v>
      </c>
      <c r="N2064" s="14" t="s">
        <v>130</v>
      </c>
      <c r="O2064" s="15">
        <v>7000000.0</v>
      </c>
      <c r="P2064" s="10">
        <f t="shared" si="2"/>
        <v>0</v>
      </c>
      <c r="Q2064" s="12">
        <f t="shared" si="3"/>
        <v>6803933</v>
      </c>
      <c r="R2064" s="14">
        <v>2002.0</v>
      </c>
      <c r="S2064" s="14">
        <v>6.7</v>
      </c>
    </row>
    <row r="2065" ht="15.75" customHeight="1">
      <c r="A2065" s="7" t="s">
        <v>868</v>
      </c>
      <c r="B2065" s="8" t="str">
        <f>IFERROR(__xludf.DUMMYFUNCTION("REGEXREPLACE(A2065, ""[^0-9a-zA-Z .'Ã]"","""")"),"John Woo")</f>
        <v>John Woo</v>
      </c>
      <c r="C2065" s="9">
        <v>160.0</v>
      </c>
      <c r="D2065" s="10">
        <v>626809.0</v>
      </c>
      <c r="E2065" s="9" t="s">
        <v>1479</v>
      </c>
      <c r="F2065" s="9">
        <f t="shared" si="1"/>
        <v>5</v>
      </c>
      <c r="G2065" s="9" t="s">
        <v>5574</v>
      </c>
      <c r="H2065" s="11" t="str">
        <f>IFERROR(__xludf.DUMMYFUNCTION("REGEXREPLACE(G2065, ""[^0-9a-zA-Z .'Ã]"","""")"),"Takeshi Kaneshiro")</f>
        <v>Takeshi Kaneshiro</v>
      </c>
      <c r="I2065" s="11" t="s">
        <v>6907</v>
      </c>
      <c r="J2065" s="9">
        <v>36894.0</v>
      </c>
      <c r="K2065" s="9" t="s">
        <v>6908</v>
      </c>
      <c r="L2065" s="9">
        <v>105.0</v>
      </c>
      <c r="M2065" s="9" t="s">
        <v>3260</v>
      </c>
      <c r="N2065" s="9" t="s">
        <v>217</v>
      </c>
      <c r="O2065" s="10">
        <v>5.53632E8</v>
      </c>
      <c r="P2065" s="10">
        <f t="shared" si="2"/>
        <v>0</v>
      </c>
      <c r="Q2065" s="12">
        <f t="shared" si="3"/>
        <v>553005191</v>
      </c>
      <c r="R2065" s="9">
        <v>2008.0</v>
      </c>
      <c r="S2065" s="9">
        <v>7.4</v>
      </c>
    </row>
    <row r="2066" ht="15.75" customHeight="1">
      <c r="A2066" s="7" t="s">
        <v>6909</v>
      </c>
      <c r="B2066" s="8" t="str">
        <f>IFERROR(__xludf.DUMMYFUNCTION("REGEXREPLACE(A2066, ""[^0-9a-zA-Z .'Ã]"","""")"),"Robby Henson")</f>
        <v>Robby Henson</v>
      </c>
      <c r="C2066" s="9">
        <v>25.0</v>
      </c>
      <c r="D2066" s="10">
        <v>978908.0</v>
      </c>
      <c r="E2066" s="9" t="s">
        <v>2384</v>
      </c>
      <c r="F2066" s="9">
        <f t="shared" si="1"/>
        <v>4</v>
      </c>
      <c r="G2066" s="9" t="s">
        <v>6910</v>
      </c>
      <c r="H2066" s="11" t="str">
        <f>IFERROR(__xludf.DUMMYFUNCTION("REGEXREPLACE(G2066, ""[^0-9a-zA-Z .'Ã]"","""")"),"Marc Blucas")</f>
        <v>Marc Blucas</v>
      </c>
      <c r="I2066" s="11" t="s">
        <v>6911</v>
      </c>
      <c r="J2066" s="9">
        <v>4057.0</v>
      </c>
      <c r="K2066" s="9" t="s">
        <v>6912</v>
      </c>
      <c r="L2066" s="9">
        <v>90.0</v>
      </c>
      <c r="M2066" s="9" t="s">
        <v>24</v>
      </c>
      <c r="N2066" s="9" t="s">
        <v>6913</v>
      </c>
      <c r="O2066" s="10">
        <v>2400000.0</v>
      </c>
      <c r="P2066" s="10">
        <f t="shared" si="2"/>
        <v>0</v>
      </c>
      <c r="Q2066" s="12">
        <f t="shared" si="3"/>
        <v>1421092</v>
      </c>
      <c r="R2066" s="9">
        <v>2006.0</v>
      </c>
      <c r="S2066" s="9">
        <v>5.1</v>
      </c>
    </row>
    <row r="2067" ht="15.75" customHeight="1">
      <c r="A2067" s="13" t="s">
        <v>707</v>
      </c>
      <c r="B2067" s="8" t="str">
        <f>IFERROR(__xludf.DUMMYFUNCTION("REGEXREPLACE(A2067, ""[^0-9a-zA-Z .'Ã]"","""")"),"Tom Hooper")</f>
        <v>Tom Hooper</v>
      </c>
      <c r="C2067" s="14">
        <v>145.0</v>
      </c>
      <c r="D2067" s="15">
        <v>449558.0</v>
      </c>
      <c r="E2067" s="14" t="s">
        <v>1124</v>
      </c>
      <c r="F2067" s="9">
        <f t="shared" si="1"/>
        <v>3</v>
      </c>
      <c r="G2067" s="14" t="s">
        <v>3701</v>
      </c>
      <c r="H2067" s="11" t="str">
        <f>IFERROR(__xludf.DUMMYFUNCTION("REGEXREPLACE(G2067, ""[^0-9a-zA-Z .'Ã]"","""")"),"Stephen Graham")</f>
        <v>Stephen Graham</v>
      </c>
      <c r="I2067" s="16" t="s">
        <v>6914</v>
      </c>
      <c r="J2067" s="14">
        <v>32307.0</v>
      </c>
      <c r="K2067" s="14" t="s">
        <v>6915</v>
      </c>
      <c r="L2067" s="14">
        <v>75.0</v>
      </c>
      <c r="M2067" s="14" t="s">
        <v>24</v>
      </c>
      <c r="N2067" s="14" t="s">
        <v>130</v>
      </c>
      <c r="O2067" s="15">
        <v>1.0E7</v>
      </c>
      <c r="P2067" s="10">
        <f t="shared" si="2"/>
        <v>0</v>
      </c>
      <c r="Q2067" s="12">
        <f t="shared" si="3"/>
        <v>9550442</v>
      </c>
      <c r="R2067" s="14">
        <v>2009.0</v>
      </c>
      <c r="S2067" s="14">
        <v>7.6</v>
      </c>
    </row>
    <row r="2068" ht="15.75" customHeight="1">
      <c r="A2068" s="7" t="s">
        <v>2859</v>
      </c>
      <c r="B2068" s="8" t="str">
        <f>IFERROR(__xludf.DUMMYFUNCTION("REGEXREPLACE(A2068, ""[^0-9a-zA-Z .'Ã]"","""")"),"Louis Leterrier")</f>
        <v>Louis Leterrier</v>
      </c>
      <c r="C2068" s="9">
        <v>177.0</v>
      </c>
      <c r="D2068" s="10">
        <v>2.4520892E7</v>
      </c>
      <c r="E2068" s="9" t="s">
        <v>501</v>
      </c>
      <c r="F2068" s="9">
        <f t="shared" si="1"/>
        <v>4</v>
      </c>
      <c r="G2068" s="9" t="s">
        <v>170</v>
      </c>
      <c r="H2068" s="11" t="str">
        <f>IFERROR(__xludf.DUMMYFUNCTION("REGEXREPLACE(G2068, ""[^0-9a-zA-Z .'Ã]"","""")"),"Morgan Freeman")</f>
        <v>Morgan Freeman</v>
      </c>
      <c r="I2068" s="11" t="s">
        <v>6916</v>
      </c>
      <c r="J2068" s="9">
        <v>85198.0</v>
      </c>
      <c r="K2068" s="9" t="s">
        <v>6917</v>
      </c>
      <c r="L2068" s="9">
        <v>303.0</v>
      </c>
      <c r="M2068" s="9" t="s">
        <v>24</v>
      </c>
      <c r="N2068" s="9" t="s">
        <v>608</v>
      </c>
      <c r="O2068" s="10">
        <v>4.5E7</v>
      </c>
      <c r="P2068" s="10">
        <f t="shared" si="2"/>
        <v>0</v>
      </c>
      <c r="Q2068" s="12">
        <f t="shared" si="3"/>
        <v>20479108</v>
      </c>
      <c r="R2068" s="9">
        <v>2005.0</v>
      </c>
      <c r="S2068" s="9">
        <v>7.0</v>
      </c>
    </row>
    <row r="2069" ht="15.75" customHeight="1">
      <c r="A2069" s="13" t="s">
        <v>998</v>
      </c>
      <c r="B2069" s="8" t="str">
        <f>IFERROR(__xludf.DUMMYFUNCTION("REGEXREPLACE(A2069, ""[^0-9a-zA-Z .'Ã]"","""")"),"Peter Jackson")</f>
        <v>Peter Jackson</v>
      </c>
      <c r="C2069" s="14">
        <v>509.0</v>
      </c>
      <c r="D2069" s="15">
        <v>2.58355354E8</v>
      </c>
      <c r="E2069" s="14" t="s">
        <v>3101</v>
      </c>
      <c r="F2069" s="9">
        <f t="shared" si="1"/>
        <v>2</v>
      </c>
      <c r="G2069" s="14" t="s">
        <v>6458</v>
      </c>
      <c r="H2069" s="11" t="str">
        <f>IFERROR(__xludf.DUMMYFUNCTION("REGEXREPLACE(G2069, ""[^0-9a-zA-Z .'Ã]"","""")"),"Aidan Turner")</f>
        <v>Aidan Turner</v>
      </c>
      <c r="I2069" s="16" t="s">
        <v>6918</v>
      </c>
      <c r="J2069" s="14">
        <v>483540.0</v>
      </c>
      <c r="K2069" s="14" t="s">
        <v>6919</v>
      </c>
      <c r="L2069" s="14">
        <v>951.0</v>
      </c>
      <c r="M2069" s="14" t="s">
        <v>24</v>
      </c>
      <c r="N2069" s="14" t="s">
        <v>25</v>
      </c>
      <c r="O2069" s="15">
        <v>2.25E8</v>
      </c>
      <c r="P2069" s="10">
        <f t="shared" si="2"/>
        <v>33355354</v>
      </c>
      <c r="Q2069" s="12">
        <f t="shared" si="3"/>
        <v>0</v>
      </c>
      <c r="R2069" s="14">
        <v>2013.0</v>
      </c>
      <c r="S2069" s="14">
        <v>7.9</v>
      </c>
    </row>
    <row r="2070" ht="15.75" customHeight="1">
      <c r="A2070" s="21" t="s">
        <v>896</v>
      </c>
      <c r="B2070" s="8" t="str">
        <f>IFERROR(__xludf.DUMMYFUNCTION("REGEXREPLACE(A2070, ""[^0-9a-zA-Z .'Ã]"","""")"),"Kevin Smith")</f>
        <v>Kevin Smith</v>
      </c>
      <c r="C2070" s="22">
        <v>93.0</v>
      </c>
      <c r="D2070" s="23">
        <v>2122561.0</v>
      </c>
      <c r="E2070" s="22" t="s">
        <v>89</v>
      </c>
      <c r="F2070" s="9">
        <f t="shared" si="1"/>
        <v>2</v>
      </c>
      <c r="G2070" s="22" t="s">
        <v>2782</v>
      </c>
      <c r="H2070" s="11" t="str">
        <f>IFERROR(__xludf.DUMMYFUNCTION("REGEXREPLACE(G2070, ""[^0-9a-zA-Z .'Ã]"","""")"),"Ethan Suplee")</f>
        <v>Ethan Suplee</v>
      </c>
      <c r="I2070" s="24" t="s">
        <v>6920</v>
      </c>
      <c r="J2070" s="22">
        <v>99033.0</v>
      </c>
      <c r="K2070" s="22" t="s">
        <v>6921</v>
      </c>
      <c r="L2070" s="22">
        <v>434.0</v>
      </c>
      <c r="M2070" s="22" t="s">
        <v>24</v>
      </c>
      <c r="N2070" s="22" t="s">
        <v>25</v>
      </c>
      <c r="O2070" s="23">
        <v>6000000.0</v>
      </c>
      <c r="P2070" s="10">
        <f t="shared" si="2"/>
        <v>0</v>
      </c>
      <c r="Q2070" s="12">
        <f t="shared" si="3"/>
        <v>3877439</v>
      </c>
      <c r="R2070" s="22">
        <v>1995.0</v>
      </c>
      <c r="S2070" s="22">
        <v>7.2</v>
      </c>
    </row>
    <row r="2071" ht="15.75" customHeight="1">
      <c r="A2071" s="7" t="s">
        <v>6922</v>
      </c>
      <c r="B2071" s="8" t="str">
        <f>IFERROR(__xludf.DUMMYFUNCTION("REGEXREPLACE(A2071, ""[^0-9a-zA-Z .'Ã]"","""")"),"Barry Skolnick")</f>
        <v>Barry Skolnick</v>
      </c>
      <c r="C2071" s="9">
        <v>54.0</v>
      </c>
      <c r="D2071" s="10">
        <v>92191.0</v>
      </c>
      <c r="E2071" s="9" t="s">
        <v>6923</v>
      </c>
      <c r="F2071" s="9">
        <f t="shared" si="1"/>
        <v>3</v>
      </c>
      <c r="G2071" s="9" t="s">
        <v>815</v>
      </c>
      <c r="H2071" s="11" t="str">
        <f>IFERROR(__xludf.DUMMYFUNCTION("REGEXREPLACE(G2071, ""[^0-9a-zA-Z .'Ã]"","""")"),"Jason Statham")</f>
        <v>Jason Statham</v>
      </c>
      <c r="I2071" s="11" t="s">
        <v>6924</v>
      </c>
      <c r="J2071" s="9">
        <v>29463.0</v>
      </c>
      <c r="K2071" s="9" t="s">
        <v>6925</v>
      </c>
      <c r="L2071" s="9">
        <v>84.0</v>
      </c>
      <c r="M2071" s="9" t="s">
        <v>24</v>
      </c>
      <c r="N2071" s="9" t="s">
        <v>130</v>
      </c>
      <c r="O2071" s="10">
        <v>2500000.0</v>
      </c>
      <c r="P2071" s="10">
        <f t="shared" si="2"/>
        <v>0</v>
      </c>
      <c r="Q2071" s="12">
        <f t="shared" si="3"/>
        <v>2407809</v>
      </c>
      <c r="R2071" s="9">
        <v>2001.0</v>
      </c>
      <c r="S2071" s="9">
        <v>6.5</v>
      </c>
    </row>
    <row r="2072" ht="15.75" customHeight="1">
      <c r="A2072" s="7" t="s">
        <v>4300</v>
      </c>
      <c r="B2072" s="8" t="str">
        <f>IFERROR(__xludf.DUMMYFUNCTION("REGEXREPLACE(A2072, ""[^0-9a-zA-Z .'Ã]"","""")"),"Robert Iscove")</f>
        <v>Robert Iscove</v>
      </c>
      <c r="C2072" s="9">
        <v>60.0</v>
      </c>
      <c r="D2072" s="10">
        <v>4922166.0</v>
      </c>
      <c r="E2072" s="9" t="s">
        <v>1936</v>
      </c>
      <c r="F2072" s="9">
        <f t="shared" si="1"/>
        <v>3</v>
      </c>
      <c r="G2072" s="9" t="s">
        <v>6926</v>
      </c>
      <c r="H2072" s="11" t="str">
        <f>IFERROR(__xludf.DUMMYFUNCTION("REGEXREPLACE(G2072, ""[^0-9a-zA-Z .'Ã]"","""")"),"Anika Noni Rose")</f>
        <v>Anika Noni Rose</v>
      </c>
      <c r="I2072" s="11" t="s">
        <v>6927</v>
      </c>
      <c r="J2072" s="9">
        <v>23606.0</v>
      </c>
      <c r="K2072" s="9" t="s">
        <v>6928</v>
      </c>
      <c r="L2072" s="9">
        <v>304.0</v>
      </c>
      <c r="M2072" s="9" t="s">
        <v>24</v>
      </c>
      <c r="N2072" s="9" t="s">
        <v>25</v>
      </c>
      <c r="O2072" s="10">
        <v>1.2E7</v>
      </c>
      <c r="P2072" s="10">
        <f t="shared" si="2"/>
        <v>0</v>
      </c>
      <c r="Q2072" s="12">
        <f t="shared" si="3"/>
        <v>7077834</v>
      </c>
      <c r="R2072" s="9">
        <v>2003.0</v>
      </c>
      <c r="S2072" s="9">
        <v>2.1</v>
      </c>
    </row>
    <row r="2073" ht="15.75" customHeight="1">
      <c r="A2073" s="7" t="s">
        <v>6929</v>
      </c>
      <c r="B2073" s="8" t="str">
        <f>IFERROR(__xludf.DUMMYFUNCTION("REGEXREPLACE(A2073, ""[^0-9a-zA-Z .'Ã]"","""")"),"James Toback")</f>
        <v>James Toback</v>
      </c>
      <c r="C2073" s="9">
        <v>54.0</v>
      </c>
      <c r="D2073" s="10">
        <v>1950218.0</v>
      </c>
      <c r="E2073" s="9" t="s">
        <v>454</v>
      </c>
      <c r="F2073" s="9">
        <f t="shared" si="1"/>
        <v>2</v>
      </c>
      <c r="G2073" s="9" t="s">
        <v>327</v>
      </c>
      <c r="H2073" s="11" t="str">
        <f>IFERROR(__xludf.DUMMYFUNCTION("REGEXREPLACE(G2073, ""[^0-9a-zA-Z .'Ã]"","""")"),"Robert Downey Jr.")</f>
        <v>Robert Downey Jr.</v>
      </c>
      <c r="I2073" s="11" t="s">
        <v>6930</v>
      </c>
      <c r="J2073" s="9">
        <v>5933.0</v>
      </c>
      <c r="K2073" s="9" t="s">
        <v>6931</v>
      </c>
      <c r="L2073" s="9">
        <v>102.0</v>
      </c>
      <c r="M2073" s="9" t="s">
        <v>24</v>
      </c>
      <c r="N2073" s="9" t="s">
        <v>25</v>
      </c>
      <c r="O2073" s="10">
        <v>1000000.0</v>
      </c>
      <c r="P2073" s="10">
        <f t="shared" si="2"/>
        <v>950218</v>
      </c>
      <c r="Q2073" s="12">
        <f t="shared" si="3"/>
        <v>0</v>
      </c>
      <c r="R2073" s="9">
        <v>1997.0</v>
      </c>
      <c r="S2073" s="9">
        <v>5.6</v>
      </c>
    </row>
    <row r="2074" ht="15.75" customHeight="1">
      <c r="A2074" s="21" t="s">
        <v>635</v>
      </c>
      <c r="B2074" s="8" t="str">
        <f>IFERROR(__xludf.DUMMYFUNCTION("REGEXREPLACE(A2074, ""[^0-9a-zA-Z .'Ã]"","""")"),"Steven Spielberg")</f>
        <v>Steven Spielberg</v>
      </c>
      <c r="C2074" s="22">
        <v>298.0</v>
      </c>
      <c r="D2074" s="23">
        <v>4.737909E7</v>
      </c>
      <c r="E2074" s="22" t="s">
        <v>960</v>
      </c>
      <c r="F2074" s="9">
        <f t="shared" si="1"/>
        <v>3</v>
      </c>
      <c r="G2074" s="22" t="s">
        <v>6932</v>
      </c>
      <c r="H2074" s="11" t="str">
        <f>IFERROR(__xludf.DUMMYFUNCTION("REGEXREPLACE(G2074, ""[^0-9a-zA-Z .'Ã]"","""")"),"Ayelet Zurer")</f>
        <v>Ayelet Zurer</v>
      </c>
      <c r="I2074" s="24" t="s">
        <v>6933</v>
      </c>
      <c r="J2074" s="22">
        <v>176936.0</v>
      </c>
      <c r="K2074" s="22" t="s">
        <v>6934</v>
      </c>
      <c r="L2074" s="22">
        <v>824.0</v>
      </c>
      <c r="M2074" s="22" t="s">
        <v>24</v>
      </c>
      <c r="N2074" s="22" t="s">
        <v>608</v>
      </c>
      <c r="O2074" s="23">
        <v>7.0E7</v>
      </c>
      <c r="P2074" s="10">
        <f t="shared" si="2"/>
        <v>0</v>
      </c>
      <c r="Q2074" s="12">
        <f t="shared" si="3"/>
        <v>22620910</v>
      </c>
      <c r="R2074" s="22">
        <v>2005.0</v>
      </c>
      <c r="S2074" s="22">
        <v>7.6</v>
      </c>
    </row>
    <row r="2075" ht="15.75" customHeight="1">
      <c r="A2075" s="25" t="s">
        <v>6935</v>
      </c>
      <c r="B2075" s="8" t="str">
        <f>IFERROR(__xludf.DUMMYFUNCTION("REGEXREPLACE(A2075, ""[^0-9a-zA-Z .'Ã]"","""")"),"Udayan Prasad")</f>
        <v>Udayan Prasad</v>
      </c>
      <c r="C2075" s="26">
        <v>60.0</v>
      </c>
      <c r="D2075" s="27">
        <v>317040.0</v>
      </c>
      <c r="E2075" s="26" t="s">
        <v>232</v>
      </c>
      <c r="F2075" s="9">
        <f t="shared" si="1"/>
        <v>2</v>
      </c>
      <c r="G2075" s="26" t="s">
        <v>1969</v>
      </c>
      <c r="H2075" s="11" t="str">
        <f>IFERROR(__xludf.DUMMYFUNCTION("REGEXREPLACE(G2075, ""[^0-9a-zA-Z .'Ã]"","""")"),"Kristen Stewart")</f>
        <v>Kristen Stewart</v>
      </c>
      <c r="I2075" s="28" t="s">
        <v>6936</v>
      </c>
      <c r="J2075" s="26">
        <v>6723.0</v>
      </c>
      <c r="K2075" s="26" t="s">
        <v>6937</v>
      </c>
      <c r="L2075" s="26">
        <v>36.0</v>
      </c>
      <c r="M2075" s="26" t="s">
        <v>24</v>
      </c>
      <c r="N2075" s="26" t="s">
        <v>25</v>
      </c>
      <c r="O2075" s="27">
        <v>1.55E7</v>
      </c>
      <c r="P2075" s="10">
        <f t="shared" si="2"/>
        <v>0</v>
      </c>
      <c r="Q2075" s="12">
        <f t="shared" si="3"/>
        <v>15182960</v>
      </c>
      <c r="R2075" s="26">
        <v>2008.0</v>
      </c>
      <c r="S2075" s="26">
        <v>6.8</v>
      </c>
    </row>
    <row r="2076" ht="15.75" customHeight="1">
      <c r="A2076" s="7" t="s">
        <v>426</v>
      </c>
      <c r="B2076" s="8" t="str">
        <f>IFERROR(__xludf.DUMMYFUNCTION("REGEXREPLACE(A2076, ""[^0-9a-zA-Z .'Ã]"","""")"),"Martin Campbell")</f>
        <v>Martin Campbell</v>
      </c>
      <c r="C2076" s="9">
        <v>436.0</v>
      </c>
      <c r="D2076" s="10">
        <v>1.16593191E8</v>
      </c>
      <c r="E2076" s="9" t="s">
        <v>185</v>
      </c>
      <c r="F2076" s="9">
        <f t="shared" si="1"/>
        <v>3</v>
      </c>
      <c r="G2076" s="9" t="s">
        <v>2451</v>
      </c>
      <c r="H2076" s="11" t="str">
        <f>IFERROR(__xludf.DUMMYFUNCTION("REGEXREPLACE(G2076, ""[^0-9a-zA-Z .'Ã]"","""")"),"Ryan Reynolds")</f>
        <v>Ryan Reynolds</v>
      </c>
      <c r="I2076" s="11" t="s">
        <v>6938</v>
      </c>
      <c r="J2076" s="9">
        <v>223393.0</v>
      </c>
      <c r="K2076" s="9" t="s">
        <v>6939</v>
      </c>
      <c r="L2076" s="9">
        <v>550.0</v>
      </c>
      <c r="M2076" s="9" t="s">
        <v>24</v>
      </c>
      <c r="N2076" s="9" t="s">
        <v>25</v>
      </c>
      <c r="O2076" s="10">
        <v>2.0E8</v>
      </c>
      <c r="P2076" s="10">
        <f t="shared" si="2"/>
        <v>0</v>
      </c>
      <c r="Q2076" s="12">
        <f t="shared" si="3"/>
        <v>83406809</v>
      </c>
      <c r="R2076" s="9">
        <v>2011.0</v>
      </c>
      <c r="S2076" s="9">
        <v>5.6</v>
      </c>
    </row>
    <row r="2077" ht="15.75" customHeight="1">
      <c r="A2077" s="7" t="s">
        <v>402</v>
      </c>
      <c r="B2077" s="8" t="str">
        <f>IFERROR(__xludf.DUMMYFUNCTION("REGEXREPLACE(A2077, ""[^0-9a-zA-Z .'Ã]"","""")"),"John Dahl")</f>
        <v>John Dahl</v>
      </c>
      <c r="C2077" s="9">
        <v>128.0</v>
      </c>
      <c r="D2077" s="10">
        <v>2.2905674E7</v>
      </c>
      <c r="E2077" s="9" t="s">
        <v>54</v>
      </c>
      <c r="F2077" s="9">
        <f t="shared" si="1"/>
        <v>2</v>
      </c>
      <c r="G2077" s="9" t="s">
        <v>585</v>
      </c>
      <c r="H2077" s="11" t="str">
        <f>IFERROR(__xludf.DUMMYFUNCTION("REGEXREPLACE(G2077, ""[^0-9a-zA-Z .'Ã]"","""")"),"Matt Damon")</f>
        <v>Matt Damon</v>
      </c>
      <c r="I2077" s="11" t="s">
        <v>6940</v>
      </c>
      <c r="J2077" s="9">
        <v>121676.0</v>
      </c>
      <c r="K2077" s="9" t="s">
        <v>6941</v>
      </c>
      <c r="L2077" s="9">
        <v>290.0</v>
      </c>
      <c r="M2077" s="9" t="s">
        <v>24</v>
      </c>
      <c r="N2077" s="9" t="s">
        <v>25</v>
      </c>
      <c r="O2077" s="10">
        <v>1.2E7</v>
      </c>
      <c r="P2077" s="10">
        <f t="shared" si="2"/>
        <v>10905674</v>
      </c>
      <c r="Q2077" s="12">
        <f t="shared" si="3"/>
        <v>0</v>
      </c>
      <c r="R2077" s="9">
        <v>1998.0</v>
      </c>
      <c r="S2077" s="9">
        <v>7.4</v>
      </c>
    </row>
    <row r="2078" ht="15.75" customHeight="1">
      <c r="A2078" s="25" t="s">
        <v>1425</v>
      </c>
      <c r="B2078" s="8" t="str">
        <f>IFERROR(__xludf.DUMMYFUNCTION("REGEXREPLACE(A2078, ""[^0-9a-zA-Z .'Ã]"","""")"),"David Fincher")</f>
        <v>David Fincher</v>
      </c>
      <c r="C2078" s="26">
        <v>377.0</v>
      </c>
      <c r="D2078" s="27">
        <v>3.3048353E7</v>
      </c>
      <c r="E2078" s="26" t="s">
        <v>6942</v>
      </c>
      <c r="F2078" s="9">
        <f t="shared" si="1"/>
        <v>5</v>
      </c>
      <c r="G2078" s="26" t="s">
        <v>327</v>
      </c>
      <c r="H2078" s="11" t="str">
        <f>IFERROR(__xludf.DUMMYFUNCTION("REGEXREPLACE(G2078, ""[^0-9a-zA-Z .'Ã]"","""")"),"Robert Downey Jr.")</f>
        <v>Robert Downey Jr.</v>
      </c>
      <c r="I2078" s="28" t="s">
        <v>6943</v>
      </c>
      <c r="J2078" s="26">
        <v>301279.0</v>
      </c>
      <c r="K2078" s="26" t="s">
        <v>6944</v>
      </c>
      <c r="L2078" s="26">
        <v>589.0</v>
      </c>
      <c r="M2078" s="26" t="s">
        <v>24</v>
      </c>
      <c r="N2078" s="26" t="s">
        <v>25</v>
      </c>
      <c r="O2078" s="27">
        <v>6.5E7</v>
      </c>
      <c r="P2078" s="10">
        <f t="shared" si="2"/>
        <v>0</v>
      </c>
      <c r="Q2078" s="12">
        <f t="shared" si="3"/>
        <v>31951647</v>
      </c>
      <c r="R2078" s="26">
        <v>2007.0</v>
      </c>
      <c r="S2078" s="26">
        <v>7.7</v>
      </c>
    </row>
    <row r="2079" ht="15.75" customHeight="1">
      <c r="A2079" s="7" t="s">
        <v>4685</v>
      </c>
      <c r="B2079" s="8" t="str">
        <f>IFERROR(__xludf.DUMMYFUNCTION("REGEXREPLACE(A2079, ""[^0-9a-zA-Z .'Ã]"","""")"),"Mira Nair")</f>
        <v>Mira Nair</v>
      </c>
      <c r="C2079" s="9">
        <v>15.0</v>
      </c>
      <c r="D2079" s="10">
        <v>2832826.0</v>
      </c>
      <c r="E2079" s="9" t="s">
        <v>159</v>
      </c>
      <c r="F2079" s="9">
        <f t="shared" si="1"/>
        <v>3</v>
      </c>
      <c r="G2079" s="9" t="s">
        <v>1601</v>
      </c>
      <c r="H2079" s="11" t="str">
        <f>IFERROR(__xludf.DUMMYFUNCTION("REGEXREPLACE(G2079, ""[^0-9a-zA-Z .'Ã]"","""")"),"Anjelica Huston")</f>
        <v>Anjelica Huston</v>
      </c>
      <c r="I2079" s="11" t="s">
        <v>6945</v>
      </c>
      <c r="J2079" s="9">
        <v>1761.0</v>
      </c>
      <c r="K2079" s="9" t="s">
        <v>6946</v>
      </c>
      <c r="L2079" s="9">
        <v>19.0</v>
      </c>
      <c r="M2079" s="9" t="s">
        <v>24</v>
      </c>
      <c r="N2079" s="9" t="s">
        <v>25</v>
      </c>
      <c r="O2079" s="10">
        <v>1.1E7</v>
      </c>
      <c r="P2079" s="10">
        <f t="shared" si="2"/>
        <v>0</v>
      </c>
      <c r="Q2079" s="12">
        <f t="shared" si="3"/>
        <v>8167174</v>
      </c>
      <c r="R2079" s="9">
        <v>1995.0</v>
      </c>
      <c r="S2079" s="9">
        <v>6.2</v>
      </c>
    </row>
    <row r="2080" ht="15.75" customHeight="1">
      <c r="A2080" s="13" t="s">
        <v>877</v>
      </c>
      <c r="B2080" s="8" t="str">
        <f>IFERROR(__xludf.DUMMYFUNCTION("REGEXREPLACE(A2080, ""[^0-9a-zA-Z .'Ã]"","""")"),"David Ayer")</f>
        <v>David Ayer</v>
      </c>
      <c r="C2080" s="14">
        <v>406.0</v>
      </c>
      <c r="D2080" s="15">
        <v>8.5707116E7</v>
      </c>
      <c r="E2080" s="14" t="s">
        <v>403</v>
      </c>
      <c r="F2080" s="9">
        <f t="shared" si="1"/>
        <v>3</v>
      </c>
      <c r="G2080" s="14" t="s">
        <v>1426</v>
      </c>
      <c r="H2080" s="11" t="str">
        <f>IFERROR(__xludf.DUMMYFUNCTION("REGEXREPLACE(G2080, ""[^0-9a-zA-Z .'Ã]"","""")"),"Brad Pitt")</f>
        <v>Brad Pitt</v>
      </c>
      <c r="I2080" s="16" t="s">
        <v>6947</v>
      </c>
      <c r="J2080" s="14">
        <v>303185.0</v>
      </c>
      <c r="K2080" s="14" t="s">
        <v>6948</v>
      </c>
      <c r="L2080" s="14">
        <v>701.0</v>
      </c>
      <c r="M2080" s="14" t="s">
        <v>24</v>
      </c>
      <c r="N2080" s="14" t="s">
        <v>25</v>
      </c>
      <c r="O2080" s="15">
        <v>6.8E7</v>
      </c>
      <c r="P2080" s="10">
        <f t="shared" si="2"/>
        <v>17707116</v>
      </c>
      <c r="Q2080" s="12">
        <f t="shared" si="3"/>
        <v>0</v>
      </c>
      <c r="R2080" s="14">
        <v>2014.0</v>
      </c>
      <c r="S2080" s="14">
        <v>7.6</v>
      </c>
    </row>
    <row r="2081" ht="15.75" customHeight="1">
      <c r="A2081" s="17" t="s">
        <v>6949</v>
      </c>
      <c r="B2081" s="8" t="str">
        <f>IFERROR(__xludf.DUMMYFUNCTION("REGEXREPLACE(A2081, ""[^0-9a-zA-Z .'Ã]"","""")"),"Chris Roberts")</f>
        <v>Chris Roberts</v>
      </c>
      <c r="C2081" s="18">
        <v>85.0</v>
      </c>
      <c r="D2081" s="19">
        <v>1.1576087E7</v>
      </c>
      <c r="E2081" s="18" t="s">
        <v>185</v>
      </c>
      <c r="F2081" s="9">
        <f t="shared" si="1"/>
        <v>3</v>
      </c>
      <c r="G2081" s="18" t="s">
        <v>6950</v>
      </c>
      <c r="H2081" s="11" t="str">
        <f>IFERROR(__xludf.DUMMYFUNCTION("REGEXREPLACE(G2081, ""[^0-9a-zA-Z .'Ã]"","""")"),"Saffron Burrows")</f>
        <v>Saffron Burrows</v>
      </c>
      <c r="I2081" s="20" t="s">
        <v>6951</v>
      </c>
      <c r="J2081" s="18">
        <v>14747.0</v>
      </c>
      <c r="K2081" s="18" t="s">
        <v>6952</v>
      </c>
      <c r="L2081" s="18">
        <v>338.0</v>
      </c>
      <c r="M2081" s="18" t="s">
        <v>24</v>
      </c>
      <c r="N2081" s="18" t="s">
        <v>25</v>
      </c>
      <c r="O2081" s="19">
        <v>3.0E7</v>
      </c>
      <c r="P2081" s="10">
        <f t="shared" si="2"/>
        <v>0</v>
      </c>
      <c r="Q2081" s="12">
        <f t="shared" si="3"/>
        <v>18423913</v>
      </c>
      <c r="R2081" s="18">
        <v>1999.0</v>
      </c>
      <c r="S2081" s="18">
        <v>4.1</v>
      </c>
    </row>
    <row r="2082" ht="15.75" customHeight="1">
      <c r="A2082" s="25" t="s">
        <v>4462</v>
      </c>
      <c r="B2082" s="8" t="str">
        <f>IFERROR(__xludf.DUMMYFUNCTION("REGEXREPLACE(A2082, ""[^0-9a-zA-Z .'Ã]"","""")"),"Alexandre Aja")</f>
        <v>Alexandre Aja</v>
      </c>
      <c r="C2082" s="26">
        <v>208.0</v>
      </c>
      <c r="D2082" s="27">
        <v>3.0691439E7</v>
      </c>
      <c r="E2082" s="26" t="s">
        <v>565</v>
      </c>
      <c r="F2082" s="9">
        <f t="shared" si="1"/>
        <v>2</v>
      </c>
      <c r="G2082" s="26" t="s">
        <v>6440</v>
      </c>
      <c r="H2082" s="11" t="str">
        <f>IFERROR(__xludf.DUMMYFUNCTION("REGEXREPLACE(G2082, ""[^0-9a-zA-Z .'Ã]"","""")"),"Jason Flemyng")</f>
        <v>Jason Flemyng</v>
      </c>
      <c r="I2082" s="28" t="s">
        <v>6953</v>
      </c>
      <c r="J2082" s="26">
        <v>86205.0</v>
      </c>
      <c r="K2082" s="26" t="s">
        <v>6954</v>
      </c>
      <c r="L2082" s="26">
        <v>232.0</v>
      </c>
      <c r="M2082" s="26" t="s">
        <v>24</v>
      </c>
      <c r="N2082" s="26" t="s">
        <v>25</v>
      </c>
      <c r="O2082" s="27">
        <v>3.5E7</v>
      </c>
      <c r="P2082" s="10">
        <f t="shared" si="2"/>
        <v>0</v>
      </c>
      <c r="Q2082" s="12">
        <f t="shared" si="3"/>
        <v>4308561</v>
      </c>
      <c r="R2082" s="26">
        <v>2008.0</v>
      </c>
      <c r="S2082" s="26">
        <v>6.2</v>
      </c>
    </row>
    <row r="2083" ht="15.75" customHeight="1">
      <c r="A2083" s="7" t="s">
        <v>381</v>
      </c>
      <c r="B2083" s="8" t="str">
        <f>IFERROR(__xludf.DUMMYFUNCTION("REGEXREPLACE(A2083, ""[^0-9a-zA-Z .'Ã]"","""")"),"Brian De Palma")</f>
        <v>Brian De Palma</v>
      </c>
      <c r="C2083" s="9">
        <v>149.0</v>
      </c>
      <c r="D2083" s="10">
        <v>6592103.0</v>
      </c>
      <c r="E2083" s="9" t="s">
        <v>435</v>
      </c>
      <c r="F2083" s="9">
        <f t="shared" si="1"/>
        <v>4</v>
      </c>
      <c r="G2083" s="9" t="s">
        <v>684</v>
      </c>
      <c r="H2083" s="11" t="str">
        <f>IFERROR(__xludf.DUMMYFUNCTION("REGEXREPLACE(G2083, ""[^0-9a-zA-Z .'Ã]"","""")"),"Peter Coyote")</f>
        <v>Peter Coyote</v>
      </c>
      <c r="I2083" s="11" t="s">
        <v>6955</v>
      </c>
      <c r="J2083" s="9">
        <v>28584.0</v>
      </c>
      <c r="K2083" s="9" t="s">
        <v>6956</v>
      </c>
      <c r="L2083" s="9">
        <v>232.0</v>
      </c>
      <c r="M2083" s="9" t="s">
        <v>24</v>
      </c>
      <c r="N2083" s="9" t="s">
        <v>608</v>
      </c>
      <c r="O2083" s="10">
        <v>3.5E7</v>
      </c>
      <c r="P2083" s="10">
        <f t="shared" si="2"/>
        <v>0</v>
      </c>
      <c r="Q2083" s="12">
        <f t="shared" si="3"/>
        <v>28407897</v>
      </c>
      <c r="R2083" s="9">
        <v>2002.0</v>
      </c>
      <c r="S2083" s="9">
        <v>6.3</v>
      </c>
    </row>
    <row r="2084" ht="15.75" customHeight="1">
      <c r="A2084" s="7" t="s">
        <v>3175</v>
      </c>
      <c r="B2084" s="8" t="str">
        <f>IFERROR(__xludf.DUMMYFUNCTION("REGEXREPLACE(A2084, ""[^0-9a-zA-Z .'Ã]"","""")"),"Curtis Hanson")</f>
        <v>Curtis Hanson</v>
      </c>
      <c r="C2084" s="9">
        <v>177.0</v>
      </c>
      <c r="D2084" s="10">
        <v>6.4604977E7</v>
      </c>
      <c r="E2084" s="9" t="s">
        <v>435</v>
      </c>
      <c r="F2084" s="9">
        <f t="shared" si="1"/>
        <v>4</v>
      </c>
      <c r="G2084" s="9" t="s">
        <v>483</v>
      </c>
      <c r="H2084" s="11" t="str">
        <f>IFERROR(__xludf.DUMMYFUNCTION("REGEXREPLACE(G2084, ""[^0-9a-zA-Z .'Ã]"","""")"),"Kevin Spacey")</f>
        <v>Kevin Spacey</v>
      </c>
      <c r="I2084" s="11" t="s">
        <v>6957</v>
      </c>
      <c r="J2084" s="9">
        <v>414219.0</v>
      </c>
      <c r="K2084" s="9" t="s">
        <v>6958</v>
      </c>
      <c r="L2084" s="9">
        <v>625.0</v>
      </c>
      <c r="M2084" s="9" t="s">
        <v>24</v>
      </c>
      <c r="N2084" s="9" t="s">
        <v>25</v>
      </c>
      <c r="O2084" s="10">
        <v>3.5E7</v>
      </c>
      <c r="P2084" s="10">
        <f t="shared" si="2"/>
        <v>29604977</v>
      </c>
      <c r="Q2084" s="12">
        <f t="shared" si="3"/>
        <v>0</v>
      </c>
      <c r="R2084" s="9">
        <v>1997.0</v>
      </c>
      <c r="S2084" s="9">
        <v>8.3</v>
      </c>
    </row>
    <row r="2085" ht="15.75" customHeight="1">
      <c r="A2085" s="29" t="s">
        <v>3287</v>
      </c>
      <c r="B2085" s="8" t="str">
        <f>IFERROR(__xludf.DUMMYFUNCTION("REGEXREPLACE(A2085, ""[^0-9a-zA-Z .'Ã]"","""")"),"Rob Letterman")</f>
        <v>Rob Letterman</v>
      </c>
      <c r="C2085" s="30">
        <v>184.0</v>
      </c>
      <c r="D2085" s="31">
        <v>4.2776259E7</v>
      </c>
      <c r="E2085" s="30" t="s">
        <v>1874</v>
      </c>
      <c r="F2085" s="9">
        <f t="shared" si="1"/>
        <v>4</v>
      </c>
      <c r="G2085" s="30" t="s">
        <v>204</v>
      </c>
      <c r="H2085" s="11" t="str">
        <f>IFERROR(__xludf.DUMMYFUNCTION("REGEXREPLACE(G2085, ""[^0-9a-zA-Z .'Ã]"","""")"),"James Corden")</f>
        <v>James Corden</v>
      </c>
      <c r="I2085" s="32" t="s">
        <v>6959</v>
      </c>
      <c r="J2085" s="30">
        <v>53160.0</v>
      </c>
      <c r="K2085" s="30" t="s">
        <v>6960</v>
      </c>
      <c r="L2085" s="30">
        <v>121.0</v>
      </c>
      <c r="M2085" s="30" t="s">
        <v>24</v>
      </c>
      <c r="N2085" s="30" t="s">
        <v>25</v>
      </c>
      <c r="O2085" s="31">
        <v>1.12E8</v>
      </c>
      <c r="P2085" s="10">
        <f t="shared" si="2"/>
        <v>0</v>
      </c>
      <c r="Q2085" s="12">
        <f t="shared" si="3"/>
        <v>69223741</v>
      </c>
      <c r="R2085" s="30">
        <v>2010.0</v>
      </c>
      <c r="S2085" s="30">
        <v>4.9</v>
      </c>
    </row>
    <row r="2086" ht="15.75" customHeight="1">
      <c r="A2086" s="17" t="s">
        <v>6961</v>
      </c>
      <c r="B2086" s="8" t="str">
        <f>IFERROR(__xludf.DUMMYFUNCTION("REGEXREPLACE(A2086, ""[^0-9a-zA-Z .'Ã]"","""")"),"Nima Nourizadeh")</f>
        <v>Nima Nourizadeh</v>
      </c>
      <c r="C2086" s="18">
        <v>229.0</v>
      </c>
      <c r="D2086" s="19">
        <v>5.4724272E7</v>
      </c>
      <c r="E2086" s="18" t="s">
        <v>440</v>
      </c>
      <c r="F2086" s="9">
        <f t="shared" si="1"/>
        <v>2</v>
      </c>
      <c r="G2086" s="18" t="s">
        <v>6962</v>
      </c>
      <c r="H2086" s="11" t="str">
        <f>IFERROR(__xludf.DUMMYFUNCTION("REGEXREPLACE(G2086, ""[^0-9a-zA-Z .'Ã]"","""")"),"Dax Flame")</f>
        <v>Dax Flame</v>
      </c>
      <c r="I2086" s="20" t="s">
        <v>6963</v>
      </c>
      <c r="J2086" s="18">
        <v>157051.0</v>
      </c>
      <c r="K2086" s="18" t="s">
        <v>6964</v>
      </c>
      <c r="L2086" s="18">
        <v>261.0</v>
      </c>
      <c r="M2086" s="18" t="s">
        <v>24</v>
      </c>
      <c r="N2086" s="18" t="s">
        <v>25</v>
      </c>
      <c r="O2086" s="19">
        <v>1.2E7</v>
      </c>
      <c r="P2086" s="10">
        <f t="shared" si="2"/>
        <v>42724272</v>
      </c>
      <c r="Q2086" s="12">
        <f t="shared" si="3"/>
        <v>0</v>
      </c>
      <c r="R2086" s="18">
        <v>2012.0</v>
      </c>
      <c r="S2086" s="18">
        <v>6.7</v>
      </c>
    </row>
    <row r="2087" ht="15.75" customHeight="1">
      <c r="A2087" s="17" t="s">
        <v>1168</v>
      </c>
      <c r="B2087" s="8" t="str">
        <f>IFERROR(__xludf.DUMMYFUNCTION("REGEXREPLACE(A2087, ""[^0-9a-zA-Z .'Ã]"","""")"),"Peter Hewitt")</f>
        <v>Peter Hewitt</v>
      </c>
      <c r="C2087" s="18">
        <v>42.0</v>
      </c>
      <c r="D2087" s="19">
        <v>2.2359293E7</v>
      </c>
      <c r="E2087" s="18" t="s">
        <v>1874</v>
      </c>
      <c r="F2087" s="9">
        <f t="shared" si="1"/>
        <v>4</v>
      </c>
      <c r="G2087" s="18" t="s">
        <v>1846</v>
      </c>
      <c r="H2087" s="11" t="str">
        <f>IFERROR(__xludf.DUMMYFUNCTION("REGEXREPLACE(G2087, ""[^0-9a-zA-Z .'Ã]"","""")"),"Jim Broadbent")</f>
        <v>Jim Broadbent</v>
      </c>
      <c r="I2087" s="20" t="s">
        <v>6965</v>
      </c>
      <c r="J2087" s="18">
        <v>16222.0</v>
      </c>
      <c r="K2087" s="18" t="s">
        <v>6966</v>
      </c>
      <c r="L2087" s="18">
        <v>39.0</v>
      </c>
      <c r="M2087" s="18" t="s">
        <v>24</v>
      </c>
      <c r="N2087" s="18" t="s">
        <v>130</v>
      </c>
      <c r="O2087" s="19">
        <v>2.9E7</v>
      </c>
      <c r="P2087" s="10">
        <f t="shared" si="2"/>
        <v>0</v>
      </c>
      <c r="Q2087" s="12">
        <f t="shared" si="3"/>
        <v>6640707</v>
      </c>
      <c r="R2087" s="18">
        <v>1997.0</v>
      </c>
      <c r="S2087" s="18">
        <v>5.8</v>
      </c>
    </row>
    <row r="2088" ht="15.75" customHeight="1">
      <c r="A2088" s="13" t="s">
        <v>473</v>
      </c>
      <c r="B2088" s="8" t="str">
        <f>IFERROR(__xludf.DUMMYFUNCTION("REGEXREPLACE(A2088, ""[^0-9a-zA-Z .'Ã]"","""")"),"John McTiernan")</f>
        <v>John McTiernan</v>
      </c>
      <c r="C2088" s="14">
        <v>148.0</v>
      </c>
      <c r="D2088" s="15">
        <v>1.000125E8</v>
      </c>
      <c r="E2088" s="14" t="s">
        <v>474</v>
      </c>
      <c r="F2088" s="9">
        <f t="shared" si="1"/>
        <v>3</v>
      </c>
      <c r="G2088" s="14" t="s">
        <v>55</v>
      </c>
      <c r="H2088" s="11" t="str">
        <f>IFERROR(__xludf.DUMMYFUNCTION("REGEXREPLACE(G2088, ""[^0-9a-zA-Z .'Ã]"","""")"),"Bruce Willis")</f>
        <v>Bruce Willis</v>
      </c>
      <c r="I2088" s="16" t="s">
        <v>6967</v>
      </c>
      <c r="J2088" s="14">
        <v>299258.0</v>
      </c>
      <c r="K2088" s="14" t="s">
        <v>6968</v>
      </c>
      <c r="L2088" s="14">
        <v>346.0</v>
      </c>
      <c r="M2088" s="14" t="s">
        <v>24</v>
      </c>
      <c r="N2088" s="14" t="s">
        <v>25</v>
      </c>
      <c r="O2088" s="15">
        <v>9.0E7</v>
      </c>
      <c r="P2088" s="10">
        <f t="shared" si="2"/>
        <v>10012500</v>
      </c>
      <c r="Q2088" s="12">
        <f t="shared" si="3"/>
        <v>0</v>
      </c>
      <c r="R2088" s="14">
        <v>1995.0</v>
      </c>
      <c r="S2088" s="14">
        <v>7.6</v>
      </c>
    </row>
    <row r="2089" ht="15.75" customHeight="1">
      <c r="A2089" s="17" t="s">
        <v>6969</v>
      </c>
      <c r="B2089" s="8" t="str">
        <f>IFERROR(__xludf.DUMMYFUNCTION("REGEXREPLACE(A2089, ""[^0-9a-zA-Z .'Ã]"","""")"),"William A. Graham")</f>
        <v>William A. Graham</v>
      </c>
      <c r="C2089" s="18">
        <v>14.0</v>
      </c>
      <c r="D2089" s="19">
        <v>2807854.0</v>
      </c>
      <c r="E2089" s="18" t="s">
        <v>1989</v>
      </c>
      <c r="F2089" s="9">
        <f t="shared" si="1"/>
        <v>3</v>
      </c>
      <c r="G2089" s="18" t="s">
        <v>65</v>
      </c>
      <c r="H2089" s="11" t="str">
        <f>IFERROR(__xludf.DUMMYFUNCTION("REGEXREPLACE(G2089, ""[^0-9a-zA-Z .'Ã]"","""")"),"Milla Jovovich")</f>
        <v>Milla Jovovich</v>
      </c>
      <c r="I2089" s="20" t="s">
        <v>6970</v>
      </c>
      <c r="J2089" s="18">
        <v>14129.0</v>
      </c>
      <c r="K2089" s="18" t="s">
        <v>6971</v>
      </c>
      <c r="L2089" s="18">
        <v>39.0</v>
      </c>
      <c r="M2089" s="18" t="s">
        <v>24</v>
      </c>
      <c r="N2089" s="18" t="s">
        <v>25</v>
      </c>
      <c r="O2089" s="19">
        <v>1.1E7</v>
      </c>
      <c r="P2089" s="10">
        <f t="shared" si="2"/>
        <v>0</v>
      </c>
      <c r="Q2089" s="12">
        <f t="shared" si="3"/>
        <v>8192146</v>
      </c>
      <c r="R2089" s="18">
        <v>1991.0</v>
      </c>
      <c r="S2089" s="18">
        <v>5.1</v>
      </c>
    </row>
    <row r="2090" ht="15.75" customHeight="1">
      <c r="A2090" s="29" t="s">
        <v>5148</v>
      </c>
      <c r="B2090" s="8" t="str">
        <f>IFERROR(__xludf.DUMMYFUNCTION("REGEXREPLACE(A2090, ""[^0-9a-zA-Z .'Ã]"","""")"),"Guillaume Canet")</f>
        <v>Guillaume Canet</v>
      </c>
      <c r="C2090" s="30">
        <v>118.0</v>
      </c>
      <c r="D2090" s="31">
        <v>183662.0</v>
      </c>
      <c r="E2090" s="30" t="s">
        <v>454</v>
      </c>
      <c r="F2090" s="9">
        <f t="shared" si="1"/>
        <v>2</v>
      </c>
      <c r="G2090" s="30" t="s">
        <v>6972</v>
      </c>
      <c r="H2090" s="11" t="str">
        <f>IFERROR(__xludf.DUMMYFUNCTION("REGEXREPLACE(G2090, ""[^0-9a-zA-Z .'Ã]"","""")"),"FranÃois Cluzet")</f>
        <v>FranÃois Cluzet</v>
      </c>
      <c r="I2090" s="32" t="s">
        <v>6973</v>
      </c>
      <c r="J2090" s="30">
        <v>18395.0</v>
      </c>
      <c r="K2090" s="30" t="s">
        <v>6974</v>
      </c>
      <c r="L2090" s="30">
        <v>48.0</v>
      </c>
      <c r="M2090" s="30" t="s">
        <v>658</v>
      </c>
      <c r="N2090" s="30" t="s">
        <v>608</v>
      </c>
      <c r="O2090" s="31">
        <v>2.5E7</v>
      </c>
      <c r="P2090" s="10">
        <f t="shared" si="2"/>
        <v>0</v>
      </c>
      <c r="Q2090" s="12">
        <f t="shared" si="3"/>
        <v>24816338</v>
      </c>
      <c r="R2090" s="30">
        <v>2010.0</v>
      </c>
      <c r="S2090" s="30">
        <v>7.1</v>
      </c>
    </row>
    <row r="2091" ht="15.75" customHeight="1">
      <c r="A2091" s="25" t="s">
        <v>1588</v>
      </c>
      <c r="B2091" s="8" t="str">
        <f>IFERROR(__xludf.DUMMYFUNCTION("REGEXREPLACE(A2091, ""[^0-9a-zA-Z .'Ã]"","""")"),"Frank Oz")</f>
        <v>Frank Oz</v>
      </c>
      <c r="C2091" s="26">
        <v>168.0</v>
      </c>
      <c r="D2091" s="27">
        <v>8579684.0</v>
      </c>
      <c r="E2091" s="26" t="s">
        <v>137</v>
      </c>
      <c r="F2091" s="9">
        <f t="shared" si="1"/>
        <v>1</v>
      </c>
      <c r="G2091" s="26" t="s">
        <v>349</v>
      </c>
      <c r="H2091" s="11" t="str">
        <f>IFERROR(__xludf.DUMMYFUNCTION("REGEXREPLACE(G2091, ""[^0-9a-zA-Z .'Ã]"","""")"),"Peter Dinklage")</f>
        <v>Peter Dinklage</v>
      </c>
      <c r="I2091" s="28" t="s">
        <v>6975</v>
      </c>
      <c r="J2091" s="26">
        <v>89547.0</v>
      </c>
      <c r="K2091" s="26" t="s">
        <v>6976</v>
      </c>
      <c r="L2091" s="26">
        <v>199.0</v>
      </c>
      <c r="M2091" s="26" t="s">
        <v>24</v>
      </c>
      <c r="N2091" s="26" t="s">
        <v>25</v>
      </c>
      <c r="O2091" s="27">
        <v>9000000.0</v>
      </c>
      <c r="P2091" s="10">
        <f t="shared" si="2"/>
        <v>0</v>
      </c>
      <c r="Q2091" s="12">
        <f t="shared" si="3"/>
        <v>420316</v>
      </c>
      <c r="R2091" s="26">
        <v>2007.0</v>
      </c>
      <c r="S2091" s="26">
        <v>7.4</v>
      </c>
    </row>
    <row r="2092" ht="15.75" customHeight="1">
      <c r="A2092" s="21" t="s">
        <v>430</v>
      </c>
      <c r="B2092" s="8" t="str">
        <f>IFERROR(__xludf.DUMMYFUNCTION("REGEXREPLACE(A2092, ""[^0-9a-zA-Z .'Ã]"","""")"),"David Cronenberg")</f>
        <v>David Cronenberg</v>
      </c>
      <c r="C2092" s="22">
        <v>196.0</v>
      </c>
      <c r="D2092" s="23">
        <v>2840417.0</v>
      </c>
      <c r="E2092" s="22" t="s">
        <v>1017</v>
      </c>
      <c r="F2092" s="9">
        <f t="shared" si="1"/>
        <v>3</v>
      </c>
      <c r="G2092" s="22" t="s">
        <v>4998</v>
      </c>
      <c r="H2092" s="11" t="str">
        <f>IFERROR(__xludf.DUMMYFUNCTION("REGEXREPLACE(G2092, ""[^0-9a-zA-Z .'Ã]"","""")"),"Jennifer Jason Leigh")</f>
        <v>Jennifer Jason Leigh</v>
      </c>
      <c r="I2092" s="24" t="s">
        <v>6977</v>
      </c>
      <c r="J2092" s="22">
        <v>77493.0</v>
      </c>
      <c r="K2092" s="22" t="s">
        <v>6978</v>
      </c>
      <c r="L2092" s="22">
        <v>527.0</v>
      </c>
      <c r="M2092" s="22" t="s">
        <v>24</v>
      </c>
      <c r="N2092" s="22" t="s">
        <v>624</v>
      </c>
      <c r="O2092" s="23">
        <v>3.1E7</v>
      </c>
      <c r="P2092" s="10">
        <f t="shared" si="2"/>
        <v>0</v>
      </c>
      <c r="Q2092" s="12">
        <f t="shared" si="3"/>
        <v>28159583</v>
      </c>
      <c r="R2092" s="22">
        <v>1999.0</v>
      </c>
      <c r="S2092" s="22">
        <v>6.8</v>
      </c>
    </row>
    <row r="2093" ht="15.75" customHeight="1">
      <c r="A2093" s="7" t="s">
        <v>2859</v>
      </c>
      <c r="B2093" s="8" t="str">
        <f>IFERROR(__xludf.DUMMYFUNCTION("REGEXREPLACE(A2093, ""[^0-9a-zA-Z .'Ã]"","""")"),"Louis Leterrier")</f>
        <v>Louis Leterrier</v>
      </c>
      <c r="C2093" s="9">
        <v>354.0</v>
      </c>
      <c r="D2093" s="10">
        <v>1.3451839E8</v>
      </c>
      <c r="E2093" s="9" t="s">
        <v>185</v>
      </c>
      <c r="F2093" s="9">
        <f t="shared" si="1"/>
        <v>3</v>
      </c>
      <c r="G2093" s="9" t="s">
        <v>1709</v>
      </c>
      <c r="H2093" s="11" t="str">
        <f>IFERROR(__xludf.DUMMYFUNCTION("REGEXREPLACE(G2093, ""[^0-9a-zA-Z .'Ã]"","""")"),"Ty Burrell")</f>
        <v>Ty Burrell</v>
      </c>
      <c r="I2093" s="11" t="s">
        <v>6979</v>
      </c>
      <c r="J2093" s="9">
        <v>326286.0</v>
      </c>
      <c r="K2093" s="9" t="s">
        <v>6980</v>
      </c>
      <c r="L2093" s="9">
        <v>643.0</v>
      </c>
      <c r="M2093" s="9" t="s">
        <v>24</v>
      </c>
      <c r="N2093" s="9" t="s">
        <v>25</v>
      </c>
      <c r="O2093" s="10">
        <v>1.5E8</v>
      </c>
      <c r="P2093" s="10">
        <f t="shared" si="2"/>
        <v>0</v>
      </c>
      <c r="Q2093" s="12">
        <f t="shared" si="3"/>
        <v>15481610</v>
      </c>
      <c r="R2093" s="9">
        <v>2008.0</v>
      </c>
      <c r="S2093" s="9">
        <v>6.8</v>
      </c>
    </row>
    <row r="2094" ht="15.75" customHeight="1">
      <c r="A2094" s="7" t="s">
        <v>5077</v>
      </c>
      <c r="B2094" s="8" t="str">
        <f>IFERROR(__xludf.DUMMYFUNCTION("REGEXREPLACE(A2094, ""[^0-9a-zA-Z .'Ã]"","""")"),"James Wan")</f>
        <v>James Wan</v>
      </c>
      <c r="C2094" s="9">
        <v>424.0</v>
      </c>
      <c r="D2094" s="10">
        <v>3.5003411E8</v>
      </c>
      <c r="E2094" s="9" t="s">
        <v>152</v>
      </c>
      <c r="F2094" s="9">
        <f t="shared" si="1"/>
        <v>3</v>
      </c>
      <c r="G2094" s="9" t="s">
        <v>815</v>
      </c>
      <c r="H2094" s="11" t="str">
        <f>IFERROR(__xludf.DUMMYFUNCTION("REGEXREPLACE(G2094, ""[^0-9a-zA-Z .'Ã]"","""")"),"Jason Statham")</f>
        <v>Jason Statham</v>
      </c>
      <c r="I2094" s="11" t="s">
        <v>6981</v>
      </c>
      <c r="J2094" s="9">
        <v>278232.0</v>
      </c>
      <c r="K2094" s="9" t="s">
        <v>6982</v>
      </c>
      <c r="L2094" s="9">
        <v>657.0</v>
      </c>
      <c r="M2094" s="9" t="s">
        <v>24</v>
      </c>
      <c r="N2094" s="9" t="s">
        <v>25</v>
      </c>
      <c r="O2094" s="10">
        <v>1.9E8</v>
      </c>
      <c r="P2094" s="10">
        <f t="shared" si="2"/>
        <v>160034110</v>
      </c>
      <c r="Q2094" s="12">
        <f t="shared" si="3"/>
        <v>0</v>
      </c>
      <c r="R2094" s="9">
        <v>2015.0</v>
      </c>
      <c r="S2094" s="9">
        <v>7.2</v>
      </c>
    </row>
    <row r="2095" ht="15.75" customHeight="1">
      <c r="A2095" s="13" t="s">
        <v>6983</v>
      </c>
      <c r="B2095" s="8" t="str">
        <f>IFERROR(__xludf.DUMMYFUNCTION("REGEXREPLACE(A2095, ""[^0-9a-zA-Z .'Ã]"","""")"),"Rupert Sanders")</f>
        <v>Rupert Sanders</v>
      </c>
      <c r="C2095" s="14">
        <v>416.0</v>
      </c>
      <c r="D2095" s="15">
        <v>1.55111815E8</v>
      </c>
      <c r="E2095" s="14" t="s">
        <v>1029</v>
      </c>
      <c r="F2095" s="9">
        <f t="shared" si="1"/>
        <v>4</v>
      </c>
      <c r="G2095" s="14" t="s">
        <v>1439</v>
      </c>
      <c r="H2095" s="11" t="str">
        <f>IFERROR(__xludf.DUMMYFUNCTION("REGEXREPLACE(G2095, ""[^0-9a-zA-Z .'Ã]"","""")"),"Chris Hemsworth")</f>
        <v>Chris Hemsworth</v>
      </c>
      <c r="I2095" s="16" t="s">
        <v>6984</v>
      </c>
      <c r="J2095" s="14">
        <v>228554.0</v>
      </c>
      <c r="K2095" s="14" t="s">
        <v>6985</v>
      </c>
      <c r="L2095" s="14">
        <v>710.0</v>
      </c>
      <c r="M2095" s="14" t="s">
        <v>24</v>
      </c>
      <c r="N2095" s="14" t="s">
        <v>25</v>
      </c>
      <c r="O2095" s="15">
        <v>1.7E8</v>
      </c>
      <c r="P2095" s="10">
        <f t="shared" si="2"/>
        <v>0</v>
      </c>
      <c r="Q2095" s="12">
        <f t="shared" si="3"/>
        <v>14888185</v>
      </c>
      <c r="R2095" s="14">
        <v>2012.0</v>
      </c>
      <c r="S2095" s="14">
        <v>6.1</v>
      </c>
    </row>
    <row r="2096" ht="15.75" customHeight="1">
      <c r="A2096" s="7" t="s">
        <v>847</v>
      </c>
      <c r="B2096" s="8" t="str">
        <f>IFERROR(__xludf.DUMMYFUNCTION("REGEXREPLACE(A2096, ""[^0-9a-zA-Z .'Ã]"","""")"),"Lana Wachowski")</f>
        <v>Lana Wachowski</v>
      </c>
      <c r="C2096" s="9">
        <v>313.0</v>
      </c>
      <c r="D2096" s="10">
        <v>1.71383253E8</v>
      </c>
      <c r="E2096" s="9" t="s">
        <v>848</v>
      </c>
      <c r="F2096" s="9">
        <f t="shared" si="1"/>
        <v>2</v>
      </c>
      <c r="G2096" s="9" t="s">
        <v>1170</v>
      </c>
      <c r="H2096" s="11" t="str">
        <f>IFERROR(__xludf.DUMMYFUNCTION("REGEXREPLACE(G2096, ""[^0-9a-zA-Z .'Ã]"","""")"),"Keanu Reeves")</f>
        <v>Keanu Reeves</v>
      </c>
      <c r="I2096" s="11" t="s">
        <v>6986</v>
      </c>
      <c r="J2096" s="9">
        <v>1217752.0</v>
      </c>
      <c r="K2096" s="9" t="s">
        <v>6987</v>
      </c>
      <c r="L2096" s="9">
        <v>3646.0</v>
      </c>
      <c r="M2096" s="9" t="s">
        <v>24</v>
      </c>
      <c r="N2096" s="9" t="s">
        <v>25</v>
      </c>
      <c r="O2096" s="10">
        <v>6.3E7</v>
      </c>
      <c r="P2096" s="10">
        <f t="shared" si="2"/>
        <v>108383253</v>
      </c>
      <c r="Q2096" s="12">
        <f t="shared" si="3"/>
        <v>0</v>
      </c>
      <c r="R2096" s="9">
        <v>1999.0</v>
      </c>
      <c r="S2096" s="9">
        <v>8.7</v>
      </c>
    </row>
    <row r="2097" ht="15.75" customHeight="1">
      <c r="A2097" s="7" t="s">
        <v>6988</v>
      </c>
      <c r="B2097" s="8" t="str">
        <f>IFERROR(__xludf.DUMMYFUNCTION("REGEXREPLACE(A2097, ""[^0-9a-zA-Z .'Ã]"","""")"),"Ruairi Robinson")</f>
        <v>Ruairi Robinson</v>
      </c>
      <c r="C2097" s="9">
        <v>120.0</v>
      </c>
      <c r="D2097" s="10">
        <v>23838.0</v>
      </c>
      <c r="E2097" s="9" t="s">
        <v>1017</v>
      </c>
      <c r="F2097" s="9">
        <f t="shared" si="1"/>
        <v>3</v>
      </c>
      <c r="G2097" s="9" t="s">
        <v>1368</v>
      </c>
      <c r="H2097" s="11" t="str">
        <f>IFERROR(__xludf.DUMMYFUNCTION("REGEXREPLACE(G2097, ""[^0-9a-zA-Z .'Ã]"","""")"),"Romola Garai")</f>
        <v>Romola Garai</v>
      </c>
      <c r="I2097" s="11" t="s">
        <v>6989</v>
      </c>
      <c r="J2097" s="9">
        <v>28570.0</v>
      </c>
      <c r="K2097" s="9" t="s">
        <v>6990</v>
      </c>
      <c r="L2097" s="9">
        <v>160.0</v>
      </c>
      <c r="M2097" s="9" t="s">
        <v>24</v>
      </c>
      <c r="N2097" s="9" t="s">
        <v>130</v>
      </c>
      <c r="O2097" s="10">
        <v>7000000.0</v>
      </c>
      <c r="P2097" s="10">
        <f t="shared" si="2"/>
        <v>0</v>
      </c>
      <c r="Q2097" s="12">
        <f t="shared" si="3"/>
        <v>6976162</v>
      </c>
      <c r="R2097" s="9">
        <v>2013.0</v>
      </c>
      <c r="S2097" s="9">
        <v>5.5</v>
      </c>
    </row>
    <row r="2098" ht="15.75" customHeight="1">
      <c r="A2098" s="7" t="s">
        <v>805</v>
      </c>
      <c r="B2098" s="8" t="str">
        <f>IFERROR(__xludf.DUMMYFUNCTION("REGEXREPLACE(A2098, ""[^0-9a-zA-Z .'Ã]"","""")"),"Rod Lurie")</f>
        <v>Rod Lurie</v>
      </c>
      <c r="C2098" s="9">
        <v>104.0</v>
      </c>
      <c r="D2098" s="10">
        <v>3169424.0</v>
      </c>
      <c r="E2098" s="9" t="s">
        <v>132</v>
      </c>
      <c r="F2098" s="9">
        <f t="shared" si="1"/>
        <v>2</v>
      </c>
      <c r="G2098" s="9" t="s">
        <v>6171</v>
      </c>
      <c r="H2098" s="11" t="str">
        <f>IFERROR(__xludf.DUMMYFUNCTION("REGEXREPLACE(G2098, ""[^0-9a-zA-Z .'Ã]"","""")"),"Harry Lennix")</f>
        <v>Harry Lennix</v>
      </c>
      <c r="I2098" s="11" t="s">
        <v>6991</v>
      </c>
      <c r="J2098" s="9">
        <v>18442.0</v>
      </c>
      <c r="K2098" s="9" t="s">
        <v>6992</v>
      </c>
      <c r="L2098" s="9">
        <v>59.0</v>
      </c>
      <c r="M2098" s="9" t="s">
        <v>24</v>
      </c>
      <c r="N2098" s="9" t="s">
        <v>25</v>
      </c>
      <c r="O2098" s="10">
        <v>1.3E7</v>
      </c>
      <c r="P2098" s="10">
        <f t="shared" si="2"/>
        <v>0</v>
      </c>
      <c r="Q2098" s="12">
        <f t="shared" si="3"/>
        <v>9830576</v>
      </c>
      <c r="R2098" s="9">
        <v>2007.0</v>
      </c>
      <c r="S2098" s="9">
        <v>6.8</v>
      </c>
    </row>
    <row r="2099" ht="15.75" customHeight="1">
      <c r="A2099" s="17" t="s">
        <v>5077</v>
      </c>
      <c r="B2099" s="8" t="str">
        <f>IFERROR(__xludf.DUMMYFUNCTION("REGEXREPLACE(A2099, ""[^0-9a-zA-Z .'Ã]"","""")"),"James Wan")</f>
        <v>James Wan</v>
      </c>
      <c r="C2099" s="18">
        <v>445.0</v>
      </c>
      <c r="D2099" s="19">
        <v>5.3991137E7</v>
      </c>
      <c r="E2099" s="18" t="s">
        <v>819</v>
      </c>
      <c r="F2099" s="9">
        <f t="shared" si="1"/>
        <v>4</v>
      </c>
      <c r="G2099" s="18" t="s">
        <v>1713</v>
      </c>
      <c r="H2099" s="11" t="str">
        <f>IFERROR(__xludf.DUMMYFUNCTION("REGEXREPLACE(G2099, ""[^0-9a-zA-Z .'Ã]"","""")"),"Lin Shaye")</f>
        <v>Lin Shaye</v>
      </c>
      <c r="I2099" s="20" t="s">
        <v>6993</v>
      </c>
      <c r="J2099" s="18">
        <v>202800.0</v>
      </c>
      <c r="K2099" s="18" t="s">
        <v>6994</v>
      </c>
      <c r="L2099" s="18">
        <v>752.0</v>
      </c>
      <c r="M2099" s="18" t="s">
        <v>24</v>
      </c>
      <c r="N2099" s="18" t="s">
        <v>25</v>
      </c>
      <c r="O2099" s="19">
        <v>1500000.0</v>
      </c>
      <c r="P2099" s="10">
        <f t="shared" si="2"/>
        <v>52491137</v>
      </c>
      <c r="Q2099" s="12">
        <f t="shared" si="3"/>
        <v>0</v>
      </c>
      <c r="R2099" s="18">
        <v>2010.0</v>
      </c>
      <c r="S2099" s="18">
        <v>6.8</v>
      </c>
    </row>
    <row r="2100" ht="15.75" customHeight="1">
      <c r="A2100" s="7" t="s">
        <v>6995</v>
      </c>
      <c r="B2100" s="8" t="str">
        <f>IFERROR(__xludf.DUMMYFUNCTION("REGEXREPLACE(A2100, ""[^0-9a-zA-Z .'Ã]"","""")"),"Stuart Gordon")</f>
        <v>Stuart Gordon</v>
      </c>
      <c r="C2100" s="9">
        <v>58.0</v>
      </c>
      <c r="D2100" s="10">
        <v>6739141.0</v>
      </c>
      <c r="E2100" s="9" t="s">
        <v>771</v>
      </c>
      <c r="F2100" s="9">
        <f t="shared" si="1"/>
        <v>4</v>
      </c>
      <c r="G2100" s="9" t="s">
        <v>3473</v>
      </c>
      <c r="H2100" s="11" t="str">
        <f>IFERROR(__xludf.DUMMYFUNCTION("REGEXREPLACE(G2100, ""[^0-9a-zA-Z .'Ã]"","""")"),"Christopher Lambert")</f>
        <v>Christopher Lambert</v>
      </c>
      <c r="I2100" s="11" t="s">
        <v>6996</v>
      </c>
      <c r="J2100" s="9">
        <v>23383.0</v>
      </c>
      <c r="K2100" s="9" t="s">
        <v>6997</v>
      </c>
      <c r="L2100" s="9">
        <v>68.0</v>
      </c>
      <c r="M2100" s="9" t="s">
        <v>24</v>
      </c>
      <c r="N2100" s="9" t="s">
        <v>146</v>
      </c>
      <c r="O2100" s="10">
        <v>8000000.0</v>
      </c>
      <c r="P2100" s="10">
        <f t="shared" si="2"/>
        <v>0</v>
      </c>
      <c r="Q2100" s="12">
        <f t="shared" si="3"/>
        <v>1260859</v>
      </c>
      <c r="R2100" s="9">
        <v>1992.0</v>
      </c>
      <c r="S2100" s="9">
        <v>5.9</v>
      </c>
    </row>
    <row r="2101" ht="15.75" customHeight="1">
      <c r="A2101" s="29" t="s">
        <v>1796</v>
      </c>
      <c r="B2101" s="8" t="str">
        <f>IFERROR(__xludf.DUMMYFUNCTION("REGEXREPLACE(A2101, ""[^0-9a-zA-Z .'Ã]"","""")"),"Harold Ramis")</f>
        <v>Harold Ramis</v>
      </c>
      <c r="C2101" s="30">
        <v>55.0</v>
      </c>
      <c r="D2101" s="31">
        <v>6.14E7</v>
      </c>
      <c r="E2101" s="30" t="s">
        <v>693</v>
      </c>
      <c r="F2101" s="9">
        <f t="shared" si="1"/>
        <v>2</v>
      </c>
      <c r="G2101" s="30" t="s">
        <v>6998</v>
      </c>
      <c r="H2101" s="11" t="str">
        <f>IFERROR(__xludf.DUMMYFUNCTION("REGEXREPLACE(G2101, ""[^0-9a-zA-Z .'Ã]"","""")"),"Beverly D'Angelo")</f>
        <v>Beverly D'Angelo</v>
      </c>
      <c r="I2101" s="32" t="s">
        <v>6999</v>
      </c>
      <c r="J2101" s="30">
        <v>71183.0</v>
      </c>
      <c r="K2101" s="30" t="s">
        <v>7000</v>
      </c>
      <c r="L2101" s="30">
        <v>183.0</v>
      </c>
      <c r="M2101" s="30" t="s">
        <v>24</v>
      </c>
      <c r="N2101" s="30" t="s">
        <v>25</v>
      </c>
      <c r="O2101" s="31">
        <v>1.5E7</v>
      </c>
      <c r="P2101" s="10">
        <f t="shared" si="2"/>
        <v>46400000</v>
      </c>
      <c r="Q2101" s="12">
        <f t="shared" si="3"/>
        <v>0</v>
      </c>
      <c r="R2101" s="30">
        <v>1983.0</v>
      </c>
      <c r="S2101" s="30">
        <v>7.4</v>
      </c>
    </row>
    <row r="2102" ht="15.75" customHeight="1">
      <c r="A2102" s="21" t="s">
        <v>3988</v>
      </c>
      <c r="B2102" s="8" t="str">
        <f>IFERROR(__xludf.DUMMYFUNCTION("REGEXREPLACE(A2102, ""[^0-9a-zA-Z .'Ã]"","""")"),"Rob Reiner")</f>
        <v>Rob Reiner</v>
      </c>
      <c r="C2102" s="22">
        <v>73.0</v>
      </c>
      <c r="D2102" s="23">
        <v>1.4208384E7</v>
      </c>
      <c r="E2102" s="22" t="s">
        <v>89</v>
      </c>
      <c r="F2102" s="9">
        <f t="shared" si="1"/>
        <v>2</v>
      </c>
      <c r="G2102" s="22" t="s">
        <v>4217</v>
      </c>
      <c r="H2102" s="11" t="str">
        <f>IFERROR(__xludf.DUMMYFUNCTION("REGEXREPLACE(G2102, ""[^0-9a-zA-Z .'Ã]"","""")"),"David Paymer")</f>
        <v>David Paymer</v>
      </c>
      <c r="I2102" s="24" t="s">
        <v>7001</v>
      </c>
      <c r="J2102" s="22">
        <v>11520.0</v>
      </c>
      <c r="K2102" s="22" t="s">
        <v>7002</v>
      </c>
      <c r="L2102" s="22">
        <v>105.0</v>
      </c>
      <c r="M2102" s="22" t="s">
        <v>24</v>
      </c>
      <c r="N2102" s="22" t="s">
        <v>25</v>
      </c>
      <c r="O2102" s="23">
        <v>3.0E7</v>
      </c>
      <c r="P2102" s="10">
        <f t="shared" si="2"/>
        <v>0</v>
      </c>
      <c r="Q2102" s="12">
        <f t="shared" si="3"/>
        <v>15791616</v>
      </c>
      <c r="R2102" s="22">
        <v>2003.0</v>
      </c>
      <c r="S2102" s="22">
        <v>5.6</v>
      </c>
    </row>
    <row r="2103" ht="15.75" customHeight="1">
      <c r="A2103" s="17" t="s">
        <v>1858</v>
      </c>
      <c r="B2103" s="8" t="str">
        <f>IFERROR(__xludf.DUMMYFUNCTION("REGEXREPLACE(A2103, ""[^0-9a-zA-Z .'Ã]"","""")"),"Eric Brevig")</f>
        <v>Eric Brevig</v>
      </c>
      <c r="C2103" s="18">
        <v>201.0</v>
      </c>
      <c r="D2103" s="19">
        <v>1.0170206E8</v>
      </c>
      <c r="E2103" s="18" t="s">
        <v>7003</v>
      </c>
      <c r="F2103" s="9">
        <f t="shared" si="1"/>
        <v>5</v>
      </c>
      <c r="G2103" s="18" t="s">
        <v>811</v>
      </c>
      <c r="H2103" s="11" t="str">
        <f>IFERROR(__xludf.DUMMYFUNCTION("REGEXREPLACE(G2103, ""[^0-9a-zA-Z .'Ã]"","""")"),"Josh Hutcherson")</f>
        <v>Josh Hutcherson</v>
      </c>
      <c r="I2103" s="20" t="s">
        <v>7004</v>
      </c>
      <c r="J2103" s="18">
        <v>85323.0</v>
      </c>
      <c r="K2103" s="18" t="s">
        <v>7005</v>
      </c>
      <c r="L2103" s="18">
        <v>212.0</v>
      </c>
      <c r="M2103" s="18" t="s">
        <v>24</v>
      </c>
      <c r="N2103" s="18" t="s">
        <v>25</v>
      </c>
      <c r="O2103" s="19">
        <v>4.5E7</v>
      </c>
      <c r="P2103" s="10">
        <f t="shared" si="2"/>
        <v>56702060</v>
      </c>
      <c r="Q2103" s="12">
        <f t="shared" si="3"/>
        <v>0</v>
      </c>
      <c r="R2103" s="18">
        <v>2008.0</v>
      </c>
      <c r="S2103" s="18">
        <v>5.8</v>
      </c>
    </row>
    <row r="2104" ht="15.75" customHeight="1">
      <c r="A2104" s="7" t="s">
        <v>7006</v>
      </c>
      <c r="B2104" s="8" t="str">
        <f>IFERROR(__xludf.DUMMYFUNCTION("REGEXREPLACE(A2104, ""[^0-9a-zA-Z .'Ã]"","""")"),"J.S. Cardone")</f>
        <v>J.S. Cardone</v>
      </c>
      <c r="C2104" s="9">
        <v>56.0</v>
      </c>
      <c r="D2104" s="10">
        <v>6755271.0</v>
      </c>
      <c r="E2104" s="9" t="s">
        <v>306</v>
      </c>
      <c r="F2104" s="9">
        <f t="shared" si="1"/>
        <v>2</v>
      </c>
      <c r="G2104" s="9" t="s">
        <v>7007</v>
      </c>
      <c r="H2104" s="11" t="str">
        <f>IFERROR(__xludf.DUMMYFUNCTION("REGEXREPLACE(G2104, ""[^0-9a-zA-Z .'Ã]"","""")"),"Brendan Fehr")</f>
        <v>Brendan Fehr</v>
      </c>
      <c r="I2104" s="11" t="s">
        <v>7008</v>
      </c>
      <c r="J2104" s="9">
        <v>7319.0</v>
      </c>
      <c r="K2104" s="9" t="s">
        <v>7009</v>
      </c>
      <c r="L2104" s="9">
        <v>131.0</v>
      </c>
      <c r="M2104" s="9" t="s">
        <v>24</v>
      </c>
      <c r="N2104" s="9" t="s">
        <v>25</v>
      </c>
      <c r="O2104" s="10">
        <v>5000000.0</v>
      </c>
      <c r="P2104" s="10">
        <f t="shared" si="2"/>
        <v>1755271</v>
      </c>
      <c r="Q2104" s="12">
        <f t="shared" si="3"/>
        <v>0</v>
      </c>
      <c r="R2104" s="9">
        <v>2001.0</v>
      </c>
      <c r="S2104" s="9">
        <v>5.3</v>
      </c>
    </row>
    <row r="2105" ht="15.75" customHeight="1">
      <c r="A2105" s="21" t="s">
        <v>1021</v>
      </c>
      <c r="B2105" s="8" t="str">
        <f>IFERROR(__xludf.DUMMYFUNCTION("REGEXREPLACE(A2105, ""[^0-9a-zA-Z .'Ã]"","""")"),"David Yates")</f>
        <v>David Yates</v>
      </c>
      <c r="C2105" s="22">
        <v>248.0</v>
      </c>
      <c r="D2105" s="23">
        <v>1.24051759E8</v>
      </c>
      <c r="E2105" s="22" t="s">
        <v>999</v>
      </c>
      <c r="F2105" s="9">
        <f t="shared" si="1"/>
        <v>4</v>
      </c>
      <c r="G2105" s="22" t="s">
        <v>3800</v>
      </c>
      <c r="H2105" s="11" t="str">
        <f>IFERROR(__xludf.DUMMYFUNCTION("REGEXREPLACE(G2105, ""[^0-9a-zA-Z .'Ã]"","""")"),"Christoph Waltz")</f>
        <v>Christoph Waltz</v>
      </c>
      <c r="I2105" s="24" t="s">
        <v>7010</v>
      </c>
      <c r="J2105" s="22">
        <v>42372.0</v>
      </c>
      <c r="K2105" s="22" t="s">
        <v>7011</v>
      </c>
      <c r="L2105" s="22">
        <v>239.0</v>
      </c>
      <c r="M2105" s="22" t="s">
        <v>24</v>
      </c>
      <c r="N2105" s="22" t="s">
        <v>25</v>
      </c>
      <c r="O2105" s="23">
        <v>1.8E8</v>
      </c>
      <c r="P2105" s="10">
        <f t="shared" si="2"/>
        <v>0</v>
      </c>
      <c r="Q2105" s="12">
        <f t="shared" si="3"/>
        <v>55948241</v>
      </c>
      <c r="R2105" s="22">
        <v>2016.0</v>
      </c>
      <c r="S2105" s="22">
        <v>6.6</v>
      </c>
    </row>
    <row r="2106" ht="15.75" customHeight="1">
      <c r="A2106" s="21" t="s">
        <v>7012</v>
      </c>
      <c r="B2106" s="8" t="str">
        <f>IFERROR(__xludf.DUMMYFUNCTION("REGEXREPLACE(A2106, ""[^0-9a-zA-Z .'Ã]"","""")"),"Clare Kilner")</f>
        <v>Clare Kilner</v>
      </c>
      <c r="C2106" s="22">
        <v>103.0</v>
      </c>
      <c r="D2106" s="23">
        <v>3.15853E7</v>
      </c>
      <c r="E2106" s="22" t="s">
        <v>89</v>
      </c>
      <c r="F2106" s="9">
        <f t="shared" si="1"/>
        <v>2</v>
      </c>
      <c r="G2106" s="22" t="s">
        <v>7013</v>
      </c>
      <c r="H2106" s="11" t="str">
        <f>IFERROR(__xludf.DUMMYFUNCTION("REGEXREPLACE(G2106, ""[^0-9a-zA-Z .'Ã]"","""")"),"Jack Davenport")</f>
        <v>Jack Davenport</v>
      </c>
      <c r="I2106" s="24" t="s">
        <v>7014</v>
      </c>
      <c r="J2106" s="22">
        <v>38248.0</v>
      </c>
      <c r="K2106" s="22" t="s">
        <v>7015</v>
      </c>
      <c r="L2106" s="22">
        <v>250.0</v>
      </c>
      <c r="M2106" s="22" t="s">
        <v>24</v>
      </c>
      <c r="N2106" s="22" t="s">
        <v>25</v>
      </c>
      <c r="O2106" s="23">
        <v>1.5E7</v>
      </c>
      <c r="P2106" s="10">
        <f t="shared" si="2"/>
        <v>16585300</v>
      </c>
      <c r="Q2106" s="12">
        <f t="shared" si="3"/>
        <v>0</v>
      </c>
      <c r="R2106" s="22">
        <v>2005.0</v>
      </c>
      <c r="S2106" s="22">
        <v>6.1</v>
      </c>
    </row>
    <row r="2107" ht="15.75" customHeight="1">
      <c r="A2107" s="7" t="s">
        <v>7016</v>
      </c>
      <c r="B2107" s="8" t="str">
        <f>IFERROR(__xludf.DUMMYFUNCTION("REGEXREPLACE(A2107, ""[^0-9a-zA-Z .'Ã]"","""")"),"Scott Waugh")</f>
        <v>Scott Waugh</v>
      </c>
      <c r="C2107" s="9">
        <v>327.0</v>
      </c>
      <c r="D2107" s="10">
        <v>4.3568507E7</v>
      </c>
      <c r="E2107" s="9" t="s">
        <v>501</v>
      </c>
      <c r="F2107" s="9">
        <f t="shared" si="1"/>
        <v>4</v>
      </c>
      <c r="G2107" s="9" t="s">
        <v>7017</v>
      </c>
      <c r="H2107" s="11" t="str">
        <f>IFERROR(__xludf.DUMMYFUNCTION("REGEXREPLACE(G2107, ""[^0-9a-zA-Z .'Ã]"","""")"),"Rami Malek")</f>
        <v>Rami Malek</v>
      </c>
      <c r="I2107" s="11" t="s">
        <v>7018</v>
      </c>
      <c r="J2107" s="9">
        <v>136954.0</v>
      </c>
      <c r="K2107" s="9" t="s">
        <v>7019</v>
      </c>
      <c r="L2107" s="9">
        <v>346.0</v>
      </c>
      <c r="M2107" s="9" t="s">
        <v>24</v>
      </c>
      <c r="N2107" s="9" t="s">
        <v>25</v>
      </c>
      <c r="O2107" s="10">
        <v>6.6E7</v>
      </c>
      <c r="P2107" s="10">
        <f t="shared" si="2"/>
        <v>0</v>
      </c>
      <c r="Q2107" s="12">
        <f t="shared" si="3"/>
        <v>22431493</v>
      </c>
      <c r="R2107" s="9">
        <v>2014.0</v>
      </c>
      <c r="S2107" s="9">
        <v>6.5</v>
      </c>
    </row>
    <row r="2108" ht="15.75" customHeight="1">
      <c r="A2108" s="7" t="s">
        <v>2734</v>
      </c>
      <c r="B2108" s="8" t="str">
        <f>IFERROR(__xludf.DUMMYFUNCTION("REGEXREPLACE(A2108, ""[^0-9a-zA-Z .'Ã]"","""")"),"Alexander Payne")</f>
        <v>Alexander Payne</v>
      </c>
      <c r="C2108" s="9">
        <v>285.0</v>
      </c>
      <c r="D2108" s="10">
        <v>7.1502303E7</v>
      </c>
      <c r="E2108" s="9" t="s">
        <v>4752</v>
      </c>
      <c r="F2108" s="9">
        <f t="shared" si="1"/>
        <v>4</v>
      </c>
      <c r="G2108" s="9" t="s">
        <v>339</v>
      </c>
      <c r="H2108" s="11" t="str">
        <f>IFERROR(__xludf.DUMMYFUNCTION("REGEXREPLACE(G2108, ""[^0-9a-zA-Z .'Ã]"","""")"),"Virginia Madsen")</f>
        <v>Virginia Madsen</v>
      </c>
      <c r="I2108" s="11" t="s">
        <v>7020</v>
      </c>
      <c r="J2108" s="9">
        <v>149966.0</v>
      </c>
      <c r="K2108" s="9" t="s">
        <v>7021</v>
      </c>
      <c r="L2108" s="9">
        <v>835.0</v>
      </c>
      <c r="M2108" s="9" t="s">
        <v>24</v>
      </c>
      <c r="N2108" s="9" t="s">
        <v>25</v>
      </c>
      <c r="O2108" s="10">
        <v>1.2E7</v>
      </c>
      <c r="P2108" s="10">
        <f t="shared" si="2"/>
        <v>59502303</v>
      </c>
      <c r="Q2108" s="12">
        <f t="shared" si="3"/>
        <v>0</v>
      </c>
      <c r="R2108" s="9">
        <v>2004.0</v>
      </c>
      <c r="S2108" s="9">
        <v>7.5</v>
      </c>
    </row>
    <row r="2109" ht="15.75" customHeight="1">
      <c r="A2109" s="25" t="s">
        <v>2778</v>
      </c>
      <c r="B2109" s="8" t="str">
        <f>IFERROR(__xludf.DUMMYFUNCTION("REGEXREPLACE(A2109, ""[^0-9a-zA-Z -.'Ã]"","""")"),"Baltasar KormÃkur")</f>
        <v>Baltasar KormÃkur</v>
      </c>
      <c r="C2109" s="26">
        <v>361.0</v>
      </c>
      <c r="D2109" s="27">
        <v>4.324714E7</v>
      </c>
      <c r="E2109" s="26" t="s">
        <v>7022</v>
      </c>
      <c r="F2109" s="9">
        <f t="shared" si="1"/>
        <v>6</v>
      </c>
      <c r="G2109" s="26" t="s">
        <v>2184</v>
      </c>
      <c r="H2109" s="11" t="str">
        <f>IFERROR(__xludf.DUMMYFUNCTION("REGEXREPLACE(G2109, ""[^0-9a-zA-Z .'Ã]"","""")"),"Michael Kelly")</f>
        <v>Michael Kelly</v>
      </c>
      <c r="I2109" s="28" t="s">
        <v>7023</v>
      </c>
      <c r="J2109" s="26">
        <v>134625.0</v>
      </c>
      <c r="K2109" s="26" t="s">
        <v>7024</v>
      </c>
      <c r="L2109" s="26">
        <v>265.0</v>
      </c>
      <c r="M2109" s="26" t="s">
        <v>24</v>
      </c>
      <c r="N2109" s="26" t="s">
        <v>130</v>
      </c>
      <c r="O2109" s="27">
        <v>5.5E7</v>
      </c>
      <c r="P2109" s="10">
        <f t="shared" si="2"/>
        <v>0</v>
      </c>
      <c r="Q2109" s="12">
        <f t="shared" si="3"/>
        <v>11752860</v>
      </c>
      <c r="R2109" s="26">
        <v>2015.0</v>
      </c>
      <c r="S2109" s="26">
        <v>7.1</v>
      </c>
    </row>
    <row r="2110" ht="15.75" customHeight="1">
      <c r="A2110" s="7" t="s">
        <v>3467</v>
      </c>
      <c r="B2110" s="8" t="str">
        <f>IFERROR(__xludf.DUMMYFUNCTION("REGEXREPLACE(A2110, ""[^0-9a-zA-Z -.'Ã]"","""")"),"Lasse HallstrÃm")</f>
        <v>Lasse HallstrÃm</v>
      </c>
      <c r="C2110" s="9">
        <v>180.0</v>
      </c>
      <c r="D2110" s="10">
        <v>5.4235441E7</v>
      </c>
      <c r="E2110" s="9" t="s">
        <v>454</v>
      </c>
      <c r="F2110" s="9">
        <f t="shared" si="1"/>
        <v>2</v>
      </c>
      <c r="G2110" s="9" t="s">
        <v>7025</v>
      </c>
      <c r="H2110" s="11" t="str">
        <f>IFERROR(__xludf.DUMMYFUNCTION("REGEXREPLACE(G2110, ""[^0-9a-zA-Z .'Ã]"","""")"),"Manish Dayal")</f>
        <v>Manish Dayal</v>
      </c>
      <c r="I2110" s="11" t="s">
        <v>7026</v>
      </c>
      <c r="J2110" s="9">
        <v>52894.0</v>
      </c>
      <c r="K2110" s="9" t="s">
        <v>7027</v>
      </c>
      <c r="L2110" s="9">
        <v>185.0</v>
      </c>
      <c r="M2110" s="9" t="s">
        <v>24</v>
      </c>
      <c r="N2110" s="9" t="s">
        <v>25</v>
      </c>
      <c r="O2110" s="10">
        <v>2.2E7</v>
      </c>
      <c r="P2110" s="10">
        <f t="shared" si="2"/>
        <v>32235441</v>
      </c>
      <c r="Q2110" s="12">
        <f t="shared" si="3"/>
        <v>0</v>
      </c>
      <c r="R2110" s="9">
        <v>2014.0</v>
      </c>
      <c r="S2110" s="9">
        <v>7.3</v>
      </c>
    </row>
    <row r="2111" ht="15.75" customHeight="1">
      <c r="A2111" s="7" t="s">
        <v>7028</v>
      </c>
      <c r="B2111" s="8" t="str">
        <f>IFERROR(__xludf.DUMMYFUNCTION("REGEXREPLACE(A2111, ""[^0-9a-zA-Z .'Ã]"","""")"),"Glen Morgan")</f>
        <v>Glen Morgan</v>
      </c>
      <c r="C2111" s="9">
        <v>129.0</v>
      </c>
      <c r="D2111" s="10">
        <v>6852144.0</v>
      </c>
      <c r="E2111" s="9" t="s">
        <v>2324</v>
      </c>
      <c r="F2111" s="9">
        <f t="shared" si="1"/>
        <v>4</v>
      </c>
      <c r="G2111" s="9" t="s">
        <v>5326</v>
      </c>
      <c r="H2111" s="11" t="str">
        <f>IFERROR(__xludf.DUMMYFUNCTION("REGEXREPLACE(G2111, ""[^0-9a-zA-Z .'Ã]"","""")"),"Laura Harring")</f>
        <v>Laura Harring</v>
      </c>
      <c r="I2111" s="11" t="s">
        <v>7029</v>
      </c>
      <c r="J2111" s="9">
        <v>15169.0</v>
      </c>
      <c r="K2111" s="9" t="s">
        <v>7030</v>
      </c>
      <c r="L2111" s="9">
        <v>213.0</v>
      </c>
      <c r="M2111" s="9" t="s">
        <v>24</v>
      </c>
      <c r="N2111" s="9" t="s">
        <v>624</v>
      </c>
      <c r="O2111" s="10">
        <v>2.2E7</v>
      </c>
      <c r="P2111" s="10">
        <f t="shared" si="2"/>
        <v>0</v>
      </c>
      <c r="Q2111" s="12">
        <f t="shared" si="3"/>
        <v>15147856</v>
      </c>
      <c r="R2111" s="9">
        <v>2003.0</v>
      </c>
      <c r="S2111" s="9">
        <v>6.2</v>
      </c>
    </row>
    <row r="2112" ht="15.75" customHeight="1">
      <c r="A2112" s="7" t="s">
        <v>7031</v>
      </c>
      <c r="B2112" s="8" t="str">
        <f>IFERROR(__xludf.DUMMYFUNCTION("REGEXREPLACE(A2112, ""[^0-9a-zA-Z .'Ã]"","""")"),"Carter Smith")</f>
        <v>Carter Smith</v>
      </c>
      <c r="C2112" s="9">
        <v>233.0</v>
      </c>
      <c r="D2112" s="10">
        <v>1.7427926E7</v>
      </c>
      <c r="E2112" s="9" t="s">
        <v>148</v>
      </c>
      <c r="F2112" s="9">
        <f t="shared" si="1"/>
        <v>1</v>
      </c>
      <c r="G2112" s="9" t="s">
        <v>252</v>
      </c>
      <c r="H2112" s="11" t="str">
        <f>IFERROR(__xludf.DUMMYFUNCTION("REGEXREPLACE(G2112, ""[^0-9a-zA-Z .'Ã]"","""")"),"Laura Ramsey")</f>
        <v>Laura Ramsey</v>
      </c>
      <c r="I2112" s="11" t="s">
        <v>7032</v>
      </c>
      <c r="J2112" s="9">
        <v>60062.0</v>
      </c>
      <c r="K2112" s="9" t="s">
        <v>7033</v>
      </c>
      <c r="L2112" s="9">
        <v>351.0</v>
      </c>
      <c r="M2112" s="9" t="s">
        <v>24</v>
      </c>
      <c r="N2112" s="9" t="s">
        <v>25</v>
      </c>
      <c r="O2112" s="10">
        <v>8000000.0</v>
      </c>
      <c r="P2112" s="10">
        <f t="shared" si="2"/>
        <v>9427926</v>
      </c>
      <c r="Q2112" s="12">
        <f t="shared" si="3"/>
        <v>0</v>
      </c>
      <c r="R2112" s="9">
        <v>2008.0</v>
      </c>
      <c r="S2112" s="9">
        <v>5.9</v>
      </c>
    </row>
    <row r="2113" ht="15.75" customHeight="1">
      <c r="A2113" s="25" t="s">
        <v>7034</v>
      </c>
      <c r="B2113" s="8" t="str">
        <f>IFERROR(__xludf.DUMMYFUNCTION("REGEXREPLACE(A2113, ""[^0-9a-zA-Z .'Ã]"","""")"),"Steven Zaillian")</f>
        <v>Steven Zaillian</v>
      </c>
      <c r="C2113" s="26">
        <v>110.0</v>
      </c>
      <c r="D2113" s="27">
        <v>5.6702901E7</v>
      </c>
      <c r="E2113" s="26" t="s">
        <v>103</v>
      </c>
      <c r="F2113" s="9">
        <f t="shared" si="1"/>
        <v>1</v>
      </c>
      <c r="G2113" s="26" t="s">
        <v>410</v>
      </c>
      <c r="H2113" s="11" t="str">
        <f>IFERROR(__xludf.DUMMYFUNCTION("REGEXREPLACE(G2113, ""[^0-9a-zA-Z .'Ã]"","""")"),"Robert Duvall")</f>
        <v>Robert Duvall</v>
      </c>
      <c r="I2113" s="28" t="s">
        <v>7035</v>
      </c>
      <c r="J2113" s="26">
        <v>23302.0</v>
      </c>
      <c r="K2113" s="26" t="s">
        <v>7036</v>
      </c>
      <c r="L2113" s="26">
        <v>181.0</v>
      </c>
      <c r="M2113" s="26" t="s">
        <v>24</v>
      </c>
      <c r="N2113" s="26" t="s">
        <v>25</v>
      </c>
      <c r="O2113" s="27">
        <v>6.0E7</v>
      </c>
      <c r="P2113" s="10">
        <f t="shared" si="2"/>
        <v>0</v>
      </c>
      <c r="Q2113" s="12">
        <f t="shared" si="3"/>
        <v>3297099</v>
      </c>
      <c r="R2113" s="26">
        <v>1998.0</v>
      </c>
      <c r="S2113" s="26">
        <v>6.5</v>
      </c>
    </row>
    <row r="2114" ht="15.75" customHeight="1">
      <c r="A2114" s="17" t="s">
        <v>2674</v>
      </c>
      <c r="B2114" s="8" t="str">
        <f>IFERROR(__xludf.DUMMYFUNCTION("REGEXREPLACE(A2114, ""[^0-9a-zA-Z .'Ã]"","""")"),"Michael Mann")</f>
        <v>Michael Mann</v>
      </c>
      <c r="C2114" s="18">
        <v>299.0</v>
      </c>
      <c r="D2114" s="19">
        <v>1.00003492E8</v>
      </c>
      <c r="E2114" s="18" t="s">
        <v>113</v>
      </c>
      <c r="F2114" s="9">
        <f t="shared" si="1"/>
        <v>3</v>
      </c>
      <c r="G2114" s="18" t="s">
        <v>220</v>
      </c>
      <c r="H2114" s="11" t="str">
        <f>IFERROR(__xludf.DUMMYFUNCTION("REGEXREPLACE(G2114, ""[^0-9a-zA-Z .'Ã]"","""")"),"Tom Cruise")</f>
        <v>Tom Cruise</v>
      </c>
      <c r="I2114" s="20" t="s">
        <v>7037</v>
      </c>
      <c r="J2114" s="18">
        <v>293662.0</v>
      </c>
      <c r="K2114" s="18" t="s">
        <v>7038</v>
      </c>
      <c r="L2114" s="18">
        <v>836.0</v>
      </c>
      <c r="M2114" s="18" t="s">
        <v>24</v>
      </c>
      <c r="N2114" s="18" t="s">
        <v>25</v>
      </c>
      <c r="O2114" s="19">
        <v>6.5E7</v>
      </c>
      <c r="P2114" s="10">
        <f t="shared" si="2"/>
        <v>35003492</v>
      </c>
      <c r="Q2114" s="12">
        <f t="shared" si="3"/>
        <v>0</v>
      </c>
      <c r="R2114" s="18">
        <v>2004.0</v>
      </c>
      <c r="S2114" s="18">
        <v>7.6</v>
      </c>
    </row>
    <row r="2115" ht="15.75" customHeight="1">
      <c r="A2115" s="21" t="s">
        <v>1972</v>
      </c>
      <c r="B2115" s="8" t="str">
        <f>IFERROR(__xludf.DUMMYFUNCTION("REGEXREPLACE(A2115, ""[^0-9a-zA-Z .'Ã]"","""")"),"Jesse Dylan")</f>
        <v>Jesse Dylan</v>
      </c>
      <c r="C2115" s="22">
        <v>153.0</v>
      </c>
      <c r="D2115" s="23">
        <v>1.04354205E8</v>
      </c>
      <c r="E2115" s="22" t="s">
        <v>89</v>
      </c>
      <c r="F2115" s="9">
        <f t="shared" si="1"/>
        <v>2</v>
      </c>
      <c r="G2115" s="22" t="s">
        <v>3870</v>
      </c>
      <c r="H2115" s="11" t="str">
        <f>IFERROR(__xludf.DUMMYFUNCTION("REGEXREPLACE(G2115, ""[^0-9a-zA-Z .'Ã]"","""")"),"Alyson Hannigan")</f>
        <v>Alyson Hannigan</v>
      </c>
      <c r="I2115" s="24" t="s">
        <v>7039</v>
      </c>
      <c r="J2115" s="22">
        <v>162331.0</v>
      </c>
      <c r="K2115" s="22" t="s">
        <v>7040</v>
      </c>
      <c r="L2115" s="22">
        <v>332.0</v>
      </c>
      <c r="M2115" s="22" t="s">
        <v>24</v>
      </c>
      <c r="N2115" s="22" t="s">
        <v>25</v>
      </c>
      <c r="O2115" s="23">
        <v>5.5E7</v>
      </c>
      <c r="P2115" s="10">
        <f t="shared" si="2"/>
        <v>49354205</v>
      </c>
      <c r="Q2115" s="12">
        <f t="shared" si="3"/>
        <v>0</v>
      </c>
      <c r="R2115" s="22">
        <v>2003.0</v>
      </c>
      <c r="S2115" s="22">
        <v>6.3</v>
      </c>
    </row>
    <row r="2116" ht="15.75" customHeight="1">
      <c r="A2116" s="25" t="s">
        <v>1545</v>
      </c>
      <c r="B2116" s="8" t="str">
        <f>IFERROR(__xludf.DUMMYFUNCTION("REGEXREPLACE(A2116, ""[^0-9a-zA-Z .'Ã]"","""")"),"Mick Jackson")</f>
        <v>Mick Jackson</v>
      </c>
      <c r="C2116" s="26">
        <v>48.0</v>
      </c>
      <c r="D2116" s="27">
        <v>1.2194572E8</v>
      </c>
      <c r="E2116" s="26" t="s">
        <v>7041</v>
      </c>
      <c r="F2116" s="9">
        <f t="shared" si="1"/>
        <v>4</v>
      </c>
      <c r="G2116" s="26" t="s">
        <v>942</v>
      </c>
      <c r="H2116" s="11" t="str">
        <f>IFERROR(__xludf.DUMMYFUNCTION("REGEXREPLACE(G2116, ""[^0-9a-zA-Z .'Ã]"","""")"),"Bill Cobbs")</f>
        <v>Bill Cobbs</v>
      </c>
      <c r="I2116" s="28" t="s">
        <v>7042</v>
      </c>
      <c r="J2116" s="26">
        <v>89972.0</v>
      </c>
      <c r="K2116" s="26" t="s">
        <v>7043</v>
      </c>
      <c r="L2116" s="26">
        <v>126.0</v>
      </c>
      <c r="M2116" s="26" t="s">
        <v>24</v>
      </c>
      <c r="N2116" s="26" t="s">
        <v>25</v>
      </c>
      <c r="O2116" s="27">
        <v>2.5E7</v>
      </c>
      <c r="P2116" s="10">
        <f t="shared" si="2"/>
        <v>96945720</v>
      </c>
      <c r="Q2116" s="12">
        <f t="shared" si="3"/>
        <v>0</v>
      </c>
      <c r="R2116" s="26">
        <v>1992.0</v>
      </c>
      <c r="S2116" s="26">
        <v>6.1</v>
      </c>
    </row>
    <row r="2117" ht="15.75" customHeight="1">
      <c r="A2117" s="21" t="s">
        <v>2467</v>
      </c>
      <c r="B2117" s="8" t="str">
        <f>IFERROR(__xludf.DUMMYFUNCTION("REGEXREPLACE(A2117, ""[^0-9a-zA-Z .'Ã]"","""")"),"Richard Lester")</f>
        <v>Richard Lester</v>
      </c>
      <c r="C2117" s="22">
        <v>95.0</v>
      </c>
      <c r="D2117" s="23">
        <v>6.0E7</v>
      </c>
      <c r="E2117" s="22" t="s">
        <v>1704</v>
      </c>
      <c r="F2117" s="9">
        <f t="shared" si="1"/>
        <v>3</v>
      </c>
      <c r="G2117" s="22" t="s">
        <v>3679</v>
      </c>
      <c r="H2117" s="11" t="str">
        <f>IFERROR(__xludf.DUMMYFUNCTION("REGEXREPLACE(G2117, ""[^0-9a-zA-Z .'Ã]"","""")"),"Margot Kidder")</f>
        <v>Margot Kidder</v>
      </c>
      <c r="I2117" s="24" t="s">
        <v>7044</v>
      </c>
      <c r="J2117" s="22">
        <v>49934.0</v>
      </c>
      <c r="K2117" s="22" t="s">
        <v>7045</v>
      </c>
      <c r="L2117" s="22">
        <v>224.0</v>
      </c>
      <c r="M2117" s="22" t="s">
        <v>24</v>
      </c>
      <c r="N2117" s="22" t="s">
        <v>130</v>
      </c>
      <c r="O2117" s="23">
        <v>3.9E7</v>
      </c>
      <c r="P2117" s="10">
        <f t="shared" si="2"/>
        <v>21000000</v>
      </c>
      <c r="Q2117" s="12">
        <f t="shared" si="3"/>
        <v>0</v>
      </c>
      <c r="R2117" s="22">
        <v>1983.0</v>
      </c>
      <c r="S2117" s="22">
        <v>4.9</v>
      </c>
    </row>
    <row r="2118" ht="15.75" customHeight="1">
      <c r="A2118" s="17" t="s">
        <v>719</v>
      </c>
      <c r="B2118" s="8" t="str">
        <f>IFERROR(__xludf.DUMMYFUNCTION("REGEXREPLACE(A2118, ""[^0-9a-zA-Z .'Ã]"","""")"),"Gil Kenan")</f>
        <v>Gil Kenan</v>
      </c>
      <c r="C2118" s="18">
        <v>118.0</v>
      </c>
      <c r="D2118" s="19">
        <v>7871693.0</v>
      </c>
      <c r="E2118" s="18" t="s">
        <v>7046</v>
      </c>
      <c r="F2118" s="9">
        <f t="shared" si="1"/>
        <v>4</v>
      </c>
      <c r="G2118" s="18" t="s">
        <v>470</v>
      </c>
      <c r="H2118" s="11" t="str">
        <f>IFERROR(__xludf.DUMMYFUNCTION("REGEXREPLACE(G2118, ""[^0-9a-zA-Z .'Ã]"","""")"),"Bill Murray")</f>
        <v>Bill Murray</v>
      </c>
      <c r="I2118" s="20" t="s">
        <v>7047</v>
      </c>
      <c r="J2118" s="18">
        <v>52908.0</v>
      </c>
      <c r="K2118" s="18" t="s">
        <v>7048</v>
      </c>
      <c r="L2118" s="18">
        <v>102.0</v>
      </c>
      <c r="M2118" s="18" t="s">
        <v>24</v>
      </c>
      <c r="N2118" s="18" t="s">
        <v>25</v>
      </c>
      <c r="O2118" s="19">
        <v>5.5E7</v>
      </c>
      <c r="P2118" s="10">
        <f t="shared" si="2"/>
        <v>0</v>
      </c>
      <c r="Q2118" s="12">
        <f t="shared" si="3"/>
        <v>47128307</v>
      </c>
      <c r="R2118" s="18">
        <v>2008.0</v>
      </c>
      <c r="S2118" s="18">
        <v>6.5</v>
      </c>
    </row>
    <row r="2119" ht="15.75" customHeight="1">
      <c r="A2119" s="21" t="s">
        <v>5077</v>
      </c>
      <c r="B2119" s="8" t="str">
        <f>IFERROR(__xludf.DUMMYFUNCTION("REGEXREPLACE(A2119, ""[^0-9a-zA-Z .'Ã]"","""")"),"James Wan")</f>
        <v>James Wan</v>
      </c>
      <c r="C2119" s="22">
        <v>166.0</v>
      </c>
      <c r="D2119" s="23">
        <v>9525276.0</v>
      </c>
      <c r="E2119" s="22" t="s">
        <v>152</v>
      </c>
      <c r="F2119" s="9">
        <f t="shared" si="1"/>
        <v>3</v>
      </c>
      <c r="G2119" s="22" t="s">
        <v>7049</v>
      </c>
      <c r="H2119" s="11" t="str">
        <f>IFERROR(__xludf.DUMMYFUNCTION("REGEXREPLACE(G2119, ""[^0-9a-zA-Z .'Ã]"","""")"),"Aisha Tyler")</f>
        <v>Aisha Tyler</v>
      </c>
      <c r="I2119" s="24" t="s">
        <v>7050</v>
      </c>
      <c r="J2119" s="22">
        <v>60156.0</v>
      </c>
      <c r="K2119" s="22" t="s">
        <v>7051</v>
      </c>
      <c r="L2119" s="22">
        <v>299.0</v>
      </c>
      <c r="M2119" s="22" t="s">
        <v>24</v>
      </c>
      <c r="N2119" s="22" t="s">
        <v>25</v>
      </c>
      <c r="O2119" s="23">
        <v>2.0E7</v>
      </c>
      <c r="P2119" s="10">
        <f t="shared" si="2"/>
        <v>0</v>
      </c>
      <c r="Q2119" s="12">
        <f t="shared" si="3"/>
        <v>10474724</v>
      </c>
      <c r="R2119" s="22">
        <v>2007.0</v>
      </c>
      <c r="S2119" s="22">
        <v>6.8</v>
      </c>
    </row>
    <row r="2120" ht="15.75" customHeight="1">
      <c r="A2120" s="17" t="s">
        <v>1526</v>
      </c>
      <c r="B2120" s="8" t="str">
        <f>IFERROR(__xludf.DUMMYFUNCTION("REGEXREPLACE(A2120, ""[^0-9a-zA-Z .'Ã]"","""")"),"Gore Verbinski")</f>
        <v>Gore Verbinski</v>
      </c>
      <c r="C2120" s="18">
        <v>450.0</v>
      </c>
      <c r="D2120" s="19">
        <v>8.928991E7</v>
      </c>
      <c r="E2120" s="18" t="s">
        <v>4155</v>
      </c>
      <c r="F2120" s="9">
        <f t="shared" si="1"/>
        <v>3</v>
      </c>
      <c r="G2120" s="18" t="s">
        <v>85</v>
      </c>
      <c r="H2120" s="11" t="str">
        <f>IFERROR(__xludf.DUMMYFUNCTION("REGEXREPLACE(G2120, ""[^0-9a-zA-Z .'Ã]"","""")"),"Johnny Depp")</f>
        <v>Johnny Depp</v>
      </c>
      <c r="I2120" s="20" t="s">
        <v>7052</v>
      </c>
      <c r="J2120" s="18">
        <v>181792.0</v>
      </c>
      <c r="K2120" s="18" t="s">
        <v>7053</v>
      </c>
      <c r="L2120" s="18">
        <v>711.0</v>
      </c>
      <c r="M2120" s="18" t="s">
        <v>24</v>
      </c>
      <c r="N2120" s="18" t="s">
        <v>25</v>
      </c>
      <c r="O2120" s="19">
        <v>2.15E8</v>
      </c>
      <c r="P2120" s="10">
        <f t="shared" si="2"/>
        <v>0</v>
      </c>
      <c r="Q2120" s="12">
        <f t="shared" si="3"/>
        <v>125710090</v>
      </c>
      <c r="R2120" s="18">
        <v>2013.0</v>
      </c>
      <c r="S2120" s="18">
        <v>6.5</v>
      </c>
    </row>
    <row r="2121" ht="15.75" customHeight="1">
      <c r="A2121" s="7" t="s">
        <v>7054</v>
      </c>
      <c r="B2121" s="8" t="str">
        <f>IFERROR(__xludf.DUMMYFUNCTION("REGEXREPLACE(A2121, ""[^0-9a-zA-Z .'Ã]"","""")"),"Michael Anderson")</f>
        <v>Michael Anderson</v>
      </c>
      <c r="C2121" s="9">
        <v>112.0</v>
      </c>
      <c r="D2121" s="10">
        <v>2.5E7</v>
      </c>
      <c r="E2121" s="9" t="s">
        <v>185</v>
      </c>
      <c r="F2121" s="9">
        <f t="shared" si="1"/>
        <v>3</v>
      </c>
      <c r="G2121" s="9" t="s">
        <v>7055</v>
      </c>
      <c r="H2121" s="11" t="str">
        <f>IFERROR(__xludf.DUMMYFUNCTION("REGEXREPLACE(G2121, ""[^0-9a-zA-Z .'Ã]"","""")"),"Farrah Fawcett")</f>
        <v>Farrah Fawcett</v>
      </c>
      <c r="I2121" s="11" t="s">
        <v>7056</v>
      </c>
      <c r="J2121" s="9">
        <v>39847.0</v>
      </c>
      <c r="K2121" s="9" t="s">
        <v>7057</v>
      </c>
      <c r="L2121" s="9">
        <v>242.0</v>
      </c>
      <c r="M2121" s="9" t="s">
        <v>24</v>
      </c>
      <c r="N2121" s="9" t="s">
        <v>25</v>
      </c>
      <c r="O2121" s="10">
        <v>9000000.0</v>
      </c>
      <c r="P2121" s="10">
        <f t="shared" si="2"/>
        <v>16000000</v>
      </c>
      <c r="Q2121" s="12">
        <f t="shared" si="3"/>
        <v>0</v>
      </c>
      <c r="R2121" s="9">
        <v>1976.0</v>
      </c>
      <c r="S2121" s="9">
        <v>6.8</v>
      </c>
    </row>
    <row r="2122" ht="15.75" customHeight="1">
      <c r="A2122" s="21" t="s">
        <v>7058</v>
      </c>
      <c r="B2122" s="8" t="str">
        <f>IFERROR(__xludf.DUMMYFUNCTION("REGEXREPLACE(A2122, ""[^0-9a-zA-Z .'Ã]"","""")"),"Bob Rafelson")</f>
        <v>Bob Rafelson</v>
      </c>
      <c r="C2122" s="22">
        <v>42.0</v>
      </c>
      <c r="D2122" s="23">
        <v>1075288.0</v>
      </c>
      <c r="E2122" s="22" t="s">
        <v>113</v>
      </c>
      <c r="F2122" s="9">
        <f t="shared" si="1"/>
        <v>3</v>
      </c>
      <c r="G2122" s="22" t="s">
        <v>3242</v>
      </c>
      <c r="H2122" s="11" t="str">
        <f>IFERROR(__xludf.DUMMYFUNCTION("REGEXREPLACE(G2122, ""[^0-9a-zA-Z .'Ã]"","""")"),"Harold Perrineau")</f>
        <v>Harold Perrineau</v>
      </c>
      <c r="I2122" s="24" t="s">
        <v>7059</v>
      </c>
      <c r="J2122" s="22">
        <v>7772.0</v>
      </c>
      <c r="K2122" s="22" t="s">
        <v>7060</v>
      </c>
      <c r="L2122" s="22">
        <v>55.0</v>
      </c>
      <c r="M2122" s="22" t="s">
        <v>24</v>
      </c>
      <c r="N2122" s="22" t="s">
        <v>25</v>
      </c>
      <c r="O2122" s="23">
        <v>2.2E7</v>
      </c>
      <c r="P2122" s="10">
        <f t="shared" si="2"/>
        <v>0</v>
      </c>
      <c r="Q2122" s="12">
        <f t="shared" si="3"/>
        <v>20924712</v>
      </c>
      <c r="R2122" s="22">
        <v>1996.0</v>
      </c>
      <c r="S2122" s="22">
        <v>6.1</v>
      </c>
    </row>
    <row r="2123" ht="15.75" customHeight="1">
      <c r="A2123" s="25" t="s">
        <v>7061</v>
      </c>
      <c r="B2123" s="8" t="str">
        <f>IFERROR(__xludf.DUMMYFUNCTION("REGEXREPLACE(A2123, ""[^0-9a-zA-Z .'Ã]"","""")"),"Myles Berkowitz")</f>
        <v>Myles Berkowitz</v>
      </c>
      <c r="C2123" s="26">
        <v>32.0</v>
      </c>
      <c r="D2123" s="27">
        <v>536767.0</v>
      </c>
      <c r="E2123" s="26" t="s">
        <v>7062</v>
      </c>
      <c r="F2123" s="9">
        <f t="shared" si="1"/>
        <v>3</v>
      </c>
      <c r="G2123" s="26" t="s">
        <v>3018</v>
      </c>
      <c r="H2123" s="11" t="str">
        <f>IFERROR(__xludf.DUMMYFUNCTION("REGEXREPLACE(G2123, ""[^0-9a-zA-Z .'Ã]"","""")"),"Tia Carrere")</f>
        <v>Tia Carrere</v>
      </c>
      <c r="I2123" s="28" t="s">
        <v>7063</v>
      </c>
      <c r="J2123" s="26">
        <v>1622.0</v>
      </c>
      <c r="K2123" s="26" t="s">
        <v>7064</v>
      </c>
      <c r="L2123" s="26">
        <v>83.0</v>
      </c>
      <c r="M2123" s="26" t="s">
        <v>24</v>
      </c>
      <c r="N2123" s="26" t="s">
        <v>25</v>
      </c>
      <c r="O2123" s="27">
        <v>60000.0</v>
      </c>
      <c r="P2123" s="10">
        <f t="shared" si="2"/>
        <v>476767</v>
      </c>
      <c r="Q2123" s="12">
        <f t="shared" si="3"/>
        <v>0</v>
      </c>
      <c r="R2123" s="26">
        <v>1998.0</v>
      </c>
      <c r="S2123" s="26">
        <v>5.3</v>
      </c>
    </row>
    <row r="2124" ht="15.75" customHeight="1">
      <c r="A2124" s="17" t="s">
        <v>4575</v>
      </c>
      <c r="B2124" s="8" t="str">
        <f>IFERROR(__xludf.DUMMYFUNCTION("REGEXREPLACE(A2124, ""[^0-9a-zA-Z .'Ã]"","""")"),"David Gordon Green")</f>
        <v>David Gordon Green</v>
      </c>
      <c r="C2124" s="18">
        <v>232.0</v>
      </c>
      <c r="D2124" s="19">
        <v>8.734138E7</v>
      </c>
      <c r="E2124" s="18" t="s">
        <v>265</v>
      </c>
      <c r="F2124" s="9">
        <f t="shared" si="1"/>
        <v>3</v>
      </c>
      <c r="G2124" s="18" t="s">
        <v>404</v>
      </c>
      <c r="H2124" s="11" t="str">
        <f>IFERROR(__xludf.DUMMYFUNCTION("REGEXREPLACE(G2124, ""[^0-9a-zA-Z .'Ã]"","""")"),"James Franco")</f>
        <v>James Franco</v>
      </c>
      <c r="I2124" s="20" t="s">
        <v>7065</v>
      </c>
      <c r="J2124" s="18">
        <v>255257.0</v>
      </c>
      <c r="K2124" s="18" t="s">
        <v>7066</v>
      </c>
      <c r="L2124" s="18">
        <v>374.0</v>
      </c>
      <c r="M2124" s="18" t="s">
        <v>24</v>
      </c>
      <c r="N2124" s="18" t="s">
        <v>25</v>
      </c>
      <c r="O2124" s="19">
        <v>2.7E7</v>
      </c>
      <c r="P2124" s="10">
        <f t="shared" si="2"/>
        <v>60341380</v>
      </c>
      <c r="Q2124" s="12">
        <f t="shared" si="3"/>
        <v>0</v>
      </c>
      <c r="R2124" s="18">
        <v>2008.0</v>
      </c>
      <c r="S2124" s="18">
        <v>7.0</v>
      </c>
    </row>
    <row r="2125" ht="15.75" customHeight="1">
      <c r="A2125" s="17" t="s">
        <v>7067</v>
      </c>
      <c r="B2125" s="8" t="str">
        <f>IFERROR(__xludf.DUMMYFUNCTION("REGEXREPLACE(A2125, ""[^0-9a-zA-Z -.'Ã]"","""")"),"Claudia Sainte-Luce")</f>
        <v>Claudia Sainte-Luce</v>
      </c>
      <c r="C2125" s="18">
        <v>50.0</v>
      </c>
      <c r="D2125" s="19">
        <v>11278.0</v>
      </c>
      <c r="E2125" s="18" t="s">
        <v>454</v>
      </c>
      <c r="F2125" s="9">
        <f t="shared" si="1"/>
        <v>2</v>
      </c>
      <c r="G2125" s="18" t="s">
        <v>7068</v>
      </c>
      <c r="H2125" s="11" t="str">
        <f>IFERROR(__xludf.DUMMYFUNCTION("REGEXREPLACE(G2125, ""[^0-9a-zA-Z .'Ã]"","""")"),"Ximena Ayala")</f>
        <v>Ximena Ayala</v>
      </c>
      <c r="I2125" s="20" t="s">
        <v>7069</v>
      </c>
      <c r="J2125" s="18">
        <v>1229.0</v>
      </c>
      <c r="K2125" s="18" t="s">
        <v>7070</v>
      </c>
      <c r="L2125" s="18">
        <v>2.0</v>
      </c>
      <c r="M2125" s="18" t="s">
        <v>1553</v>
      </c>
      <c r="N2125" s="18" t="s">
        <v>1893</v>
      </c>
      <c r="O2125" s="19">
        <v>1300000.0</v>
      </c>
      <c r="P2125" s="10">
        <f t="shared" si="2"/>
        <v>0</v>
      </c>
      <c r="Q2125" s="12">
        <f t="shared" si="3"/>
        <v>1288722</v>
      </c>
      <c r="R2125" s="18">
        <v>2013.0</v>
      </c>
      <c r="S2125" s="18">
        <v>7.0</v>
      </c>
    </row>
    <row r="2126" ht="15.75" customHeight="1">
      <c r="A2126" s="13" t="s">
        <v>1142</v>
      </c>
      <c r="B2126" s="8" t="str">
        <f>IFERROR(__xludf.DUMMYFUNCTION("REGEXREPLACE(A2126, ""[^0-9a-zA-Z .'Ã]"","""")"),"David Twohy")</f>
        <v>David Twohy</v>
      </c>
      <c r="C2126" s="14">
        <v>302.0</v>
      </c>
      <c r="D2126" s="15">
        <v>4.199779E7</v>
      </c>
      <c r="E2126" s="14" t="s">
        <v>1734</v>
      </c>
      <c r="F2126" s="9">
        <f t="shared" si="1"/>
        <v>3</v>
      </c>
      <c r="G2126" s="14" t="s">
        <v>917</v>
      </c>
      <c r="H2126" s="11" t="str">
        <f>IFERROR(__xludf.DUMMYFUNCTION("REGEXREPLACE(G2126, ""[^0-9a-zA-Z .'Ã]"","""")"),"Vin Diesel")</f>
        <v>Vin Diesel</v>
      </c>
      <c r="I2126" s="16" t="s">
        <v>7071</v>
      </c>
      <c r="J2126" s="14">
        <v>125305.0</v>
      </c>
      <c r="K2126" s="14" t="s">
        <v>7072</v>
      </c>
      <c r="L2126" s="14">
        <v>343.0</v>
      </c>
      <c r="M2126" s="14" t="s">
        <v>24</v>
      </c>
      <c r="N2126" s="14" t="s">
        <v>25</v>
      </c>
      <c r="O2126" s="15">
        <v>3.8E7</v>
      </c>
      <c r="P2126" s="10">
        <f t="shared" si="2"/>
        <v>3997790</v>
      </c>
      <c r="Q2126" s="12">
        <f t="shared" si="3"/>
        <v>0</v>
      </c>
      <c r="R2126" s="14">
        <v>2013.0</v>
      </c>
      <c r="S2126" s="14">
        <v>6.4</v>
      </c>
    </row>
    <row r="2127" ht="15.75" customHeight="1">
      <c r="A2127" s="29" t="s">
        <v>2097</v>
      </c>
      <c r="B2127" s="8" t="str">
        <f>IFERROR(__xludf.DUMMYFUNCTION("REGEXREPLACE(A2127, ""[^0-9a-zA-Z .'Ã]"","""")"),"Dennis Dugan")</f>
        <v>Dennis Dugan</v>
      </c>
      <c r="C2127" s="30">
        <v>198.0</v>
      </c>
      <c r="D2127" s="31">
        <v>1.00018837E8</v>
      </c>
      <c r="E2127" s="30" t="s">
        <v>968</v>
      </c>
      <c r="F2127" s="9">
        <f t="shared" si="1"/>
        <v>2</v>
      </c>
      <c r="G2127" s="30" t="s">
        <v>616</v>
      </c>
      <c r="H2127" s="11" t="str">
        <f>IFERROR(__xludf.DUMMYFUNCTION("REGEXREPLACE(G2127, ""[^0-9a-zA-Z .'Ã]"","""")"),"Adam Sandler")</f>
        <v>Adam Sandler</v>
      </c>
      <c r="I2127" s="32" t="s">
        <v>7073</v>
      </c>
      <c r="J2127" s="30">
        <v>156348.0</v>
      </c>
      <c r="K2127" s="30" t="s">
        <v>7074</v>
      </c>
      <c r="L2127" s="30">
        <v>380.0</v>
      </c>
      <c r="M2127" s="30" t="s">
        <v>24</v>
      </c>
      <c r="N2127" s="30" t="s">
        <v>25</v>
      </c>
      <c r="O2127" s="31">
        <v>9.0E7</v>
      </c>
      <c r="P2127" s="10">
        <f t="shared" si="2"/>
        <v>10018837</v>
      </c>
      <c r="Q2127" s="12">
        <f t="shared" si="3"/>
        <v>0</v>
      </c>
      <c r="R2127" s="30">
        <v>2008.0</v>
      </c>
      <c r="S2127" s="30">
        <v>5.5</v>
      </c>
    </row>
    <row r="2128" ht="15.75" customHeight="1">
      <c r="A2128" s="17" t="s">
        <v>7075</v>
      </c>
      <c r="B2128" s="8" t="str">
        <f>IFERROR(__xludf.DUMMYFUNCTION("REGEXREPLACE(A2128, ""[^0-9a-zA-Z .'Ã]"","""")"),"Ron Shelton")</f>
        <v>Ron Shelton</v>
      </c>
      <c r="C2128" s="18">
        <v>71.0</v>
      </c>
      <c r="D2128" s="19">
        <v>9059588.0</v>
      </c>
      <c r="E2128" s="18" t="s">
        <v>810</v>
      </c>
      <c r="F2128" s="9">
        <f t="shared" si="1"/>
        <v>4</v>
      </c>
      <c r="G2128" s="18" t="s">
        <v>7076</v>
      </c>
      <c r="H2128" s="11" t="str">
        <f>IFERROR(__xludf.DUMMYFUNCTION("REGEXREPLACE(G2128, ""[^0-9a-zA-Z .'Ã]"","""")"),"Khandi Alexander")</f>
        <v>Khandi Alexander</v>
      </c>
      <c r="I2128" s="20" t="s">
        <v>7077</v>
      </c>
      <c r="J2128" s="18">
        <v>17261.0</v>
      </c>
      <c r="K2128" s="18" t="s">
        <v>7078</v>
      </c>
      <c r="L2128" s="18">
        <v>125.0</v>
      </c>
      <c r="M2128" s="18" t="s">
        <v>24</v>
      </c>
      <c r="N2128" s="18" t="s">
        <v>25</v>
      </c>
      <c r="O2128" s="19">
        <v>1.5E7</v>
      </c>
      <c r="P2128" s="10">
        <f t="shared" si="2"/>
        <v>0</v>
      </c>
      <c r="Q2128" s="12">
        <f t="shared" si="3"/>
        <v>5940412</v>
      </c>
      <c r="R2128" s="18">
        <v>2002.0</v>
      </c>
      <c r="S2128" s="18">
        <v>6.6</v>
      </c>
    </row>
    <row r="2129" ht="15.75" customHeight="1">
      <c r="A2129" s="7" t="s">
        <v>7079</v>
      </c>
      <c r="B2129" s="8" t="str">
        <f>IFERROR(__xludf.DUMMYFUNCTION("REGEXREPLACE(A2129, ""[^0-9a-zA-Z .'Ã]"","""")"),"Jay Chandrasekhar")</f>
        <v>Jay Chandrasekhar</v>
      </c>
      <c r="C2129" s="9">
        <v>66.0</v>
      </c>
      <c r="D2129" s="10">
        <v>4992159.0</v>
      </c>
      <c r="E2129" s="9" t="s">
        <v>389</v>
      </c>
      <c r="F2129" s="9">
        <f t="shared" si="1"/>
        <v>3</v>
      </c>
      <c r="G2129" s="9" t="s">
        <v>5675</v>
      </c>
      <c r="H2129" s="11" t="str">
        <f>IFERROR(__xludf.DUMMYFUNCTION("REGEXREPLACE(G2129, ""[^0-9a-zA-Z .'Ã]"","""")"),"Brittany Daniel")</f>
        <v>Brittany Daniel</v>
      </c>
      <c r="I2129" s="11" t="s">
        <v>7080</v>
      </c>
      <c r="J2129" s="9">
        <v>23823.0</v>
      </c>
      <c r="K2129" s="9" t="s">
        <v>7081</v>
      </c>
      <c r="L2129" s="9">
        <v>201.0</v>
      </c>
      <c r="M2129" s="9" t="s">
        <v>24</v>
      </c>
      <c r="N2129" s="9" t="s">
        <v>25</v>
      </c>
      <c r="O2129" s="10">
        <v>8550000.0</v>
      </c>
      <c r="P2129" s="10">
        <f t="shared" si="2"/>
        <v>0</v>
      </c>
      <c r="Q2129" s="12">
        <f t="shared" si="3"/>
        <v>3557841</v>
      </c>
      <c r="R2129" s="9">
        <v>2004.0</v>
      </c>
      <c r="S2129" s="9">
        <v>5.6</v>
      </c>
    </row>
    <row r="2130" ht="15.75" customHeight="1">
      <c r="A2130" s="17" t="s">
        <v>7082</v>
      </c>
      <c r="B2130" s="8" t="str">
        <f>IFERROR(__xludf.DUMMYFUNCTION("REGEXREPLACE(A2130, ""[^0-9a-zA-Z .'Ã]"","""")"),"Gordon Chan")</f>
        <v>Gordon Chan</v>
      </c>
      <c r="C2130" s="18">
        <v>98.0</v>
      </c>
      <c r="D2130" s="19">
        <v>2.2108977E7</v>
      </c>
      <c r="E2130" s="18" t="s">
        <v>2450</v>
      </c>
      <c r="F2130" s="9">
        <f t="shared" si="1"/>
        <v>3</v>
      </c>
      <c r="G2130" s="18" t="s">
        <v>1034</v>
      </c>
      <c r="H2130" s="11" t="str">
        <f>IFERROR(__xludf.DUMMYFUNCTION("REGEXREPLACE(G2130, ""[^0-9a-zA-Z .'Ã]"","""")"),"Julian Sands")</f>
        <v>Julian Sands</v>
      </c>
      <c r="I2130" s="20" t="s">
        <v>7083</v>
      </c>
      <c r="J2130" s="18">
        <v>29861.0</v>
      </c>
      <c r="K2130" s="18" t="s">
        <v>7084</v>
      </c>
      <c r="L2130" s="18">
        <v>132.0</v>
      </c>
      <c r="M2130" s="18" t="s">
        <v>24</v>
      </c>
      <c r="N2130" s="18" t="s">
        <v>157</v>
      </c>
      <c r="O2130" s="19">
        <v>4.1E7</v>
      </c>
      <c r="P2130" s="10">
        <f t="shared" si="2"/>
        <v>0</v>
      </c>
      <c r="Q2130" s="12">
        <f t="shared" si="3"/>
        <v>18891023</v>
      </c>
      <c r="R2130" s="18">
        <v>2003.0</v>
      </c>
      <c r="S2130" s="18">
        <v>5.2</v>
      </c>
    </row>
    <row r="2131" ht="15.75" customHeight="1">
      <c r="A2131" s="7" t="s">
        <v>5062</v>
      </c>
      <c r="B2131" s="8" t="str">
        <f>IFERROR(__xludf.DUMMYFUNCTION("REGEXREPLACE(A2131, ""[^0-9a-zA-Z .'Ã]"","""")"),"Sidney Lumet")</f>
        <v>Sidney Lumet</v>
      </c>
      <c r="C2131" s="9">
        <v>94.0</v>
      </c>
      <c r="D2131" s="10">
        <v>1172769.0</v>
      </c>
      <c r="E2131" s="9" t="s">
        <v>6368</v>
      </c>
      <c r="F2131" s="9">
        <f t="shared" si="1"/>
        <v>4</v>
      </c>
      <c r="G2131" s="9" t="s">
        <v>349</v>
      </c>
      <c r="H2131" s="11" t="str">
        <f>IFERROR(__xludf.DUMMYFUNCTION("REGEXREPLACE(G2131, ""[^0-9a-zA-Z .'Ã]"","""")"),"Peter Dinklage")</f>
        <v>Peter Dinklage</v>
      </c>
      <c r="I2131" s="11" t="s">
        <v>7085</v>
      </c>
      <c r="J2131" s="9">
        <v>28068.0</v>
      </c>
      <c r="K2131" s="9" t="s">
        <v>7086</v>
      </c>
      <c r="L2131" s="9">
        <v>108.0</v>
      </c>
      <c r="M2131" s="9" t="s">
        <v>24</v>
      </c>
      <c r="N2131" s="9" t="s">
        <v>173</v>
      </c>
      <c r="O2131" s="10">
        <v>1.3E7</v>
      </c>
      <c r="P2131" s="10">
        <f t="shared" si="2"/>
        <v>0</v>
      </c>
      <c r="Q2131" s="12">
        <f t="shared" si="3"/>
        <v>11827231</v>
      </c>
      <c r="R2131" s="9">
        <v>2006.0</v>
      </c>
      <c r="S2131" s="9">
        <v>7.1</v>
      </c>
    </row>
    <row r="2132" ht="15.75" customHeight="1">
      <c r="A2132" s="7" t="s">
        <v>1332</v>
      </c>
      <c r="B2132" s="8" t="str">
        <f>IFERROR(__xludf.DUMMYFUNCTION("REGEXREPLACE(A2132, ""[^0-9a-zA-Z .'Ã]"","""")"),"Kirk Jones")</f>
        <v>Kirk Jones</v>
      </c>
      <c r="C2132" s="9">
        <v>170.0</v>
      </c>
      <c r="D2132" s="10">
        <v>4.1102171E7</v>
      </c>
      <c r="E2132" s="9" t="s">
        <v>159</v>
      </c>
      <c r="F2132" s="9">
        <f t="shared" si="1"/>
        <v>3</v>
      </c>
      <c r="G2132" s="9" t="s">
        <v>2887</v>
      </c>
      <c r="H2132" s="11" t="str">
        <f>IFERROR(__xludf.DUMMYFUNCTION("REGEXREPLACE(G2132, ""[^0-9a-zA-Z .'Ã]"","""")"),"Anna Kendrick")</f>
        <v>Anna Kendrick</v>
      </c>
      <c r="I2132" s="11" t="s">
        <v>7087</v>
      </c>
      <c r="J2132" s="9">
        <v>57266.0</v>
      </c>
      <c r="K2132" s="9" t="s">
        <v>7088</v>
      </c>
      <c r="L2132" s="9">
        <v>89.0</v>
      </c>
      <c r="M2132" s="9" t="s">
        <v>24</v>
      </c>
      <c r="N2132" s="9" t="s">
        <v>25</v>
      </c>
      <c r="O2132" s="10">
        <v>4.0E7</v>
      </c>
      <c r="P2132" s="10">
        <f t="shared" si="2"/>
        <v>1102171</v>
      </c>
      <c r="Q2132" s="12">
        <f t="shared" si="3"/>
        <v>0</v>
      </c>
      <c r="R2132" s="9">
        <v>2012.0</v>
      </c>
      <c r="S2132" s="9">
        <v>5.7</v>
      </c>
    </row>
    <row r="2133" ht="15.75" customHeight="1">
      <c r="A2133" s="7" t="s">
        <v>7089</v>
      </c>
      <c r="B2133" s="8" t="str">
        <f>IFERROR(__xludf.DUMMYFUNCTION("REGEXREPLACE(A2133, ""[^0-9a-zA-Z .'Ã]"","""")"),"Tarsem Singh")</f>
        <v>Tarsem Singh</v>
      </c>
      <c r="C2133" s="9">
        <v>382.0</v>
      </c>
      <c r="D2133" s="10">
        <v>6.493367E7</v>
      </c>
      <c r="E2133" s="9" t="s">
        <v>7090</v>
      </c>
      <c r="F2133" s="9">
        <f t="shared" si="1"/>
        <v>5</v>
      </c>
      <c r="G2133" s="9" t="s">
        <v>533</v>
      </c>
      <c r="H2133" s="11" t="str">
        <f>IFERROR(__xludf.DUMMYFUNCTION("REGEXREPLACE(G2133, ""[^0-9a-zA-Z .'Ã]"","""")"),"Julia Roberts")</f>
        <v>Julia Roberts</v>
      </c>
      <c r="I2133" s="11" t="s">
        <v>7091</v>
      </c>
      <c r="J2133" s="9">
        <v>70838.0</v>
      </c>
      <c r="K2133" s="9" t="s">
        <v>7092</v>
      </c>
      <c r="L2133" s="9">
        <v>208.0</v>
      </c>
      <c r="M2133" s="9" t="s">
        <v>24</v>
      </c>
      <c r="N2133" s="9" t="s">
        <v>25</v>
      </c>
      <c r="O2133" s="10">
        <v>8.5E7</v>
      </c>
      <c r="P2133" s="10">
        <f t="shared" si="2"/>
        <v>0</v>
      </c>
      <c r="Q2133" s="12">
        <f t="shared" si="3"/>
        <v>20066330</v>
      </c>
      <c r="R2133" s="9">
        <v>2012.0</v>
      </c>
      <c r="S2133" s="9">
        <v>5.6</v>
      </c>
    </row>
    <row r="2134" ht="15.75" customHeight="1">
      <c r="A2134" s="7" t="s">
        <v>7093</v>
      </c>
      <c r="B2134" s="8" t="str">
        <f>IFERROR(__xludf.DUMMYFUNCTION("REGEXREPLACE(A2134, ""[^0-9a-zA-Z .'Ã]"","""")"),"Paul McGuigan")</f>
        <v>Paul McGuigan</v>
      </c>
      <c r="C2134" s="9">
        <v>202.0</v>
      </c>
      <c r="D2134" s="10">
        <v>2.2494487E7</v>
      </c>
      <c r="E2134" s="9" t="s">
        <v>435</v>
      </c>
      <c r="F2134" s="9">
        <f t="shared" si="1"/>
        <v>4</v>
      </c>
      <c r="G2134" s="9" t="s">
        <v>55</v>
      </c>
      <c r="H2134" s="11" t="str">
        <f>IFERROR(__xludf.DUMMYFUNCTION("REGEXREPLACE(G2134, ""[^0-9a-zA-Z .'Ã]"","""")"),"Bruce Willis")</f>
        <v>Bruce Willis</v>
      </c>
      <c r="I2134" s="11" t="s">
        <v>7094</v>
      </c>
      <c r="J2134" s="9">
        <v>262160.0</v>
      </c>
      <c r="K2134" s="9" t="s">
        <v>7095</v>
      </c>
      <c r="L2134" s="9">
        <v>507.0</v>
      </c>
      <c r="M2134" s="9" t="s">
        <v>24</v>
      </c>
      <c r="N2134" s="9" t="s">
        <v>173</v>
      </c>
      <c r="O2134" s="10">
        <v>2.7E7</v>
      </c>
      <c r="P2134" s="10">
        <f t="shared" si="2"/>
        <v>0</v>
      </c>
      <c r="Q2134" s="12">
        <f t="shared" si="3"/>
        <v>4505513</v>
      </c>
      <c r="R2134" s="9">
        <v>2006.0</v>
      </c>
      <c r="S2134" s="9">
        <v>7.8</v>
      </c>
    </row>
    <row r="2135" ht="15.75" customHeight="1">
      <c r="A2135" s="7" t="s">
        <v>972</v>
      </c>
      <c r="B2135" s="8" t="str">
        <f>IFERROR(__xludf.DUMMYFUNCTION("REGEXREPLACE(A2135, ""[^0-9a-zA-Z .'Ã]"","""")"),"Shawn Levy")</f>
        <v>Shawn Levy</v>
      </c>
      <c r="C2135" s="9">
        <v>154.0</v>
      </c>
      <c r="D2135" s="10">
        <v>1.13733726E8</v>
      </c>
      <c r="E2135" s="9" t="s">
        <v>1874</v>
      </c>
      <c r="F2135" s="9">
        <f t="shared" si="1"/>
        <v>4</v>
      </c>
      <c r="G2135" s="9" t="s">
        <v>673</v>
      </c>
      <c r="H2135" s="11" t="str">
        <f>IFERROR(__xludf.DUMMYFUNCTION("REGEXREPLACE(G2135, ""[^0-9a-zA-Z .'Ã]"","""")"),"Robin Williams")</f>
        <v>Robin Williams</v>
      </c>
      <c r="I2135" s="11" t="s">
        <v>7096</v>
      </c>
      <c r="J2135" s="9">
        <v>67223.0</v>
      </c>
      <c r="K2135" s="9" t="s">
        <v>7097</v>
      </c>
      <c r="L2135" s="9">
        <v>126.0</v>
      </c>
      <c r="M2135" s="9" t="s">
        <v>24</v>
      </c>
      <c r="N2135" s="9" t="s">
        <v>25</v>
      </c>
      <c r="O2135" s="10">
        <v>1.27E8</v>
      </c>
      <c r="P2135" s="10">
        <f t="shared" si="2"/>
        <v>0</v>
      </c>
      <c r="Q2135" s="12">
        <f t="shared" si="3"/>
        <v>13266274</v>
      </c>
      <c r="R2135" s="9">
        <v>2014.0</v>
      </c>
      <c r="S2135" s="9">
        <v>6.2</v>
      </c>
    </row>
    <row r="2136" ht="15.75" customHeight="1">
      <c r="A2136" s="25" t="s">
        <v>7098</v>
      </c>
      <c r="B2136" s="8" t="str">
        <f>IFERROR(__xludf.DUMMYFUNCTION("REGEXREPLACE(A2136, ""[^0-9a-zA-Z .'Ã]"","""")"),"James Manera")</f>
        <v>James Manera</v>
      </c>
      <c r="C2136" s="26">
        <v>12.0</v>
      </c>
      <c r="D2136" s="27">
        <v>830210.0</v>
      </c>
      <c r="E2136" s="26" t="s">
        <v>2978</v>
      </c>
      <c r="F2136" s="9">
        <f t="shared" si="1"/>
        <v>3</v>
      </c>
      <c r="G2136" s="26" t="s">
        <v>689</v>
      </c>
      <c r="H2136" s="11" t="str">
        <f>IFERROR(__xludf.DUMMYFUNCTION("REGEXREPLACE(G2136, ""[^0-9a-zA-Z .'Ã]"","""")"),"Joaquim de Almeida")</f>
        <v>Joaquim de Almeida</v>
      </c>
      <c r="I2136" s="28" t="s">
        <v>7099</v>
      </c>
      <c r="J2136" s="26">
        <v>1900.0</v>
      </c>
      <c r="K2136" s="26" t="s">
        <v>7100</v>
      </c>
      <c r="L2136" s="26">
        <v>56.0</v>
      </c>
      <c r="M2136" s="26" t="s">
        <v>24</v>
      </c>
      <c r="N2136" s="26" t="s">
        <v>25</v>
      </c>
      <c r="O2136" s="27">
        <v>5000000.0</v>
      </c>
      <c r="P2136" s="10">
        <f t="shared" si="2"/>
        <v>0</v>
      </c>
      <c r="Q2136" s="12">
        <f t="shared" si="3"/>
        <v>4169790</v>
      </c>
      <c r="R2136" s="26">
        <v>2014.0</v>
      </c>
      <c r="S2136" s="26">
        <v>4.4</v>
      </c>
    </row>
    <row r="2137" ht="15.75" customHeight="1">
      <c r="A2137" s="7" t="s">
        <v>2623</v>
      </c>
      <c r="B2137" s="8" t="str">
        <f>IFERROR(__xludf.DUMMYFUNCTION("REGEXREPLACE(A2137, ""[^0-9a-zA-Z .'Ã]"","""")"),"Alex Proyas")</f>
        <v>Alex Proyas</v>
      </c>
      <c r="C2137" s="9">
        <v>118.0</v>
      </c>
      <c r="D2137" s="10">
        <v>5.0693162E7</v>
      </c>
      <c r="E2137" s="9" t="s">
        <v>7101</v>
      </c>
      <c r="F2137" s="9">
        <f t="shared" si="1"/>
        <v>3</v>
      </c>
      <c r="G2137" s="9" t="s">
        <v>3829</v>
      </c>
      <c r="H2137" s="11" t="str">
        <f>IFERROR(__xludf.DUMMYFUNCTION("REGEXREPLACE(G2137, ""[^0-9a-zA-Z .'Ã]"","""")"),"Michael Wincott")</f>
        <v>Michael Wincott</v>
      </c>
      <c r="I2137" s="11" t="s">
        <v>7102</v>
      </c>
      <c r="J2137" s="9">
        <v>136580.0</v>
      </c>
      <c r="K2137" s="9" t="s">
        <v>7103</v>
      </c>
      <c r="L2137" s="9">
        <v>545.0</v>
      </c>
      <c r="M2137" s="9" t="s">
        <v>24</v>
      </c>
      <c r="N2137" s="9" t="s">
        <v>25</v>
      </c>
      <c r="O2137" s="10">
        <v>2.3E7</v>
      </c>
      <c r="P2137" s="10">
        <f t="shared" si="2"/>
        <v>27693162</v>
      </c>
      <c r="Q2137" s="12">
        <f t="shared" si="3"/>
        <v>0</v>
      </c>
      <c r="R2137" s="9">
        <v>1994.0</v>
      </c>
      <c r="S2137" s="9">
        <v>7.6</v>
      </c>
    </row>
    <row r="2138" ht="15.75" customHeight="1">
      <c r="A2138" s="13" t="s">
        <v>7104</v>
      </c>
      <c r="B2138" s="8" t="str">
        <f>IFERROR(__xludf.DUMMYFUNCTION("REGEXREPLACE(A2138, ""[^0-9a-zA-Z .'Ã]"","""")"),"Kurt Hale")</f>
        <v>Kurt Hale</v>
      </c>
      <c r="C2138" s="14">
        <v>5.0</v>
      </c>
      <c r="D2138" s="15">
        <v>1250798.0</v>
      </c>
      <c r="E2138" s="14" t="s">
        <v>159</v>
      </c>
      <c r="F2138" s="9">
        <f t="shared" si="1"/>
        <v>3</v>
      </c>
      <c r="G2138" s="14" t="s">
        <v>7105</v>
      </c>
      <c r="H2138" s="11" t="str">
        <f>IFERROR(__xludf.DUMMYFUNCTION("REGEXREPLACE(G2138, ""[^0-9a-zA-Z .'Ã]"","""")"),"Kirby Heyborne")</f>
        <v>Kirby Heyborne</v>
      </c>
      <c r="I2138" s="16" t="s">
        <v>7106</v>
      </c>
      <c r="J2138" s="14">
        <v>1099.0</v>
      </c>
      <c r="K2138" s="14" t="s">
        <v>7107</v>
      </c>
      <c r="L2138" s="14">
        <v>53.0</v>
      </c>
      <c r="M2138" s="14" t="s">
        <v>24</v>
      </c>
      <c r="N2138" s="14" t="s">
        <v>25</v>
      </c>
      <c r="O2138" s="15">
        <v>500000.0</v>
      </c>
      <c r="P2138" s="10">
        <f t="shared" si="2"/>
        <v>750798</v>
      </c>
      <c r="Q2138" s="12">
        <f t="shared" si="3"/>
        <v>0</v>
      </c>
      <c r="R2138" s="14">
        <v>2002.0</v>
      </c>
      <c r="S2138" s="14">
        <v>6.4</v>
      </c>
    </row>
    <row r="2139" ht="15.75" customHeight="1">
      <c r="A2139" s="21" t="s">
        <v>1767</v>
      </c>
      <c r="B2139" s="8" t="str">
        <f>IFERROR(__xludf.DUMMYFUNCTION("REGEXREPLACE(A2139, ""[^0-9a-zA-Z .'Ã]"","""")"),"Barry Levinson")</f>
        <v>Barry Levinson</v>
      </c>
      <c r="C2139" s="22">
        <v>62.0</v>
      </c>
      <c r="D2139" s="23">
        <v>1.2392237E8</v>
      </c>
      <c r="E2139" s="22" t="s">
        <v>7108</v>
      </c>
      <c r="F2139" s="9">
        <f t="shared" si="1"/>
        <v>4</v>
      </c>
      <c r="G2139" s="22" t="s">
        <v>673</v>
      </c>
      <c r="H2139" s="11" t="str">
        <f>IFERROR(__xludf.DUMMYFUNCTION("REGEXREPLACE(G2139, ""[^0-9a-zA-Z .'Ã]"","""")"),"Robin Williams")</f>
        <v>Robin Williams</v>
      </c>
      <c r="I2139" s="24" t="s">
        <v>7109</v>
      </c>
      <c r="J2139" s="22">
        <v>98348.0</v>
      </c>
      <c r="K2139" s="22" t="s">
        <v>7110</v>
      </c>
      <c r="L2139" s="22">
        <v>131.0</v>
      </c>
      <c r="M2139" s="22" t="s">
        <v>24</v>
      </c>
      <c r="N2139" s="22" t="s">
        <v>25</v>
      </c>
      <c r="O2139" s="23">
        <v>1.3E7</v>
      </c>
      <c r="P2139" s="10">
        <f t="shared" si="2"/>
        <v>110922370</v>
      </c>
      <c r="Q2139" s="12">
        <f t="shared" si="3"/>
        <v>0</v>
      </c>
      <c r="R2139" s="22">
        <v>1987.0</v>
      </c>
      <c r="S2139" s="22">
        <v>7.3</v>
      </c>
    </row>
    <row r="2140" ht="15.75" customHeight="1">
      <c r="A2140" s="25" t="s">
        <v>4776</v>
      </c>
      <c r="B2140" s="8" t="str">
        <f>IFERROR(__xludf.DUMMYFUNCTION("REGEXREPLACE(A2140, ""[^0-9a-zA-Z .'Ã]"","""")"),"Shane Black")</f>
        <v>Shane Black</v>
      </c>
      <c r="C2140" s="26">
        <v>223.0</v>
      </c>
      <c r="D2140" s="27">
        <v>4235837.0</v>
      </c>
      <c r="E2140" s="26" t="s">
        <v>901</v>
      </c>
      <c r="F2140" s="9">
        <f t="shared" si="1"/>
        <v>3</v>
      </c>
      <c r="G2140" s="26" t="s">
        <v>327</v>
      </c>
      <c r="H2140" s="11" t="str">
        <f>IFERROR(__xludf.DUMMYFUNCTION("REGEXREPLACE(G2140, ""[^0-9a-zA-Z .'Ã]"","""")"),"Robert Downey Jr.")</f>
        <v>Robert Downey Jr.</v>
      </c>
      <c r="I2140" s="28" t="s">
        <v>7111</v>
      </c>
      <c r="J2140" s="26">
        <v>175962.0</v>
      </c>
      <c r="K2140" s="26" t="s">
        <v>7112</v>
      </c>
      <c r="L2140" s="26">
        <v>336.0</v>
      </c>
      <c r="M2140" s="26" t="s">
        <v>24</v>
      </c>
      <c r="N2140" s="26" t="s">
        <v>25</v>
      </c>
      <c r="O2140" s="27">
        <v>1.5E7</v>
      </c>
      <c r="P2140" s="10">
        <f t="shared" si="2"/>
        <v>0</v>
      </c>
      <c r="Q2140" s="12">
        <f t="shared" si="3"/>
        <v>10764163</v>
      </c>
      <c r="R2140" s="26">
        <v>2005.0</v>
      </c>
      <c r="S2140" s="26">
        <v>7.6</v>
      </c>
    </row>
    <row r="2141" ht="15.75" customHeight="1">
      <c r="A2141" s="7" t="s">
        <v>7113</v>
      </c>
      <c r="B2141" s="8" t="str">
        <f>IFERROR(__xludf.DUMMYFUNCTION("REGEXREPLACE(A2141, ""[^0-9a-zA-Z .'Ã]"","""")"),"Jeff Garlin")</f>
        <v>Jeff Garlin</v>
      </c>
      <c r="C2141" s="9">
        <v>32.0</v>
      </c>
      <c r="D2141" s="10">
        <v>194568.0</v>
      </c>
      <c r="E2141" s="9" t="s">
        <v>89</v>
      </c>
      <c r="F2141" s="9">
        <f t="shared" si="1"/>
        <v>2</v>
      </c>
      <c r="G2141" s="9" t="s">
        <v>7114</v>
      </c>
      <c r="H2141" s="11" t="str">
        <f>IFERROR(__xludf.DUMMYFUNCTION("REGEXREPLACE(G2141, ""[^0-9a-zA-Z .'Ã]"","""")"),"Jessy Schram")</f>
        <v>Jessy Schram</v>
      </c>
      <c r="I2141" s="11" t="s">
        <v>7115</v>
      </c>
      <c r="J2141" s="9">
        <v>2963.0</v>
      </c>
      <c r="K2141" s="9" t="s">
        <v>7116</v>
      </c>
      <c r="L2141" s="9">
        <v>28.0</v>
      </c>
      <c r="M2141" s="9" t="s">
        <v>24</v>
      </c>
      <c r="N2141" s="9" t="s">
        <v>25</v>
      </c>
      <c r="O2141" s="10">
        <v>1500000.0</v>
      </c>
      <c r="P2141" s="10">
        <f t="shared" si="2"/>
        <v>0</v>
      </c>
      <c r="Q2141" s="12">
        <f t="shared" si="3"/>
        <v>1305432</v>
      </c>
      <c r="R2141" s="9">
        <v>2006.0</v>
      </c>
      <c r="S2141" s="9">
        <v>6.2</v>
      </c>
    </row>
    <row r="2142" ht="15.75" customHeight="1">
      <c r="A2142" s="17" t="s">
        <v>959</v>
      </c>
      <c r="B2142" s="8" t="str">
        <f>IFERROR(__xludf.DUMMYFUNCTION("REGEXREPLACE(A2142, ""[^0-9a-zA-Z .'Ã]"","""")"),"Oliver Stone")</f>
        <v>Oliver Stone</v>
      </c>
      <c r="C2142" s="18">
        <v>114.0</v>
      </c>
      <c r="D2142" s="19">
        <v>4.38481E7</v>
      </c>
      <c r="E2142" s="18" t="s">
        <v>54</v>
      </c>
      <c r="F2142" s="9">
        <f t="shared" si="1"/>
        <v>2</v>
      </c>
      <c r="G2142" s="18" t="s">
        <v>7117</v>
      </c>
      <c r="H2142" s="11" t="str">
        <f>IFERROR(__xludf.DUMMYFUNCTION("REGEXREPLACE(G2142, ""[^0-9a-zA-Z .'Ã]"","""")"),"Hal Holbrook")</f>
        <v>Hal Holbrook</v>
      </c>
      <c r="I2142" s="20" t="s">
        <v>7118</v>
      </c>
      <c r="J2142" s="18">
        <v>119150.0</v>
      </c>
      <c r="K2142" s="18" t="s">
        <v>7119</v>
      </c>
      <c r="L2142" s="18">
        <v>219.0</v>
      </c>
      <c r="M2142" s="18" t="s">
        <v>24</v>
      </c>
      <c r="N2142" s="18" t="s">
        <v>25</v>
      </c>
      <c r="O2142" s="19">
        <v>1.5E7</v>
      </c>
      <c r="P2142" s="10">
        <f t="shared" si="2"/>
        <v>28848100</v>
      </c>
      <c r="Q2142" s="12">
        <f t="shared" si="3"/>
        <v>0</v>
      </c>
      <c r="R2142" s="18">
        <v>1987.0</v>
      </c>
      <c r="S2142" s="18">
        <v>7.4</v>
      </c>
    </row>
    <row r="2143" ht="15.75" customHeight="1">
      <c r="A2143" s="25" t="s">
        <v>7120</v>
      </c>
      <c r="B2143" s="8" t="str">
        <f>IFERROR(__xludf.DUMMYFUNCTION("REGEXREPLACE(A2143, ""[^0-9a-zA-Z .'Ã]"","""")"),"Robert Townsend")</f>
        <v>Robert Townsend</v>
      </c>
      <c r="C2143" s="26">
        <v>21.0</v>
      </c>
      <c r="D2143" s="27">
        <v>5228617.0</v>
      </c>
      <c r="E2143" s="26" t="s">
        <v>137</v>
      </c>
      <c r="F2143" s="9">
        <f t="shared" si="1"/>
        <v>1</v>
      </c>
      <c r="G2143" s="26" t="s">
        <v>7120</v>
      </c>
      <c r="H2143" s="11" t="str">
        <f>IFERROR(__xludf.DUMMYFUNCTION("REGEXREPLACE(G2143, ""[^0-9a-zA-Z .'Ã]"","""")"),"Robert Townsend")</f>
        <v>Robert Townsend</v>
      </c>
      <c r="I2143" s="28" t="s">
        <v>7121</v>
      </c>
      <c r="J2143" s="26">
        <v>2770.0</v>
      </c>
      <c r="K2143" s="26" t="s">
        <v>7122</v>
      </c>
      <c r="L2143" s="26">
        <v>32.0</v>
      </c>
      <c r="M2143" s="26" t="s">
        <v>24</v>
      </c>
      <c r="N2143" s="26" t="s">
        <v>25</v>
      </c>
      <c r="O2143" s="27">
        <v>100000.0</v>
      </c>
      <c r="P2143" s="10">
        <f t="shared" si="2"/>
        <v>5128617</v>
      </c>
      <c r="Q2143" s="12">
        <f t="shared" si="3"/>
        <v>0</v>
      </c>
      <c r="R2143" s="26">
        <v>1987.0</v>
      </c>
      <c r="S2143" s="26">
        <v>7.0</v>
      </c>
    </row>
    <row r="2144" ht="15.75" customHeight="1">
      <c r="A2144" s="7" t="s">
        <v>1063</v>
      </c>
      <c r="B2144" s="8" t="str">
        <f>IFERROR(__xludf.DUMMYFUNCTION("REGEXREPLACE(A2144, ""[^0-9a-zA-Z .'Ã]"","""")"),"Jeff Tremaine")</f>
        <v>Jeff Tremaine</v>
      </c>
      <c r="C2144" s="9">
        <v>106.0</v>
      </c>
      <c r="D2144" s="10">
        <v>6.4267897E7</v>
      </c>
      <c r="E2144" s="9" t="s">
        <v>3781</v>
      </c>
      <c r="F2144" s="9">
        <f t="shared" si="1"/>
        <v>2</v>
      </c>
      <c r="G2144" s="9" t="s">
        <v>7123</v>
      </c>
      <c r="H2144" s="11" t="str">
        <f>IFERROR(__xludf.DUMMYFUNCTION("REGEXREPLACE(G2144, ""[^0-9a-zA-Z .'Ã]"","""")"),"Bam Margera")</f>
        <v>Bam Margera</v>
      </c>
      <c r="I2144" s="11" t="s">
        <v>7124</v>
      </c>
      <c r="J2144" s="9">
        <v>67992.0</v>
      </c>
      <c r="K2144" s="9" t="s">
        <v>7125</v>
      </c>
      <c r="L2144" s="9">
        <v>327.0</v>
      </c>
      <c r="M2144" s="9" t="s">
        <v>24</v>
      </c>
      <c r="N2144" s="9" t="s">
        <v>25</v>
      </c>
      <c r="O2144" s="10">
        <v>5000000.0</v>
      </c>
      <c r="P2144" s="10">
        <f t="shared" si="2"/>
        <v>59267897</v>
      </c>
      <c r="Q2144" s="12">
        <f t="shared" si="3"/>
        <v>0</v>
      </c>
      <c r="R2144" s="9">
        <v>2002.0</v>
      </c>
      <c r="S2144" s="9">
        <v>6.6</v>
      </c>
    </row>
    <row r="2145" ht="15.75" customHeight="1">
      <c r="A2145" s="7" t="s">
        <v>1740</v>
      </c>
      <c r="B2145" s="8" t="str">
        <f>IFERROR(__xludf.DUMMYFUNCTION("REGEXREPLACE(A2145, ""[^0-9a-zA-Z .'Ã]"","""")"),"Woody Allen")</f>
        <v>Woody Allen</v>
      </c>
      <c r="C2145" s="9">
        <v>64.0</v>
      </c>
      <c r="D2145" s="10">
        <v>1.4792779E7</v>
      </c>
      <c r="E2145" s="9" t="s">
        <v>137</v>
      </c>
      <c r="F2145" s="9">
        <f t="shared" si="1"/>
        <v>1</v>
      </c>
      <c r="G2145" s="9" t="s">
        <v>3323</v>
      </c>
      <c r="H2145" s="11" t="str">
        <f>IFERROR(__xludf.DUMMYFUNCTION("REGEXREPLACE(G2145, ""[^0-9a-zA-Z .'Ã]"","""")"),"Mike Starr")</f>
        <v>Mike Starr</v>
      </c>
      <c r="I2145" s="11" t="s">
        <v>7126</v>
      </c>
      <c r="J2145" s="9">
        <v>24256.0</v>
      </c>
      <c r="K2145" s="9" t="s">
        <v>7127</v>
      </c>
      <c r="L2145" s="9">
        <v>91.0</v>
      </c>
      <c r="M2145" s="9" t="s">
        <v>24</v>
      </c>
      <c r="N2145" s="9" t="s">
        <v>25</v>
      </c>
      <c r="O2145" s="10">
        <v>1.6E7</v>
      </c>
      <c r="P2145" s="10">
        <f t="shared" si="2"/>
        <v>0</v>
      </c>
      <c r="Q2145" s="12">
        <f t="shared" si="3"/>
        <v>1207221</v>
      </c>
      <c r="R2145" s="9">
        <v>1987.0</v>
      </c>
      <c r="S2145" s="9">
        <v>7.6</v>
      </c>
    </row>
    <row r="2146" ht="15.75" customHeight="1">
      <c r="A2146" s="17" t="s">
        <v>7128</v>
      </c>
      <c r="B2146" s="8" t="str">
        <f>IFERROR(__xludf.DUMMYFUNCTION("REGEXREPLACE(A2146, ""[^0-9a-zA-Z .'Ã]"","""")"),"Dan Fogelman")</f>
        <v>Dan Fogelman</v>
      </c>
      <c r="C2146" s="18">
        <v>139.0</v>
      </c>
      <c r="D2146" s="19">
        <v>5348317.0</v>
      </c>
      <c r="E2146" s="18" t="s">
        <v>462</v>
      </c>
      <c r="F2146" s="9">
        <f t="shared" si="1"/>
        <v>3</v>
      </c>
      <c r="G2146" s="18" t="s">
        <v>317</v>
      </c>
      <c r="H2146" s="11" t="str">
        <f>IFERROR(__xludf.DUMMYFUNCTION("REGEXREPLACE(G2146, ""[^0-9a-zA-Z .'Ã]"","""")"),"Al Pacino")</f>
        <v>Al Pacino</v>
      </c>
      <c r="I2146" s="20" t="s">
        <v>7129</v>
      </c>
      <c r="J2146" s="18">
        <v>20810.0</v>
      </c>
      <c r="K2146" s="18" t="s">
        <v>7130</v>
      </c>
      <c r="L2146" s="18">
        <v>100.0</v>
      </c>
      <c r="M2146" s="18" t="s">
        <v>24</v>
      </c>
      <c r="N2146" s="18" t="s">
        <v>25</v>
      </c>
      <c r="O2146" s="19">
        <v>1.0E7</v>
      </c>
      <c r="P2146" s="10">
        <f t="shared" si="2"/>
        <v>0</v>
      </c>
      <c r="Q2146" s="12">
        <f t="shared" si="3"/>
        <v>4651683</v>
      </c>
      <c r="R2146" s="18">
        <v>2015.0</v>
      </c>
      <c r="S2146" s="18">
        <v>7.1</v>
      </c>
    </row>
    <row r="2147" ht="15.75" customHeight="1">
      <c r="A2147" s="29" t="s">
        <v>7131</v>
      </c>
      <c r="B2147" s="8" t="str">
        <f>IFERROR(__xludf.DUMMYFUNCTION("REGEXREPLACE(A2147, ""[^0-9a-zA-Z .'Ã]"","""")"),"Michael Lembeck")</f>
        <v>Michael Lembeck</v>
      </c>
      <c r="C2147" s="30">
        <v>80.0</v>
      </c>
      <c r="D2147" s="31">
        <v>1.39225854E8</v>
      </c>
      <c r="E2147" s="30" t="s">
        <v>514</v>
      </c>
      <c r="F2147" s="9">
        <f t="shared" si="1"/>
        <v>3</v>
      </c>
      <c r="G2147" s="30" t="s">
        <v>2061</v>
      </c>
      <c r="H2147" s="11" t="str">
        <f>IFERROR(__xludf.DUMMYFUNCTION("REGEXREPLACE(G2147, ""[^0-9a-zA-Z .'Ã]"","""")"),"Judge Reinhold")</f>
        <v>Judge Reinhold</v>
      </c>
      <c r="I2147" s="32" t="s">
        <v>7132</v>
      </c>
      <c r="J2147" s="30">
        <v>34561.0</v>
      </c>
      <c r="K2147" s="30" t="s">
        <v>7133</v>
      </c>
      <c r="L2147" s="30">
        <v>116.0</v>
      </c>
      <c r="M2147" s="30" t="s">
        <v>24</v>
      </c>
      <c r="N2147" s="30" t="s">
        <v>25</v>
      </c>
      <c r="O2147" s="31">
        <v>6.0E7</v>
      </c>
      <c r="P2147" s="10">
        <f t="shared" si="2"/>
        <v>79225854</v>
      </c>
      <c r="Q2147" s="12">
        <f t="shared" si="3"/>
        <v>0</v>
      </c>
      <c r="R2147" s="30">
        <v>2002.0</v>
      </c>
      <c r="S2147" s="30">
        <v>5.5</v>
      </c>
    </row>
    <row r="2148" ht="15.75" customHeight="1">
      <c r="A2148" s="21" t="s">
        <v>7134</v>
      </c>
      <c r="B2148" s="8" t="str">
        <f>IFERROR(__xludf.DUMMYFUNCTION("REGEXREPLACE(A2148, ""[^0-9a-zA-Z .'Ã]"","""")"),"Antonia Bird")</f>
        <v>Antonia Bird</v>
      </c>
      <c r="C2148" s="22">
        <v>131.0</v>
      </c>
      <c r="D2148" s="23">
        <v>2060953.0</v>
      </c>
      <c r="E2148" s="22" t="s">
        <v>955</v>
      </c>
      <c r="F2148" s="9">
        <f t="shared" si="1"/>
        <v>3</v>
      </c>
      <c r="G2148" s="22" t="s">
        <v>7135</v>
      </c>
      <c r="H2148" s="11" t="str">
        <f>IFERROR(__xludf.DUMMYFUNCTION("REGEXREPLACE(G2148, ""[^0-9a-zA-Z .'Ã]"","""")"),"Jeremy Davies")</f>
        <v>Jeremy Davies</v>
      </c>
      <c r="I2148" s="24" t="s">
        <v>7136</v>
      </c>
      <c r="J2148" s="22">
        <v>29990.0</v>
      </c>
      <c r="K2148" s="22" t="s">
        <v>7137</v>
      </c>
      <c r="L2148" s="22">
        <v>316.0</v>
      </c>
      <c r="M2148" s="22" t="s">
        <v>24</v>
      </c>
      <c r="N2148" s="22" t="s">
        <v>7138</v>
      </c>
      <c r="O2148" s="23">
        <v>1.2E7</v>
      </c>
      <c r="P2148" s="10">
        <f t="shared" si="2"/>
        <v>0</v>
      </c>
      <c r="Q2148" s="12">
        <f t="shared" si="3"/>
        <v>9939047</v>
      </c>
      <c r="R2148" s="22">
        <v>1999.0</v>
      </c>
      <c r="S2148" s="22">
        <v>7.1</v>
      </c>
    </row>
    <row r="2149" ht="15.75" customHeight="1">
      <c r="A2149" s="17" t="s">
        <v>5702</v>
      </c>
      <c r="B2149" s="8" t="str">
        <f>IFERROR(__xludf.DUMMYFUNCTION("REGEXREPLACE(A2149, ""[^0-9a-zA-Z .'Ã]"","""")"),"Jerry Zucker")</f>
        <v>Jerry Zucker</v>
      </c>
      <c r="C2149" s="18">
        <v>77.0</v>
      </c>
      <c r="D2149" s="19">
        <v>2.17631306E8</v>
      </c>
      <c r="E2149" s="18" t="s">
        <v>7139</v>
      </c>
      <c r="F2149" s="9">
        <f t="shared" si="1"/>
        <v>4</v>
      </c>
      <c r="G2149" s="18" t="s">
        <v>1559</v>
      </c>
      <c r="H2149" s="11" t="str">
        <f>IFERROR(__xludf.DUMMYFUNCTION("REGEXREPLACE(G2149, ""[^0-9a-zA-Z .'Ã]"","""")"),"Demi Moore")</f>
        <v>Demi Moore</v>
      </c>
      <c r="I2149" s="20" t="s">
        <v>7140</v>
      </c>
      <c r="J2149" s="18">
        <v>154199.0</v>
      </c>
      <c r="K2149" s="18" t="s">
        <v>7141</v>
      </c>
      <c r="L2149" s="18">
        <v>252.0</v>
      </c>
      <c r="M2149" s="18" t="s">
        <v>24</v>
      </c>
      <c r="N2149" s="18" t="s">
        <v>25</v>
      </c>
      <c r="O2149" s="19">
        <v>2.2E7</v>
      </c>
      <c r="P2149" s="10">
        <f t="shared" si="2"/>
        <v>195631306</v>
      </c>
      <c r="Q2149" s="12">
        <f t="shared" si="3"/>
        <v>0</v>
      </c>
      <c r="R2149" s="18">
        <v>1990.0</v>
      </c>
      <c r="S2149" s="18">
        <v>7.0</v>
      </c>
    </row>
    <row r="2150" ht="15.75" customHeight="1">
      <c r="A2150" s="21" t="s">
        <v>904</v>
      </c>
      <c r="B2150" s="8" t="str">
        <f>IFERROR(__xludf.DUMMYFUNCTION("REGEXREPLACE(A2150, ""[^0-9a-zA-Z .'Ã]"","""")"),"James McTeigue")</f>
        <v>James McTeigue</v>
      </c>
      <c r="C2150" s="22">
        <v>265.0</v>
      </c>
      <c r="D2150" s="23">
        <v>1.6005978E7</v>
      </c>
      <c r="E2150" s="22" t="s">
        <v>575</v>
      </c>
      <c r="F2150" s="9">
        <f t="shared" si="1"/>
        <v>3</v>
      </c>
      <c r="G2150" s="22" t="s">
        <v>7142</v>
      </c>
      <c r="H2150" s="11" t="str">
        <f>IFERROR(__xludf.DUMMYFUNCTION("REGEXREPLACE(G2150, ""[^0-9a-zA-Z .'Ã]"","""")"),"Pam Ferris")</f>
        <v>Pam Ferris</v>
      </c>
      <c r="I2150" s="24" t="s">
        <v>7143</v>
      </c>
      <c r="J2150" s="22">
        <v>72886.0</v>
      </c>
      <c r="K2150" s="22" t="s">
        <v>7144</v>
      </c>
      <c r="L2150" s="22">
        <v>190.0</v>
      </c>
      <c r="M2150" s="22" t="s">
        <v>24</v>
      </c>
      <c r="N2150" s="22" t="s">
        <v>25</v>
      </c>
      <c r="O2150" s="23">
        <v>2.6E7</v>
      </c>
      <c r="P2150" s="10">
        <f t="shared" si="2"/>
        <v>0</v>
      </c>
      <c r="Q2150" s="12">
        <f t="shared" si="3"/>
        <v>9994022</v>
      </c>
      <c r="R2150" s="22">
        <v>2012.0</v>
      </c>
      <c r="S2150" s="22">
        <v>6.4</v>
      </c>
    </row>
    <row r="2151" ht="15.75" customHeight="1">
      <c r="A2151" s="7" t="s">
        <v>469</v>
      </c>
      <c r="B2151" s="8" t="str">
        <f>IFERROR(__xludf.DUMMYFUNCTION("REGEXREPLACE(A2151, ""[^0-9a-zA-Z .'Ã]"","""")"),"Wes Anderson")</f>
        <v>Wes Anderson</v>
      </c>
      <c r="C2151" s="9">
        <v>259.0</v>
      </c>
      <c r="D2151" s="10">
        <v>2.4006726E7</v>
      </c>
      <c r="E2151" s="9" t="s">
        <v>5184</v>
      </c>
      <c r="F2151" s="9">
        <f t="shared" si="1"/>
        <v>3</v>
      </c>
      <c r="G2151" s="9" t="s">
        <v>470</v>
      </c>
      <c r="H2151" s="11" t="str">
        <f>IFERROR(__xludf.DUMMYFUNCTION("REGEXREPLACE(G2151, ""[^0-9a-zA-Z .'Ã]"","""")"),"Bill Murray")</f>
        <v>Bill Murray</v>
      </c>
      <c r="I2151" s="11" t="s">
        <v>7145</v>
      </c>
      <c r="J2151" s="9">
        <v>139535.0</v>
      </c>
      <c r="K2151" s="9" t="s">
        <v>7146</v>
      </c>
      <c r="L2151" s="9">
        <v>632.0</v>
      </c>
      <c r="M2151" s="9" t="s">
        <v>24</v>
      </c>
      <c r="N2151" s="9" t="s">
        <v>25</v>
      </c>
      <c r="O2151" s="10">
        <v>5.0E7</v>
      </c>
      <c r="P2151" s="10">
        <f t="shared" si="2"/>
        <v>0</v>
      </c>
      <c r="Q2151" s="12">
        <f t="shared" si="3"/>
        <v>25993274</v>
      </c>
      <c r="R2151" s="9">
        <v>2004.0</v>
      </c>
      <c r="S2151" s="9">
        <v>7.3</v>
      </c>
    </row>
    <row r="2152" ht="15.75" customHeight="1">
      <c r="A2152" s="21" t="s">
        <v>4413</v>
      </c>
      <c r="B2152" s="8" t="str">
        <f>IFERROR(__xludf.DUMMYFUNCTION("REGEXREPLACE(A2152, ""[^0-9a-zA-Z .'Ã]"","""")"),"Akira Kurosawa")</f>
        <v>Akira Kurosawa</v>
      </c>
      <c r="C2152" s="22">
        <v>25.0</v>
      </c>
      <c r="D2152" s="23">
        <v>48856.0</v>
      </c>
      <c r="E2152" s="22" t="s">
        <v>103</v>
      </c>
      <c r="F2152" s="9">
        <f t="shared" si="1"/>
        <v>1</v>
      </c>
      <c r="G2152" s="22" t="s">
        <v>7147</v>
      </c>
      <c r="H2152" s="11" t="str">
        <f>IFERROR(__xludf.DUMMYFUNCTION("REGEXREPLACE(G2152, ""[^0-9a-zA-Z .'Ã]"","""")"),"Tatsuo Matsumura")</f>
        <v>Tatsuo Matsumura</v>
      </c>
      <c r="I2152" s="24" t="s">
        <v>7148</v>
      </c>
      <c r="J2152" s="22">
        <v>3466.0</v>
      </c>
      <c r="K2152" s="22" t="s">
        <v>7149</v>
      </c>
      <c r="L2152" s="22">
        <v>40.0</v>
      </c>
      <c r="M2152" s="22" t="s">
        <v>1534</v>
      </c>
      <c r="N2152" s="22" t="s">
        <v>1535</v>
      </c>
      <c r="O2152" s="23">
        <v>1.19E7</v>
      </c>
      <c r="P2152" s="10">
        <f t="shared" si="2"/>
        <v>0</v>
      </c>
      <c r="Q2152" s="12">
        <f t="shared" si="3"/>
        <v>11851144</v>
      </c>
      <c r="R2152" s="22">
        <v>1993.0</v>
      </c>
      <c r="S2152" s="22">
        <v>7.5</v>
      </c>
    </row>
    <row r="2153" ht="15.75" customHeight="1">
      <c r="A2153" s="21" t="s">
        <v>3199</v>
      </c>
      <c r="B2153" s="8" t="str">
        <f>IFERROR(__xludf.DUMMYFUNCTION("REGEXREPLACE(A2153, ""[^0-9a-zA-Z .'Ã]"","""")"),"Kenneth Branagh")</f>
        <v>Kenneth Branagh</v>
      </c>
      <c r="C2153" s="22">
        <v>343.0</v>
      </c>
      <c r="D2153" s="23">
        <v>2.01148159E8</v>
      </c>
      <c r="E2153" s="22" t="s">
        <v>6507</v>
      </c>
      <c r="F2153" s="9">
        <f t="shared" si="1"/>
        <v>4</v>
      </c>
      <c r="G2153" s="22" t="s">
        <v>2712</v>
      </c>
      <c r="H2153" s="11" t="str">
        <f>IFERROR(__xludf.DUMMYFUNCTION("REGEXREPLACE(G2153, ""[^0-9a-zA-Z .'Ã]"","""")"),"Hayley Atwell")</f>
        <v>Hayley Atwell</v>
      </c>
      <c r="I2153" s="24" t="s">
        <v>7150</v>
      </c>
      <c r="J2153" s="22">
        <v>103737.0</v>
      </c>
      <c r="K2153" s="22" t="s">
        <v>7151</v>
      </c>
      <c r="L2153" s="22">
        <v>322.0</v>
      </c>
      <c r="M2153" s="22" t="s">
        <v>24</v>
      </c>
      <c r="N2153" s="22" t="s">
        <v>25</v>
      </c>
      <c r="O2153" s="23">
        <v>9.5E7</v>
      </c>
      <c r="P2153" s="10">
        <f t="shared" si="2"/>
        <v>106148159</v>
      </c>
      <c r="Q2153" s="12">
        <f t="shared" si="3"/>
        <v>0</v>
      </c>
      <c r="R2153" s="22">
        <v>2015.0</v>
      </c>
      <c r="S2153" s="22">
        <v>7.0</v>
      </c>
    </row>
    <row r="2154" ht="15.75" customHeight="1">
      <c r="A2154" s="21" t="s">
        <v>1264</v>
      </c>
      <c r="B2154" s="8" t="str">
        <f>IFERROR(__xludf.DUMMYFUNCTION("REGEXREPLACE(A2154, ""[^0-9a-zA-Z .'Ã]"","""")"),"Russell Mulcahy")</f>
        <v>Russell Mulcahy</v>
      </c>
      <c r="C2154" s="22">
        <v>216.0</v>
      </c>
      <c r="D2154" s="23">
        <v>5.0648679E7</v>
      </c>
      <c r="E2154" s="22" t="s">
        <v>64</v>
      </c>
      <c r="F2154" s="9">
        <f t="shared" si="1"/>
        <v>4</v>
      </c>
      <c r="G2154" s="22" t="s">
        <v>65</v>
      </c>
      <c r="H2154" s="11" t="str">
        <f>IFERROR(__xludf.DUMMYFUNCTION("REGEXREPLACE(G2154, ""[^0-9a-zA-Z .'Ã]"","""")"),"Milla Jovovich")</f>
        <v>Milla Jovovich</v>
      </c>
      <c r="I2154" s="24" t="s">
        <v>7152</v>
      </c>
      <c r="J2154" s="22">
        <v>149549.0</v>
      </c>
      <c r="K2154" s="22" t="s">
        <v>7153</v>
      </c>
      <c r="L2154" s="22">
        <v>348.0</v>
      </c>
      <c r="M2154" s="22" t="s">
        <v>24</v>
      </c>
      <c r="N2154" s="22" t="s">
        <v>608</v>
      </c>
      <c r="O2154" s="23">
        <v>4.5E7</v>
      </c>
      <c r="P2154" s="10">
        <f t="shared" si="2"/>
        <v>5648679</v>
      </c>
      <c r="Q2154" s="12">
        <f t="shared" si="3"/>
        <v>0</v>
      </c>
      <c r="R2154" s="22">
        <v>2007.0</v>
      </c>
      <c r="S2154" s="22">
        <v>6.3</v>
      </c>
    </row>
    <row r="2155" ht="15.75" customHeight="1">
      <c r="A2155" s="7" t="s">
        <v>7154</v>
      </c>
      <c r="B2155" s="8" t="str">
        <f>IFERROR(__xludf.DUMMYFUNCTION("REGEXREPLACE(A2155, ""[^0-9a-zA-Z .'Ã]"","""")"),"Phil Traill")</f>
        <v>Phil Traill</v>
      </c>
      <c r="C2155" s="9">
        <v>128.0</v>
      </c>
      <c r="D2155" s="10">
        <v>3.386001E7</v>
      </c>
      <c r="E2155" s="9" t="s">
        <v>89</v>
      </c>
      <c r="F2155" s="9">
        <f t="shared" si="1"/>
        <v>2</v>
      </c>
      <c r="G2155" s="9" t="s">
        <v>1903</v>
      </c>
      <c r="H2155" s="11" t="str">
        <f>IFERROR(__xludf.DUMMYFUNCTION("REGEXREPLACE(G2155, ""[^0-9a-zA-Z .'Ã]"","""")"),"Bradley Cooper")</f>
        <v>Bradley Cooper</v>
      </c>
      <c r="I2155" s="11" t="s">
        <v>7155</v>
      </c>
      <c r="J2155" s="9">
        <v>33088.0</v>
      </c>
      <c r="K2155" s="9" t="s">
        <v>7156</v>
      </c>
      <c r="L2155" s="9">
        <v>143.0</v>
      </c>
      <c r="M2155" s="9" t="s">
        <v>24</v>
      </c>
      <c r="N2155" s="9" t="s">
        <v>25</v>
      </c>
      <c r="O2155" s="10">
        <v>1.5E7</v>
      </c>
      <c r="P2155" s="10">
        <f t="shared" si="2"/>
        <v>18860010</v>
      </c>
      <c r="Q2155" s="12">
        <f t="shared" si="3"/>
        <v>0</v>
      </c>
      <c r="R2155" s="9">
        <v>2009.0</v>
      </c>
      <c r="S2155" s="9">
        <v>4.8</v>
      </c>
    </row>
    <row r="2156" ht="15.75" customHeight="1">
      <c r="A2156" s="7" t="s">
        <v>631</v>
      </c>
      <c r="B2156" s="8" t="str">
        <f>IFERROR(__xludf.DUMMYFUNCTION("REGEXREPLACE(A2156, ""[^0-9a-zA-Z .'Ã]"","""")"),"Richard Donner")</f>
        <v>Richard Donner</v>
      </c>
      <c r="C2156" s="9">
        <v>10.0</v>
      </c>
      <c r="D2156" s="10">
        <v>4651977.0</v>
      </c>
      <c r="E2156" s="9" t="s">
        <v>103</v>
      </c>
      <c r="F2156" s="9">
        <f t="shared" si="1"/>
        <v>1</v>
      </c>
      <c r="G2156" s="9" t="s">
        <v>5322</v>
      </c>
      <c r="H2156" s="11" t="str">
        <f>IFERROR(__xludf.DUMMYFUNCTION("REGEXREPLACE(G2156, ""[^0-9a-zA-Z .'Ã]"","""")"),"Adam Baldwin")</f>
        <v>Adam Baldwin</v>
      </c>
      <c r="I2156" s="11" t="s">
        <v>7157</v>
      </c>
      <c r="J2156" s="9">
        <v>10410.0</v>
      </c>
      <c r="K2156" s="9" t="s">
        <v>7158</v>
      </c>
      <c r="L2156" s="9">
        <v>71.0</v>
      </c>
      <c r="M2156" s="9" t="s">
        <v>24</v>
      </c>
      <c r="N2156" s="9" t="s">
        <v>25</v>
      </c>
      <c r="O2156" s="10">
        <v>3.5E7</v>
      </c>
      <c r="P2156" s="10">
        <f t="shared" si="2"/>
        <v>0</v>
      </c>
      <c r="Q2156" s="12">
        <f t="shared" si="3"/>
        <v>30348023</v>
      </c>
      <c r="R2156" s="9">
        <v>1992.0</v>
      </c>
      <c r="S2156" s="9">
        <v>6.9</v>
      </c>
    </row>
    <row r="2157" ht="15.75" customHeight="1">
      <c r="A2157" s="21" t="s">
        <v>2190</v>
      </c>
      <c r="B2157" s="8" t="str">
        <f>IFERROR(__xludf.DUMMYFUNCTION("REGEXREPLACE(A2157, ""[^0-9a-zA-Z .'Ã]"","""")"),"Ben Stiller")</f>
        <v>Ben Stiller</v>
      </c>
      <c r="C2157" s="22">
        <v>135.0</v>
      </c>
      <c r="D2157" s="23">
        <v>4.5162741E7</v>
      </c>
      <c r="E2157" s="22" t="s">
        <v>137</v>
      </c>
      <c r="F2157" s="9">
        <f t="shared" si="1"/>
        <v>1</v>
      </c>
      <c r="G2157" s="22" t="s">
        <v>65</v>
      </c>
      <c r="H2157" s="11" t="str">
        <f>IFERROR(__xludf.DUMMYFUNCTION("REGEXREPLACE(G2157, ""[^0-9a-zA-Z .'Ã]"","""")"),"Milla Jovovich")</f>
        <v>Milla Jovovich</v>
      </c>
      <c r="I2157" s="24" t="s">
        <v>7159</v>
      </c>
      <c r="J2157" s="22">
        <v>201084.0</v>
      </c>
      <c r="K2157" s="22" t="s">
        <v>7160</v>
      </c>
      <c r="L2157" s="22">
        <v>523.0</v>
      </c>
      <c r="M2157" s="22" t="s">
        <v>24</v>
      </c>
      <c r="N2157" s="22" t="s">
        <v>173</v>
      </c>
      <c r="O2157" s="23">
        <v>2.8E7</v>
      </c>
      <c r="P2157" s="10">
        <f t="shared" si="2"/>
        <v>17162741</v>
      </c>
      <c r="Q2157" s="12">
        <f t="shared" si="3"/>
        <v>0</v>
      </c>
      <c r="R2157" s="22">
        <v>2001.0</v>
      </c>
      <c r="S2157" s="22">
        <v>6.6</v>
      </c>
    </row>
    <row r="2158" ht="15.75" customHeight="1">
      <c r="A2158" s="7" t="s">
        <v>444</v>
      </c>
      <c r="B2158" s="8" t="str">
        <f>IFERROR(__xludf.DUMMYFUNCTION("REGEXREPLACE(A2158, ""[^0-9a-zA-Z .'Ã]"","""")"),"Michael Winterbottom")</f>
        <v>Michael Winterbottom</v>
      </c>
      <c r="C2158" s="9">
        <v>190.0</v>
      </c>
      <c r="D2158" s="10">
        <v>9172810.0</v>
      </c>
      <c r="E2158" s="9" t="s">
        <v>7161</v>
      </c>
      <c r="F2158" s="9">
        <f t="shared" si="1"/>
        <v>5</v>
      </c>
      <c r="G2158" s="9" t="s">
        <v>844</v>
      </c>
      <c r="H2158" s="11" t="str">
        <f>IFERROR(__xludf.DUMMYFUNCTION("REGEXREPLACE(G2158, ""[^0-9a-zA-Z .'Ã]"","""")"),"Angelina Jolie Pitt")</f>
        <v>Angelina Jolie Pitt</v>
      </c>
      <c r="I2158" s="11" t="s">
        <v>7162</v>
      </c>
      <c r="J2158" s="9">
        <v>24150.0</v>
      </c>
      <c r="K2158" s="9" t="s">
        <v>7163</v>
      </c>
      <c r="L2158" s="9">
        <v>118.0</v>
      </c>
      <c r="M2158" s="9" t="s">
        <v>24</v>
      </c>
      <c r="N2158" s="9" t="s">
        <v>25</v>
      </c>
      <c r="O2158" s="10">
        <v>1.6E7</v>
      </c>
      <c r="P2158" s="10">
        <f t="shared" si="2"/>
        <v>0</v>
      </c>
      <c r="Q2158" s="12">
        <f t="shared" si="3"/>
        <v>6827190</v>
      </c>
      <c r="R2158" s="9">
        <v>2007.0</v>
      </c>
      <c r="S2158" s="9">
        <v>6.7</v>
      </c>
    </row>
    <row r="2159" ht="15.75" customHeight="1">
      <c r="A2159" s="25" t="s">
        <v>7164</v>
      </c>
      <c r="B2159" s="8" t="str">
        <f>IFERROR(__xludf.DUMMYFUNCTION("REGEXREPLACE(A2159, ""[^0-9a-zA-Z .'Ã]"","""")"),"Frank Miller")</f>
        <v>Frank Miller</v>
      </c>
      <c r="C2159" s="26">
        <v>374.0</v>
      </c>
      <c r="D2159" s="27">
        <v>7.4098862E7</v>
      </c>
      <c r="E2159" s="26" t="s">
        <v>316</v>
      </c>
      <c r="F2159" s="9">
        <f t="shared" si="1"/>
        <v>2</v>
      </c>
      <c r="G2159" s="26" t="s">
        <v>3571</v>
      </c>
      <c r="H2159" s="11" t="str">
        <f>IFERROR(__xludf.DUMMYFUNCTION("REGEXREPLACE(G2159, ""[^0-9a-zA-Z .'Ã]"","""")"),"Rosario Dawson")</f>
        <v>Rosario Dawson</v>
      </c>
      <c r="I2159" s="28" t="s">
        <v>7165</v>
      </c>
      <c r="J2159" s="26">
        <v>656640.0</v>
      </c>
      <c r="K2159" s="26" t="s">
        <v>7166</v>
      </c>
      <c r="L2159" s="26">
        <v>1732.0</v>
      </c>
      <c r="M2159" s="26" t="s">
        <v>24</v>
      </c>
      <c r="N2159" s="26" t="s">
        <v>25</v>
      </c>
      <c r="O2159" s="27">
        <v>4.0E7</v>
      </c>
      <c r="P2159" s="10">
        <f t="shared" si="2"/>
        <v>34098862</v>
      </c>
      <c r="Q2159" s="12">
        <f t="shared" si="3"/>
        <v>0</v>
      </c>
      <c r="R2159" s="26">
        <v>2005.0</v>
      </c>
      <c r="S2159" s="26">
        <v>8.1</v>
      </c>
    </row>
    <row r="2160" ht="15.75" customHeight="1">
      <c r="A2160" s="25" t="s">
        <v>1346</v>
      </c>
      <c r="B2160" s="8" t="str">
        <f>IFERROR(__xludf.DUMMYFUNCTION("REGEXREPLACE(A2160, ""[^0-9a-zA-Z .'Ã]"","""")"),"Sam Raimi")</f>
        <v>Sam Raimi</v>
      </c>
      <c r="C2160" s="26">
        <v>125.0</v>
      </c>
      <c r="D2160" s="27">
        <v>1.6311763E7</v>
      </c>
      <c r="E2160" s="26" t="s">
        <v>113</v>
      </c>
      <c r="F2160" s="9">
        <f t="shared" si="1"/>
        <v>3</v>
      </c>
      <c r="G2160" s="26" t="s">
        <v>3688</v>
      </c>
      <c r="H2160" s="11" t="str">
        <f>IFERROR(__xludf.DUMMYFUNCTION("REGEXREPLACE(G2160, ""[^0-9a-zA-Z .'Ã]"","""")"),"Gary Cole")</f>
        <v>Gary Cole</v>
      </c>
      <c r="I2160" s="28" t="s">
        <v>7167</v>
      </c>
      <c r="J2160" s="26">
        <v>50656.0</v>
      </c>
      <c r="K2160" s="26" t="s">
        <v>7168</v>
      </c>
      <c r="L2160" s="26">
        <v>416.0</v>
      </c>
      <c r="M2160" s="26" t="s">
        <v>24</v>
      </c>
      <c r="N2160" s="26" t="s">
        <v>130</v>
      </c>
      <c r="O2160" s="27">
        <v>1.7E7</v>
      </c>
      <c r="P2160" s="10">
        <f t="shared" si="2"/>
        <v>0</v>
      </c>
      <c r="Q2160" s="12">
        <f t="shared" si="3"/>
        <v>688237</v>
      </c>
      <c r="R2160" s="26">
        <v>1998.0</v>
      </c>
      <c r="S2160" s="26">
        <v>7.5</v>
      </c>
    </row>
    <row r="2161" ht="15.75" customHeight="1">
      <c r="A2161" s="7" t="s">
        <v>2715</v>
      </c>
      <c r="B2161" s="8" t="str">
        <f>IFERROR(__xludf.DUMMYFUNCTION("REGEXREPLACE(A2161, ""[^0-9a-zA-Z .'Ã]"","""")"),"Barry Sonnenfeld")</f>
        <v>Barry Sonnenfeld</v>
      </c>
      <c r="C2161" s="9">
        <v>96.0</v>
      </c>
      <c r="D2161" s="10">
        <v>7.2077E7</v>
      </c>
      <c r="E2161" s="9" t="s">
        <v>589</v>
      </c>
      <c r="F2161" s="9">
        <f t="shared" si="1"/>
        <v>3</v>
      </c>
      <c r="G2161" s="9" t="s">
        <v>869</v>
      </c>
      <c r="H2161" s="11" t="str">
        <f>IFERROR(__xludf.DUMMYFUNCTION("REGEXREPLACE(G2161, ""[^0-9a-zA-Z .'Ã]"","""")"),"Delroy Lindo")</f>
        <v>Delroy Lindo</v>
      </c>
      <c r="I2161" s="11" t="s">
        <v>7169</v>
      </c>
      <c r="J2161" s="9">
        <v>62986.0</v>
      </c>
      <c r="K2161" s="9" t="s">
        <v>7170</v>
      </c>
      <c r="L2161" s="9">
        <v>150.0</v>
      </c>
      <c r="M2161" s="9" t="s">
        <v>24</v>
      </c>
      <c r="N2161" s="9" t="s">
        <v>25</v>
      </c>
      <c r="O2161" s="10">
        <v>3.025E7</v>
      </c>
      <c r="P2161" s="10">
        <f t="shared" si="2"/>
        <v>41827000</v>
      </c>
      <c r="Q2161" s="12">
        <f t="shared" si="3"/>
        <v>0</v>
      </c>
      <c r="R2161" s="9">
        <v>1995.0</v>
      </c>
      <c r="S2161" s="9">
        <v>6.9</v>
      </c>
    </row>
    <row r="2162" ht="15.75" customHeight="1">
      <c r="A2162" s="7" t="s">
        <v>3711</v>
      </c>
      <c r="B2162" s="8" t="str">
        <f>IFERROR(__xludf.DUMMYFUNCTION("REGEXREPLACE(A2162, ""[^0-9a-zA-Z .'Ã]"","""")"),"Martin Brest")</f>
        <v>Martin Brest</v>
      </c>
      <c r="C2162" s="9">
        <v>94.0</v>
      </c>
      <c r="D2162" s="10">
        <v>2.347605E8</v>
      </c>
      <c r="E2162" s="9" t="s">
        <v>265</v>
      </c>
      <c r="F2162" s="9">
        <f t="shared" si="1"/>
        <v>3</v>
      </c>
      <c r="G2162" s="9" t="s">
        <v>2061</v>
      </c>
      <c r="H2162" s="11" t="str">
        <f>IFERROR(__xludf.DUMMYFUNCTION("REGEXREPLACE(G2162, ""[^0-9a-zA-Z .'Ã]"","""")"),"Judge Reinhold")</f>
        <v>Judge Reinhold</v>
      </c>
      <c r="I2162" s="11" t="s">
        <v>7171</v>
      </c>
      <c r="J2162" s="9">
        <v>126464.0</v>
      </c>
      <c r="K2162" s="9" t="s">
        <v>7172</v>
      </c>
      <c r="L2162" s="9">
        <v>175.0</v>
      </c>
      <c r="M2162" s="9" t="s">
        <v>24</v>
      </c>
      <c r="N2162" s="9" t="s">
        <v>25</v>
      </c>
      <c r="O2162" s="10">
        <v>1.4E7</v>
      </c>
      <c r="P2162" s="10">
        <f t="shared" si="2"/>
        <v>220760500</v>
      </c>
      <c r="Q2162" s="12">
        <f t="shared" si="3"/>
        <v>0</v>
      </c>
      <c r="R2162" s="9">
        <v>1984.0</v>
      </c>
      <c r="S2162" s="9">
        <v>7.3</v>
      </c>
    </row>
    <row r="2163" ht="15.75" customHeight="1">
      <c r="A2163" s="7" t="s">
        <v>469</v>
      </c>
      <c r="B2163" s="8" t="str">
        <f>IFERROR(__xludf.DUMMYFUNCTION("REGEXREPLACE(A2163, ""[^0-9a-zA-Z .'Ã]"","""")"),"Wes Anderson")</f>
        <v>Wes Anderson</v>
      </c>
      <c r="C2163" s="9">
        <v>220.0</v>
      </c>
      <c r="D2163" s="10">
        <v>5.2353636E7</v>
      </c>
      <c r="E2163" s="9" t="s">
        <v>454</v>
      </c>
      <c r="F2163" s="9">
        <f t="shared" si="1"/>
        <v>2</v>
      </c>
      <c r="G2163" s="9" t="s">
        <v>470</v>
      </c>
      <c r="H2163" s="11" t="str">
        <f>IFERROR(__xludf.DUMMYFUNCTION("REGEXREPLACE(G2163, ""[^0-9a-zA-Z .'Ã]"","""")"),"Bill Murray")</f>
        <v>Bill Murray</v>
      </c>
      <c r="I2163" s="11" t="s">
        <v>7173</v>
      </c>
      <c r="J2163" s="9">
        <v>209133.0</v>
      </c>
      <c r="K2163" s="9" t="s">
        <v>7174</v>
      </c>
      <c r="L2163" s="9">
        <v>962.0</v>
      </c>
      <c r="M2163" s="9" t="s">
        <v>24</v>
      </c>
      <c r="N2163" s="9" t="s">
        <v>25</v>
      </c>
      <c r="O2163" s="10">
        <v>2.1E7</v>
      </c>
      <c r="P2163" s="10">
        <f t="shared" si="2"/>
        <v>31353636</v>
      </c>
      <c r="Q2163" s="12">
        <f t="shared" si="3"/>
        <v>0</v>
      </c>
      <c r="R2163" s="9">
        <v>2001.0</v>
      </c>
      <c r="S2163" s="9">
        <v>7.6</v>
      </c>
    </row>
    <row r="2164" ht="15.75" customHeight="1">
      <c r="A2164" s="7" t="s">
        <v>5358</v>
      </c>
      <c r="B2164" s="8" t="str">
        <f>IFERROR(__xludf.DUMMYFUNCTION("REGEXREPLACE(A2164, ""[^0-9a-zA-Z .'Ã]"","""")"),"Steve James")</f>
        <v>Steve James</v>
      </c>
      <c r="C2164" s="9">
        <v>53.0</v>
      </c>
      <c r="D2164" s="10">
        <v>7830611.0</v>
      </c>
      <c r="E2164" s="9" t="s">
        <v>7175</v>
      </c>
      <c r="F2164" s="9">
        <f t="shared" si="1"/>
        <v>3</v>
      </c>
      <c r="G2164" s="9" t="s">
        <v>7176</v>
      </c>
      <c r="H2164" s="11" t="str">
        <f>IFERROR(__xludf.DUMMYFUNCTION("REGEXREPLACE(G2164, ""[^0-9a-zA-Z .'Ã]"","""")"),"William Gates")</f>
        <v>William Gates</v>
      </c>
      <c r="I2164" s="11" t="s">
        <v>7177</v>
      </c>
      <c r="J2164" s="9">
        <v>18980.0</v>
      </c>
      <c r="K2164" s="9" t="s">
        <v>7178</v>
      </c>
      <c r="L2164" s="9">
        <v>74.0</v>
      </c>
      <c r="M2164" s="9" t="s">
        <v>24</v>
      </c>
      <c r="N2164" s="9" t="s">
        <v>25</v>
      </c>
      <c r="O2164" s="10">
        <v>700000.0</v>
      </c>
      <c r="P2164" s="10">
        <f t="shared" si="2"/>
        <v>7130611</v>
      </c>
      <c r="Q2164" s="12">
        <f t="shared" si="3"/>
        <v>0</v>
      </c>
      <c r="R2164" s="9">
        <v>1994.0</v>
      </c>
      <c r="S2164" s="9">
        <v>8.3</v>
      </c>
    </row>
    <row r="2165" ht="15.75" customHeight="1">
      <c r="A2165" s="7" t="s">
        <v>179</v>
      </c>
      <c r="B2165" s="8" t="str">
        <f>IFERROR(__xludf.DUMMYFUNCTION("REGEXREPLACE(A2165, ""[^0-9a-zA-Z .'Ã]"","""")"),"Tim Burton")</f>
        <v>Tim Burton</v>
      </c>
      <c r="C2165" s="9">
        <v>109.0</v>
      </c>
      <c r="D2165" s="10">
        <v>7.3326666E7</v>
      </c>
      <c r="E2165" s="9" t="s">
        <v>615</v>
      </c>
      <c r="F2165" s="9">
        <f t="shared" si="1"/>
        <v>2</v>
      </c>
      <c r="G2165" s="9" t="s">
        <v>5157</v>
      </c>
      <c r="H2165" s="11" t="str">
        <f>IFERROR(__xludf.DUMMYFUNCTION("REGEXREPLACE(G2165, ""[^0-9a-zA-Z .'Ã]"","""")"),"Catherine O'Hara")</f>
        <v>Catherine O'Hara</v>
      </c>
      <c r="I2165" s="11" t="s">
        <v>7179</v>
      </c>
      <c r="J2165" s="9">
        <v>189413.0</v>
      </c>
      <c r="K2165" s="9" t="s">
        <v>7180</v>
      </c>
      <c r="L2165" s="9">
        <v>306.0</v>
      </c>
      <c r="M2165" s="9" t="s">
        <v>24</v>
      </c>
      <c r="N2165" s="9" t="s">
        <v>25</v>
      </c>
      <c r="O2165" s="10">
        <v>1.5E7</v>
      </c>
      <c r="P2165" s="10">
        <f t="shared" si="2"/>
        <v>58326666</v>
      </c>
      <c r="Q2165" s="12">
        <f t="shared" si="3"/>
        <v>0</v>
      </c>
      <c r="R2165" s="9">
        <v>1988.0</v>
      </c>
      <c r="S2165" s="9">
        <v>7.5</v>
      </c>
    </row>
    <row r="2166" ht="15.75" customHeight="1">
      <c r="A2166" s="17" t="s">
        <v>2599</v>
      </c>
      <c r="B2166" s="8" t="str">
        <f>IFERROR(__xludf.DUMMYFUNCTION("REGEXREPLACE(A2166, ""[^0-9a-zA-Z .'Ã]"","""")"),"Richard Linklater")</f>
        <v>Richard Linklater</v>
      </c>
      <c r="C2166" s="18">
        <v>61.0</v>
      </c>
      <c r="D2166" s="19">
        <v>1227508.0</v>
      </c>
      <c r="E2166" s="18" t="s">
        <v>454</v>
      </c>
      <c r="F2166" s="9">
        <f t="shared" si="1"/>
        <v>2</v>
      </c>
      <c r="G2166" s="18" t="s">
        <v>7181</v>
      </c>
      <c r="H2166" s="11" t="str">
        <f>IFERROR(__xludf.DUMMYFUNCTION("REGEXREPLACE(G2166, ""[^0-9a-zA-Z .'Ã]"","""")"),"Tommy Pallotta")</f>
        <v>Tommy Pallotta</v>
      </c>
      <c r="I2166" s="20" t="s">
        <v>7182</v>
      </c>
      <c r="J2166" s="18">
        <v>15103.0</v>
      </c>
      <c r="K2166" s="18" t="s">
        <v>7183</v>
      </c>
      <c r="L2166" s="18">
        <v>80.0</v>
      </c>
      <c r="M2166" s="18" t="s">
        <v>24</v>
      </c>
      <c r="N2166" s="18" t="s">
        <v>25</v>
      </c>
      <c r="O2166" s="19">
        <v>23000.0</v>
      </c>
      <c r="P2166" s="10">
        <f t="shared" si="2"/>
        <v>1204508</v>
      </c>
      <c r="Q2166" s="12">
        <f t="shared" si="3"/>
        <v>0</v>
      </c>
      <c r="R2166" s="18">
        <v>1991.0</v>
      </c>
      <c r="S2166" s="18">
        <v>7.1</v>
      </c>
    </row>
    <row r="2167" ht="15.75" customHeight="1">
      <c r="A2167" s="7" t="s">
        <v>5560</v>
      </c>
      <c r="B2167" s="8" t="str">
        <f>IFERROR(__xludf.DUMMYFUNCTION("REGEXREPLACE(A2167, ""[^0-9a-zA-Z .'Ã]"","""")"),"Kenneth Lonergan")</f>
        <v>Kenneth Lonergan</v>
      </c>
      <c r="C2167" s="9">
        <v>122.0</v>
      </c>
      <c r="D2167" s="10">
        <v>9180275.0</v>
      </c>
      <c r="E2167" s="9" t="s">
        <v>103</v>
      </c>
      <c r="F2167" s="9">
        <f t="shared" si="1"/>
        <v>1</v>
      </c>
      <c r="G2167" s="9" t="s">
        <v>2192</v>
      </c>
      <c r="H2167" s="11" t="str">
        <f>IFERROR(__xludf.DUMMYFUNCTION("REGEXREPLACE(G2167, ""[^0-9a-zA-Z .'Ã]"","""")"),"Matthew Broderick")</f>
        <v>Matthew Broderick</v>
      </c>
      <c r="I2167" s="11" t="s">
        <v>7184</v>
      </c>
      <c r="J2167" s="9">
        <v>22145.0</v>
      </c>
      <c r="K2167" s="9" t="s">
        <v>7185</v>
      </c>
      <c r="L2167" s="9">
        <v>231.0</v>
      </c>
      <c r="M2167" s="9" t="s">
        <v>24</v>
      </c>
      <c r="N2167" s="9" t="s">
        <v>25</v>
      </c>
      <c r="O2167" s="10">
        <v>1200000.0</v>
      </c>
      <c r="P2167" s="10">
        <f t="shared" si="2"/>
        <v>7980275</v>
      </c>
      <c r="Q2167" s="12">
        <f t="shared" si="3"/>
        <v>0</v>
      </c>
      <c r="R2167" s="9">
        <v>2000.0</v>
      </c>
      <c r="S2167" s="9">
        <v>7.7</v>
      </c>
    </row>
    <row r="2168" ht="15.75" customHeight="1">
      <c r="A2168" s="17" t="s">
        <v>1740</v>
      </c>
      <c r="B2168" s="8" t="str">
        <f>IFERROR(__xludf.DUMMYFUNCTION("REGEXREPLACE(A2168, ""[^0-9a-zA-Z .'Ã]"","""")"),"Woody Allen")</f>
        <v>Woody Allen</v>
      </c>
      <c r="C2168" s="18">
        <v>114.0</v>
      </c>
      <c r="D2168" s="19">
        <v>5032496.0</v>
      </c>
      <c r="E2168" s="18" t="s">
        <v>454</v>
      </c>
      <c r="F2168" s="9">
        <f t="shared" si="1"/>
        <v>2</v>
      </c>
      <c r="G2168" s="18" t="s">
        <v>7186</v>
      </c>
      <c r="H2168" s="11" t="str">
        <f>IFERROR(__xludf.DUMMYFUNCTION("REGEXREPLACE(G2168, ""[^0-9a-zA-Z .'Ã]"","""")"),"Melanie Griffith")</f>
        <v>Melanie Griffith</v>
      </c>
      <c r="I2168" s="20" t="s">
        <v>7187</v>
      </c>
      <c r="J2168" s="18">
        <v>20576.0</v>
      </c>
      <c r="K2168" s="18" t="s">
        <v>7188</v>
      </c>
      <c r="L2168" s="18">
        <v>161.0</v>
      </c>
      <c r="M2168" s="18" t="s">
        <v>24</v>
      </c>
      <c r="N2168" s="18" t="s">
        <v>25</v>
      </c>
      <c r="O2168" s="19">
        <v>1.2E7</v>
      </c>
      <c r="P2168" s="10">
        <f t="shared" si="2"/>
        <v>0</v>
      </c>
      <c r="Q2168" s="12">
        <f t="shared" si="3"/>
        <v>6967504</v>
      </c>
      <c r="R2168" s="18">
        <v>1998.0</v>
      </c>
      <c r="S2168" s="18">
        <v>6.3</v>
      </c>
    </row>
    <row r="2169" ht="15.75" customHeight="1">
      <c r="A2169" s="25" t="s">
        <v>5798</v>
      </c>
      <c r="B2169" s="8" t="str">
        <f>IFERROR(__xludf.DUMMYFUNCTION("REGEXREPLACE(A2169, ""[^0-9a-zA-Z .'Ã]"","""")"),"Simon Curtis")</f>
        <v>Simon Curtis</v>
      </c>
      <c r="C2169" s="26">
        <v>386.0</v>
      </c>
      <c r="D2169" s="27">
        <v>1.4597405E7</v>
      </c>
      <c r="E2169" s="26" t="s">
        <v>359</v>
      </c>
      <c r="F2169" s="9">
        <f t="shared" si="1"/>
        <v>2</v>
      </c>
      <c r="G2169" s="26" t="s">
        <v>3604</v>
      </c>
      <c r="H2169" s="11" t="str">
        <f>IFERROR(__xludf.DUMMYFUNCTION("REGEXREPLACE(G2169, ""[^0-9a-zA-Z .'Ã]"","""")"),"Eddie Redmayne")</f>
        <v>Eddie Redmayne</v>
      </c>
      <c r="I2169" s="28" t="s">
        <v>7189</v>
      </c>
      <c r="J2169" s="26">
        <v>71679.0</v>
      </c>
      <c r="K2169" s="26" t="s">
        <v>7190</v>
      </c>
      <c r="L2169" s="26">
        <v>216.0</v>
      </c>
      <c r="M2169" s="26" t="s">
        <v>24</v>
      </c>
      <c r="N2169" s="26" t="s">
        <v>130</v>
      </c>
      <c r="O2169" s="27">
        <v>6400000.0</v>
      </c>
      <c r="P2169" s="10">
        <f t="shared" si="2"/>
        <v>8197405</v>
      </c>
      <c r="Q2169" s="12">
        <f t="shared" si="3"/>
        <v>0</v>
      </c>
      <c r="R2169" s="26">
        <v>2011.0</v>
      </c>
      <c r="S2169" s="26">
        <v>7.0</v>
      </c>
    </row>
    <row r="2170" ht="15.75" customHeight="1">
      <c r="A2170" s="7" t="s">
        <v>5077</v>
      </c>
      <c r="B2170" s="8" t="str">
        <f>IFERROR(__xludf.DUMMYFUNCTION("REGEXREPLACE(A2170, ""[^0-9a-zA-Z .'Ã]"","""")"),"James Wan")</f>
        <v>James Wan</v>
      </c>
      <c r="C2170" s="9">
        <v>287.0</v>
      </c>
      <c r="D2170" s="10">
        <v>5.5153403E7</v>
      </c>
      <c r="E2170" s="9" t="s">
        <v>94</v>
      </c>
      <c r="F2170" s="9">
        <f t="shared" si="1"/>
        <v>3</v>
      </c>
      <c r="G2170" s="9" t="s">
        <v>7191</v>
      </c>
      <c r="H2170" s="11" t="str">
        <f>IFERROR(__xludf.DUMMYFUNCTION("REGEXREPLACE(G2170, ""[^0-9a-zA-Z .'Ã]"","""")"),"Michael Emerson")</f>
        <v>Michael Emerson</v>
      </c>
      <c r="I2170" s="11" t="s">
        <v>7192</v>
      </c>
      <c r="J2170" s="9">
        <v>299127.0</v>
      </c>
      <c r="K2170" s="9" t="s">
        <v>7193</v>
      </c>
      <c r="L2170" s="9">
        <v>1509.0</v>
      </c>
      <c r="M2170" s="9" t="s">
        <v>24</v>
      </c>
      <c r="N2170" s="9" t="s">
        <v>25</v>
      </c>
      <c r="O2170" s="10">
        <v>1200000.0</v>
      </c>
      <c r="P2170" s="10">
        <f t="shared" si="2"/>
        <v>53953403</v>
      </c>
      <c r="Q2170" s="12">
        <f t="shared" si="3"/>
        <v>0</v>
      </c>
      <c r="R2170" s="9">
        <v>2004.0</v>
      </c>
      <c r="S2170" s="9">
        <v>7.7</v>
      </c>
    </row>
    <row r="2171" ht="15.75" customHeight="1">
      <c r="A2171" s="29" t="s">
        <v>3495</v>
      </c>
      <c r="B2171" s="8" t="str">
        <f>IFERROR(__xludf.DUMMYFUNCTION("REGEXREPLACE(A2171, ""[^0-9a-zA-Z .'Ã]"","""")"),"Jon Avnet")</f>
        <v>Jon Avnet</v>
      </c>
      <c r="C2171" s="30">
        <v>34.0</v>
      </c>
      <c r="D2171" s="31">
        <v>5.1045801E7</v>
      </c>
      <c r="E2171" s="30" t="s">
        <v>232</v>
      </c>
      <c r="F2171" s="9">
        <f t="shared" si="1"/>
        <v>2</v>
      </c>
      <c r="G2171" s="30" t="s">
        <v>1981</v>
      </c>
      <c r="H2171" s="11" t="str">
        <f>IFERROR(__xludf.DUMMYFUNCTION("REGEXREPLACE(G2171, ""[^0-9a-zA-Z .'Ã]"","""")"),"Joe Mantegna")</f>
        <v>Joe Mantegna</v>
      </c>
      <c r="I2171" s="32" t="s">
        <v>7194</v>
      </c>
      <c r="J2171" s="30">
        <v>11370.0</v>
      </c>
      <c r="K2171" s="30" t="s">
        <v>7195</v>
      </c>
      <c r="L2171" s="30">
        <v>54.0</v>
      </c>
      <c r="M2171" s="30" t="s">
        <v>24</v>
      </c>
      <c r="N2171" s="30" t="s">
        <v>25</v>
      </c>
      <c r="O2171" s="31">
        <v>6.0E7</v>
      </c>
      <c r="P2171" s="10">
        <f t="shared" si="2"/>
        <v>0</v>
      </c>
      <c r="Q2171" s="12">
        <f t="shared" si="3"/>
        <v>8954199</v>
      </c>
      <c r="R2171" s="30">
        <v>1996.0</v>
      </c>
      <c r="S2171" s="30">
        <v>6.1</v>
      </c>
    </row>
    <row r="2172" ht="15.75" customHeight="1">
      <c r="A2172" s="21" t="s">
        <v>7196</v>
      </c>
      <c r="B2172" s="8" t="str">
        <f>IFERROR(__xludf.DUMMYFUNCTION("REGEXREPLACE(A2172, ""[^0-9a-zA-Z .'Ã]"","""")"),"Jamal Hill")</f>
        <v>Jamal Hill</v>
      </c>
      <c r="C2172" s="22">
        <v>10.0</v>
      </c>
      <c r="D2172" s="23">
        <v>444044.0</v>
      </c>
      <c r="E2172" s="22" t="s">
        <v>103</v>
      </c>
      <c r="F2172" s="9">
        <f t="shared" si="1"/>
        <v>1</v>
      </c>
      <c r="G2172" s="22" t="s">
        <v>7197</v>
      </c>
      <c r="H2172" s="11" t="str">
        <f>IFERROR(__xludf.DUMMYFUNCTION("REGEXREPLACE(G2172, ""[^0-9a-zA-Z .'Ã]"","""")"),"Logan Browning")</f>
        <v>Logan Browning</v>
      </c>
      <c r="I2172" s="24" t="s">
        <v>7198</v>
      </c>
      <c r="J2172" s="22">
        <v>744.0</v>
      </c>
      <c r="K2172" s="22" t="s">
        <v>7199</v>
      </c>
      <c r="L2172" s="22">
        <v>19.0</v>
      </c>
      <c r="M2172" s="22" t="s">
        <v>24</v>
      </c>
      <c r="N2172" s="22" t="s">
        <v>25</v>
      </c>
      <c r="O2172" s="23">
        <v>1900000.0</v>
      </c>
      <c r="P2172" s="10">
        <f t="shared" si="2"/>
        <v>0</v>
      </c>
      <c r="Q2172" s="12">
        <f t="shared" si="3"/>
        <v>1455956</v>
      </c>
      <c r="R2172" s="22">
        <v>2015.0</v>
      </c>
      <c r="S2172" s="22">
        <v>7.2</v>
      </c>
    </row>
    <row r="2173" ht="15.75" customHeight="1">
      <c r="A2173" s="29" t="s">
        <v>1282</v>
      </c>
      <c r="B2173" s="8" t="str">
        <f>IFERROR(__xludf.DUMMYFUNCTION("REGEXREPLACE(A2173, ""[^0-9a-zA-Z .'Ã]"","""")"),"George Lucas")</f>
        <v>George Lucas</v>
      </c>
      <c r="C2173" s="30">
        <v>284.0</v>
      </c>
      <c r="D2173" s="31">
        <v>3.10675583E8</v>
      </c>
      <c r="E2173" s="30" t="s">
        <v>1283</v>
      </c>
      <c r="F2173" s="9">
        <f t="shared" si="1"/>
        <v>4</v>
      </c>
      <c r="G2173" s="30" t="s">
        <v>1088</v>
      </c>
      <c r="H2173" s="11" t="str">
        <f>IFERROR(__xludf.DUMMYFUNCTION("REGEXREPLACE(G2173, ""[^0-9a-zA-Z .'Ã]"","""")"),"Natalie Portman")</f>
        <v>Natalie Portman</v>
      </c>
      <c r="I2173" s="32" t="s">
        <v>7200</v>
      </c>
      <c r="J2173" s="30">
        <v>464310.0</v>
      </c>
      <c r="K2173" s="30" t="s">
        <v>7201</v>
      </c>
      <c r="L2173" s="30">
        <v>3516.0</v>
      </c>
      <c r="M2173" s="30" t="s">
        <v>24</v>
      </c>
      <c r="N2173" s="30" t="s">
        <v>25</v>
      </c>
      <c r="O2173" s="31">
        <v>1.15E8</v>
      </c>
      <c r="P2173" s="10">
        <f t="shared" si="2"/>
        <v>195675583</v>
      </c>
      <c r="Q2173" s="12">
        <f t="shared" si="3"/>
        <v>0</v>
      </c>
      <c r="R2173" s="30">
        <v>2002.0</v>
      </c>
      <c r="S2173" s="30">
        <v>6.7</v>
      </c>
    </row>
    <row r="2174" ht="15.75" customHeight="1">
      <c r="A2174" s="13" t="s">
        <v>536</v>
      </c>
      <c r="B2174" s="8" t="str">
        <f>IFERROR(__xludf.DUMMYFUNCTION("REGEXREPLACE(A2174, ""[^0-9a-zA-Z .'Ã]"","""")"),"Robert Zemeckis")</f>
        <v>Robert Zemeckis</v>
      </c>
      <c r="C2174" s="14">
        <v>149.0</v>
      </c>
      <c r="D2174" s="15">
        <v>3.29691196E8</v>
      </c>
      <c r="E2174" s="14" t="s">
        <v>454</v>
      </c>
      <c r="F2174" s="9">
        <f t="shared" si="1"/>
        <v>2</v>
      </c>
      <c r="G2174" s="14" t="s">
        <v>461</v>
      </c>
      <c r="H2174" s="11" t="str">
        <f>IFERROR(__xludf.DUMMYFUNCTION("REGEXREPLACE(G2174, ""[^0-9a-zA-Z .'Ã]"","""")"),"Tom Hanks")</f>
        <v>Tom Hanks</v>
      </c>
      <c r="I2174" s="16" t="s">
        <v>7202</v>
      </c>
      <c r="J2174" s="14">
        <v>1251222.0</v>
      </c>
      <c r="K2174" s="14" t="s">
        <v>7203</v>
      </c>
      <c r="L2174" s="14">
        <v>1398.0</v>
      </c>
      <c r="M2174" s="14" t="s">
        <v>24</v>
      </c>
      <c r="N2174" s="14" t="s">
        <v>25</v>
      </c>
      <c r="O2174" s="15">
        <v>5.5E7</v>
      </c>
      <c r="P2174" s="10">
        <f t="shared" si="2"/>
        <v>274691196</v>
      </c>
      <c r="Q2174" s="12">
        <f t="shared" si="3"/>
        <v>0</v>
      </c>
      <c r="R2174" s="14">
        <v>1994.0</v>
      </c>
      <c r="S2174" s="14">
        <v>8.8</v>
      </c>
    </row>
    <row r="2175" ht="15.75" customHeight="1">
      <c r="A2175" s="13" t="s">
        <v>3185</v>
      </c>
      <c r="B2175" s="8" t="str">
        <f>IFERROR(__xludf.DUMMYFUNCTION("REGEXREPLACE(A2175, ""[^0-9a-zA-Z .'Ã]"","""")"),"Jason Reitman")</f>
        <v>Jason Reitman</v>
      </c>
      <c r="C2175" s="14">
        <v>239.0</v>
      </c>
      <c r="D2175" s="15">
        <v>2.4792061E7</v>
      </c>
      <c r="E2175" s="14" t="s">
        <v>454</v>
      </c>
      <c r="F2175" s="9">
        <f t="shared" si="1"/>
        <v>2</v>
      </c>
      <c r="G2175" s="14" t="s">
        <v>878</v>
      </c>
      <c r="H2175" s="11" t="str">
        <f>IFERROR(__xludf.DUMMYFUNCTION("REGEXREPLACE(G2175, ""[^0-9a-zA-Z .'Ã]"","""")"),"J.K. Simmons")</f>
        <v>J.K. Simmons</v>
      </c>
      <c r="I2175" s="16" t="s">
        <v>7204</v>
      </c>
      <c r="J2175" s="14">
        <v>191998.0</v>
      </c>
      <c r="K2175" s="14" t="s">
        <v>7205</v>
      </c>
      <c r="L2175" s="14">
        <v>323.0</v>
      </c>
      <c r="M2175" s="14" t="s">
        <v>24</v>
      </c>
      <c r="N2175" s="14" t="s">
        <v>25</v>
      </c>
      <c r="O2175" s="15">
        <v>6500000.0</v>
      </c>
      <c r="P2175" s="10">
        <f t="shared" si="2"/>
        <v>18292061</v>
      </c>
      <c r="Q2175" s="12">
        <f t="shared" si="3"/>
        <v>0</v>
      </c>
      <c r="R2175" s="14">
        <v>2005.0</v>
      </c>
      <c r="S2175" s="14">
        <v>7.6</v>
      </c>
    </row>
    <row r="2176" ht="15.75" customHeight="1">
      <c r="A2176" s="21" t="s">
        <v>7206</v>
      </c>
      <c r="B2176" s="8" t="str">
        <f>IFERROR(__xludf.DUMMYFUNCTION("REGEXREPLACE(A2176, ""[^0-9a-zA-Z .'Ã]"","""")"),"Leon Ichaso")</f>
        <v>Leon Ichaso</v>
      </c>
      <c r="C2176" s="22">
        <v>14.0</v>
      </c>
      <c r="D2176" s="23">
        <v>1.8272447E7</v>
      </c>
      <c r="E2176" s="22" t="s">
        <v>369</v>
      </c>
      <c r="F2176" s="9">
        <f t="shared" si="1"/>
        <v>2</v>
      </c>
      <c r="G2176" s="22" t="s">
        <v>7076</v>
      </c>
      <c r="H2176" s="11" t="str">
        <f>IFERROR(__xludf.DUMMYFUNCTION("REGEXREPLACE(G2176, ""[^0-9a-zA-Z .'Ã]"","""")"),"Khandi Alexander")</f>
        <v>Khandi Alexander</v>
      </c>
      <c r="I2176" s="24" t="s">
        <v>7207</v>
      </c>
      <c r="J2176" s="22">
        <v>3119.0</v>
      </c>
      <c r="K2176" s="22" t="s">
        <v>7208</v>
      </c>
      <c r="L2176" s="22">
        <v>35.0</v>
      </c>
      <c r="M2176" s="22" t="s">
        <v>24</v>
      </c>
      <c r="N2176" s="22" t="s">
        <v>25</v>
      </c>
      <c r="O2176" s="23">
        <v>1.0E7</v>
      </c>
      <c r="P2176" s="10">
        <f t="shared" si="2"/>
        <v>8272447</v>
      </c>
      <c r="Q2176" s="12">
        <f t="shared" si="3"/>
        <v>0</v>
      </c>
      <c r="R2176" s="22">
        <v>1993.0</v>
      </c>
      <c r="S2176" s="22">
        <v>5.9</v>
      </c>
    </row>
    <row r="2177" ht="15.75" customHeight="1">
      <c r="A2177" s="21" t="s">
        <v>1282</v>
      </c>
      <c r="B2177" s="8" t="str">
        <f>IFERROR(__xludf.DUMMYFUNCTION("REGEXREPLACE(A2177, ""[^0-9a-zA-Z .'Ã]"","""")"),"George Lucas")</f>
        <v>George Lucas</v>
      </c>
      <c r="C2177" s="22">
        <v>320.0</v>
      </c>
      <c r="D2177" s="23">
        <v>4.74544677E8</v>
      </c>
      <c r="E2177" s="22" t="s">
        <v>1283</v>
      </c>
      <c r="F2177" s="9">
        <f t="shared" si="1"/>
        <v>4</v>
      </c>
      <c r="G2177" s="22" t="s">
        <v>1088</v>
      </c>
      <c r="H2177" s="11" t="str">
        <f>IFERROR(__xludf.DUMMYFUNCTION("REGEXREPLACE(G2177, ""[^0-9a-zA-Z .'Ã]"","""")"),"Natalie Portman")</f>
        <v>Natalie Portman</v>
      </c>
      <c r="I2177" s="24" t="s">
        <v>7209</v>
      </c>
      <c r="J2177" s="22">
        <v>534658.0</v>
      </c>
      <c r="K2177" s="22" t="s">
        <v>7210</v>
      </c>
      <c r="L2177" s="22">
        <v>3597.0</v>
      </c>
      <c r="M2177" s="22" t="s">
        <v>24</v>
      </c>
      <c r="N2177" s="22" t="s">
        <v>25</v>
      </c>
      <c r="O2177" s="23">
        <v>1.15E8</v>
      </c>
      <c r="P2177" s="10">
        <f t="shared" si="2"/>
        <v>359544677</v>
      </c>
      <c r="Q2177" s="12">
        <f t="shared" si="3"/>
        <v>0</v>
      </c>
      <c r="R2177" s="22">
        <v>1999.0</v>
      </c>
      <c r="S2177" s="22">
        <v>6.5</v>
      </c>
    </row>
    <row r="2178" ht="15.75" customHeight="1">
      <c r="A2178" s="29" t="s">
        <v>7211</v>
      </c>
      <c r="B2178" s="8" t="str">
        <f>IFERROR(__xludf.DUMMYFUNCTION("REGEXREPLACE(A2178, ""[^0-9a-zA-Z -.'Ã]"","""")"),"Dominique Othenin-Girard")</f>
        <v>Dominique Othenin-Girard</v>
      </c>
      <c r="C2178" s="30">
        <v>137.0</v>
      </c>
      <c r="D2178" s="31">
        <v>1.1642254E7</v>
      </c>
      <c r="E2178" s="30" t="s">
        <v>306</v>
      </c>
      <c r="F2178" s="9">
        <f t="shared" si="1"/>
        <v>2</v>
      </c>
      <c r="G2178" s="30" t="s">
        <v>1616</v>
      </c>
      <c r="H2178" s="11" t="str">
        <f>IFERROR(__xludf.DUMMYFUNCTION("REGEXREPLACE(G2178, ""[^0-9a-zA-Z .'Ã]"","""")"),"Donald Pleasence")</f>
        <v>Donald Pleasence</v>
      </c>
      <c r="I2178" s="32" t="s">
        <v>7212</v>
      </c>
      <c r="J2178" s="30">
        <v>22929.0</v>
      </c>
      <c r="K2178" s="30" t="s">
        <v>7213</v>
      </c>
      <c r="L2178" s="30">
        <v>287.0</v>
      </c>
      <c r="M2178" s="30" t="s">
        <v>24</v>
      </c>
      <c r="N2178" s="30" t="s">
        <v>25</v>
      </c>
      <c r="O2178" s="31">
        <v>3000000.0</v>
      </c>
      <c r="P2178" s="10">
        <f t="shared" si="2"/>
        <v>8642254</v>
      </c>
      <c r="Q2178" s="12">
        <f t="shared" si="3"/>
        <v>0</v>
      </c>
      <c r="R2178" s="30">
        <v>1989.0</v>
      </c>
      <c r="S2178" s="30">
        <v>5.2</v>
      </c>
    </row>
    <row r="2179" ht="15.75" customHeight="1">
      <c r="A2179" s="7" t="s">
        <v>2977</v>
      </c>
      <c r="B2179" s="8" t="str">
        <f>IFERROR(__xludf.DUMMYFUNCTION("REGEXREPLACE(A2179, ""[^0-9a-zA-Z .'Ã]"","""")"),"Iain Softley")</f>
        <v>Iain Softley</v>
      </c>
      <c r="C2179" s="9">
        <v>161.0</v>
      </c>
      <c r="D2179" s="10">
        <v>1.7281832E7</v>
      </c>
      <c r="E2179" s="9" t="s">
        <v>1252</v>
      </c>
      <c r="F2179" s="9">
        <f t="shared" si="1"/>
        <v>3</v>
      </c>
      <c r="G2179" s="9" t="s">
        <v>21</v>
      </c>
      <c r="H2179" s="11" t="str">
        <f>IFERROR(__xludf.DUMMYFUNCTION("REGEXREPLACE(G2179, ""[^0-9a-zA-Z .'Ã]"","""")"),"Brendan Fraser")</f>
        <v>Brendan Fraser</v>
      </c>
      <c r="I2179" s="11" t="s">
        <v>7214</v>
      </c>
      <c r="J2179" s="9">
        <v>60232.0</v>
      </c>
      <c r="K2179" s="9" t="s">
        <v>7215</v>
      </c>
      <c r="L2179" s="9">
        <v>110.0</v>
      </c>
      <c r="M2179" s="9" t="s">
        <v>24</v>
      </c>
      <c r="N2179" s="9" t="s">
        <v>173</v>
      </c>
      <c r="O2179" s="10">
        <v>6.0E7</v>
      </c>
      <c r="P2179" s="10">
        <f t="shared" si="2"/>
        <v>0</v>
      </c>
      <c r="Q2179" s="12">
        <f t="shared" si="3"/>
        <v>42718168</v>
      </c>
      <c r="R2179" s="9">
        <v>2008.0</v>
      </c>
      <c r="S2179" s="9">
        <v>6.1</v>
      </c>
    </row>
    <row r="2180" ht="15.75" customHeight="1">
      <c r="A2180" s="21" t="s">
        <v>3789</v>
      </c>
      <c r="B2180" s="8" t="str">
        <f>IFERROR(__xludf.DUMMYFUNCTION("REGEXREPLACE(A2180, ""[^0-9a-zA-Z .'Ã]"","""")"),"Seth Gordon")</f>
        <v>Seth Gordon</v>
      </c>
      <c r="C2180" s="22">
        <v>141.0</v>
      </c>
      <c r="D2180" s="23">
        <v>1.20136047E8</v>
      </c>
      <c r="E2180" s="22" t="s">
        <v>159</v>
      </c>
      <c r="F2180" s="9">
        <f t="shared" si="1"/>
        <v>3</v>
      </c>
      <c r="G2180" s="22" t="s">
        <v>505</v>
      </c>
      <c r="H2180" s="11" t="str">
        <f>IFERROR(__xludf.DUMMYFUNCTION("REGEXREPLACE(G2180, ""[^0-9a-zA-Z .'Ã]"","""")"),"Jon Favreau")</f>
        <v>Jon Favreau</v>
      </c>
      <c r="I2180" s="24" t="s">
        <v>7216</v>
      </c>
      <c r="J2180" s="22">
        <v>48500.0</v>
      </c>
      <c r="K2180" s="22" t="s">
        <v>7217</v>
      </c>
      <c r="L2180" s="22">
        <v>124.0</v>
      </c>
      <c r="M2180" s="22" t="s">
        <v>24</v>
      </c>
      <c r="N2180" s="22" t="s">
        <v>173</v>
      </c>
      <c r="O2180" s="23">
        <v>8.0E7</v>
      </c>
      <c r="P2180" s="10">
        <f t="shared" si="2"/>
        <v>40136047</v>
      </c>
      <c r="Q2180" s="12">
        <f t="shared" si="3"/>
        <v>0</v>
      </c>
      <c r="R2180" s="22">
        <v>2008.0</v>
      </c>
      <c r="S2180" s="22">
        <v>5.6</v>
      </c>
    </row>
    <row r="2181" ht="15.75" customHeight="1">
      <c r="A2181" s="7" t="s">
        <v>760</v>
      </c>
      <c r="B2181" s="8" t="str">
        <f>IFERROR(__xludf.DUMMYFUNCTION("REGEXREPLACE(A2181, ""[^0-9a-zA-Z .'Ã]"","""")"),"Martin Scorsese")</f>
        <v>Martin Scorsese</v>
      </c>
      <c r="C2181" s="9">
        <v>267.0</v>
      </c>
      <c r="D2181" s="10">
        <v>1.02608827E8</v>
      </c>
      <c r="E2181" s="9" t="s">
        <v>359</v>
      </c>
      <c r="F2181" s="9">
        <f t="shared" si="1"/>
        <v>2</v>
      </c>
      <c r="G2181" s="9" t="s">
        <v>1351</v>
      </c>
      <c r="H2181" s="11" t="str">
        <f>IFERROR(__xludf.DUMMYFUNCTION("REGEXREPLACE(G2181, ""[^0-9a-zA-Z .'Ã]"","""")"),"Leonardo DiCaprio")</f>
        <v>Leonardo DiCaprio</v>
      </c>
      <c r="I2181" s="11" t="s">
        <v>7218</v>
      </c>
      <c r="J2181" s="9">
        <v>264318.0</v>
      </c>
      <c r="K2181" s="9" t="s">
        <v>7219</v>
      </c>
      <c r="L2181" s="9">
        <v>799.0</v>
      </c>
      <c r="M2181" s="9" t="s">
        <v>24</v>
      </c>
      <c r="N2181" s="9" t="s">
        <v>25</v>
      </c>
      <c r="O2181" s="10">
        <v>1.1E8</v>
      </c>
      <c r="P2181" s="10">
        <f t="shared" si="2"/>
        <v>0</v>
      </c>
      <c r="Q2181" s="12">
        <f t="shared" si="3"/>
        <v>7391173</v>
      </c>
      <c r="R2181" s="9">
        <v>2004.0</v>
      </c>
      <c r="S2181" s="9">
        <v>7.5</v>
      </c>
    </row>
    <row r="2182" ht="15.75" customHeight="1">
      <c r="A2182" s="7" t="s">
        <v>3687</v>
      </c>
      <c r="B2182" s="8" t="str">
        <f>IFERROR(__xludf.DUMMYFUNCTION("REGEXREPLACE(A2182, ""[^0-9a-zA-Z .'Ã]"","""")"),"Ben Falcone")</f>
        <v>Ben Falcone</v>
      </c>
      <c r="C2182" s="9">
        <v>154.0</v>
      </c>
      <c r="D2182" s="10">
        <v>6.3034755E7</v>
      </c>
      <c r="E2182" s="9" t="s">
        <v>137</v>
      </c>
      <c r="F2182" s="9">
        <f t="shared" si="1"/>
        <v>1</v>
      </c>
      <c r="G2182" s="9" t="s">
        <v>349</v>
      </c>
      <c r="H2182" s="11" t="str">
        <f>IFERROR(__xludf.DUMMYFUNCTION("REGEXREPLACE(G2182, ""[^0-9a-zA-Z .'Ã]"","""")"),"Peter Dinklage")</f>
        <v>Peter Dinklage</v>
      </c>
      <c r="I2182" s="11" t="s">
        <v>7220</v>
      </c>
      <c r="J2182" s="9">
        <v>16984.0</v>
      </c>
      <c r="K2182" s="9" t="s">
        <v>7221</v>
      </c>
      <c r="L2182" s="9">
        <v>96.0</v>
      </c>
      <c r="M2182" s="9" t="s">
        <v>24</v>
      </c>
      <c r="N2182" s="9" t="s">
        <v>25</v>
      </c>
      <c r="O2182" s="10">
        <v>2.9E7</v>
      </c>
      <c r="P2182" s="10">
        <f t="shared" si="2"/>
        <v>34034755</v>
      </c>
      <c r="Q2182" s="12">
        <f t="shared" si="3"/>
        <v>0</v>
      </c>
      <c r="R2182" s="9">
        <v>2016.0</v>
      </c>
      <c r="S2182" s="9">
        <v>5.3</v>
      </c>
    </row>
    <row r="2183" ht="15.75" customHeight="1">
      <c r="A2183" s="17" t="s">
        <v>7222</v>
      </c>
      <c r="B2183" s="8" t="str">
        <f>IFERROR(__xludf.DUMMYFUNCTION("REGEXREPLACE(A2183, ""[^0-9a-zA-Z -.'Ã]"","""")"),"Cedric Nicolas-Troyan")</f>
        <v>Cedric Nicolas-Troyan</v>
      </c>
      <c r="C2183" s="18">
        <v>231.0</v>
      </c>
      <c r="D2183" s="19">
        <v>4.795202E7</v>
      </c>
      <c r="E2183" s="18" t="s">
        <v>1029</v>
      </c>
      <c r="F2183" s="9">
        <f t="shared" si="1"/>
        <v>4</v>
      </c>
      <c r="G2183" s="18" t="s">
        <v>1439</v>
      </c>
      <c r="H2183" s="11" t="str">
        <f>IFERROR(__xludf.DUMMYFUNCTION("REGEXREPLACE(G2183, ""[^0-9a-zA-Z .'Ã]"","""")"),"Chris Hemsworth")</f>
        <v>Chris Hemsworth</v>
      </c>
      <c r="I2183" s="20" t="s">
        <v>7223</v>
      </c>
      <c r="J2183" s="18">
        <v>37750.0</v>
      </c>
      <c r="K2183" s="18" t="s">
        <v>7224</v>
      </c>
      <c r="L2183" s="18">
        <v>134.0</v>
      </c>
      <c r="M2183" s="18" t="s">
        <v>24</v>
      </c>
      <c r="N2183" s="18" t="s">
        <v>25</v>
      </c>
      <c r="O2183" s="19">
        <v>1.15E8</v>
      </c>
      <c r="P2183" s="10">
        <f t="shared" si="2"/>
        <v>0</v>
      </c>
      <c r="Q2183" s="12">
        <f t="shared" si="3"/>
        <v>67047980</v>
      </c>
      <c r="R2183" s="18">
        <v>2016.0</v>
      </c>
      <c r="S2183" s="18">
        <v>6.1</v>
      </c>
    </row>
    <row r="2184" ht="15.75" customHeight="1">
      <c r="A2184" s="21" t="s">
        <v>635</v>
      </c>
      <c r="B2184" s="8" t="str">
        <f>IFERROR(__xludf.DUMMYFUNCTION("REGEXREPLACE(A2184, ""[^0-9a-zA-Z .'Ã]"","""")"),"Steven Spielberg")</f>
        <v>Steven Spielberg</v>
      </c>
      <c r="C2184" s="22">
        <v>459.0</v>
      </c>
      <c r="D2184" s="23">
        <v>7.2306065E7</v>
      </c>
      <c r="E2184" s="22" t="s">
        <v>960</v>
      </c>
      <c r="F2184" s="9">
        <f t="shared" si="1"/>
        <v>3</v>
      </c>
      <c r="G2184" s="22" t="s">
        <v>461</v>
      </c>
      <c r="H2184" s="11" t="str">
        <f>IFERROR(__xludf.DUMMYFUNCTION("REGEXREPLACE(G2184, ""[^0-9a-zA-Z .'Ã]"","""")"),"Tom Hanks")</f>
        <v>Tom Hanks</v>
      </c>
      <c r="I2184" s="24" t="s">
        <v>7225</v>
      </c>
      <c r="J2184" s="22">
        <v>178118.0</v>
      </c>
      <c r="K2184" s="22" t="s">
        <v>7226</v>
      </c>
      <c r="L2184" s="22">
        <v>355.0</v>
      </c>
      <c r="M2184" s="22" t="s">
        <v>24</v>
      </c>
      <c r="N2184" s="22" t="s">
        <v>25</v>
      </c>
      <c r="O2184" s="23">
        <v>4.0E7</v>
      </c>
      <c r="P2184" s="10">
        <f t="shared" si="2"/>
        <v>32306065</v>
      </c>
      <c r="Q2184" s="12">
        <f t="shared" si="3"/>
        <v>0</v>
      </c>
      <c r="R2184" s="22">
        <v>2015.0</v>
      </c>
      <c r="S2184" s="22">
        <v>7.6</v>
      </c>
    </row>
    <row r="2185" ht="15.75" customHeight="1">
      <c r="A2185" s="7" t="s">
        <v>7227</v>
      </c>
      <c r="B2185" s="8" t="str">
        <f>IFERROR(__xludf.DUMMYFUNCTION("REGEXREPLACE(A2185, ""[^0-9a-zA-Z -.'Ã]"","""")"),"Ed Gass-Donnelly")</f>
        <v>Ed Gass-Donnelly</v>
      </c>
      <c r="C2185" s="9">
        <v>161.0</v>
      </c>
      <c r="D2185" s="10">
        <v>1.5152879E7</v>
      </c>
      <c r="E2185" s="9" t="s">
        <v>1840</v>
      </c>
      <c r="F2185" s="9">
        <f t="shared" si="1"/>
        <v>3</v>
      </c>
      <c r="G2185" s="9" t="s">
        <v>1471</v>
      </c>
      <c r="H2185" s="11" t="str">
        <f>IFERROR(__xludf.DUMMYFUNCTION("REGEXREPLACE(G2185, ""[^0-9a-zA-Z .'Ã]"","""")"),"Muse Watson")</f>
        <v>Muse Watson</v>
      </c>
      <c r="I2185" s="11" t="s">
        <v>7228</v>
      </c>
      <c r="J2185" s="9">
        <v>13506.0</v>
      </c>
      <c r="K2185" s="9" t="s">
        <v>7229</v>
      </c>
      <c r="L2185" s="9">
        <v>68.0</v>
      </c>
      <c r="M2185" s="9" t="s">
        <v>24</v>
      </c>
      <c r="N2185" s="9" t="s">
        <v>608</v>
      </c>
      <c r="O2185" s="10">
        <v>5000000.0</v>
      </c>
      <c r="P2185" s="10">
        <f t="shared" si="2"/>
        <v>10152879</v>
      </c>
      <c r="Q2185" s="12">
        <f t="shared" si="3"/>
        <v>0</v>
      </c>
      <c r="R2185" s="9">
        <v>2013.0</v>
      </c>
      <c r="S2185" s="9">
        <v>4.0</v>
      </c>
    </row>
    <row r="2186" ht="15.75" customHeight="1">
      <c r="A2186" s="7" t="s">
        <v>532</v>
      </c>
      <c r="B2186" s="8" t="str">
        <f>IFERROR(__xludf.DUMMYFUNCTION("REGEXREPLACE(A2186, ""[^0-9a-zA-Z .'Ã]"","""")"),"Donald Petrie")</f>
        <v>Donald Petrie</v>
      </c>
      <c r="C2186" s="9">
        <v>49.0</v>
      </c>
      <c r="D2186" s="10">
        <v>3.6830057E7</v>
      </c>
      <c r="E2186" s="9" t="s">
        <v>5284</v>
      </c>
      <c r="F2186" s="9">
        <f t="shared" si="1"/>
        <v>3</v>
      </c>
      <c r="G2186" s="9" t="s">
        <v>7230</v>
      </c>
      <c r="H2186" s="11" t="str">
        <f>IFERROR(__xludf.DUMMYFUNCTION("REGEXREPLACE(G2186, ""[^0-9a-zA-Z .'Ã]"","""")"),"Steven Anthony Lawrence")</f>
        <v>Steven Anthony Lawrence</v>
      </c>
      <c r="I2186" s="11" t="s">
        <v>7231</v>
      </c>
      <c r="J2186" s="9">
        <v>10883.0</v>
      </c>
      <c r="K2186" s="9" t="s">
        <v>7232</v>
      </c>
      <c r="L2186" s="9">
        <v>73.0</v>
      </c>
      <c r="M2186" s="9" t="s">
        <v>24</v>
      </c>
      <c r="N2186" s="9" t="s">
        <v>25</v>
      </c>
      <c r="O2186" s="10">
        <v>6.5E7</v>
      </c>
      <c r="P2186" s="10">
        <f t="shared" si="2"/>
        <v>0</v>
      </c>
      <c r="Q2186" s="12">
        <f t="shared" si="3"/>
        <v>28169943</v>
      </c>
      <c r="R2186" s="9">
        <v>1999.0</v>
      </c>
      <c r="S2186" s="9">
        <v>4.9</v>
      </c>
    </row>
    <row r="2187" ht="15.75" customHeight="1">
      <c r="A2187" s="7" t="s">
        <v>3740</v>
      </c>
      <c r="B2187" s="8" t="str">
        <f>IFERROR(__xludf.DUMMYFUNCTION("REGEXREPLACE(A2187, ""[^0-9a-zA-Z .'Ã]"","""")"),"Sam Mendes")</f>
        <v>Sam Mendes</v>
      </c>
      <c r="C2187" s="9">
        <v>226.0</v>
      </c>
      <c r="D2187" s="10">
        <v>1.04054514E8</v>
      </c>
      <c r="E2187" s="9" t="s">
        <v>113</v>
      </c>
      <c r="F2187" s="9">
        <f t="shared" si="1"/>
        <v>3</v>
      </c>
      <c r="G2187" s="9" t="s">
        <v>461</v>
      </c>
      <c r="H2187" s="11" t="str">
        <f>IFERROR(__xludf.DUMMYFUNCTION("REGEXREPLACE(G2187, ""[^0-9a-zA-Z .'Ã]"","""")"),"Tom Hanks")</f>
        <v>Tom Hanks</v>
      </c>
      <c r="I2187" s="11" t="s">
        <v>7233</v>
      </c>
      <c r="J2187" s="9">
        <v>200359.0</v>
      </c>
      <c r="K2187" s="9" t="s">
        <v>7234</v>
      </c>
      <c r="L2187" s="9">
        <v>1009.0</v>
      </c>
      <c r="M2187" s="9" t="s">
        <v>24</v>
      </c>
      <c r="N2187" s="9" t="s">
        <v>25</v>
      </c>
      <c r="O2187" s="10">
        <v>8.0E7</v>
      </c>
      <c r="P2187" s="10">
        <f t="shared" si="2"/>
        <v>24054514</v>
      </c>
      <c r="Q2187" s="12">
        <f t="shared" si="3"/>
        <v>0</v>
      </c>
      <c r="R2187" s="9">
        <v>2002.0</v>
      </c>
      <c r="S2187" s="9">
        <v>7.7</v>
      </c>
    </row>
    <row r="2188" ht="15.75" customHeight="1">
      <c r="A2188" s="7" t="s">
        <v>7235</v>
      </c>
      <c r="B2188" s="8" t="str">
        <f>IFERROR(__xludf.DUMMYFUNCTION("REGEXREPLACE(A2188, ""[^0-9a-zA-Z .'Ã]"","""")"),"Bryan Barber")</f>
        <v>Bryan Barber</v>
      </c>
      <c r="C2188" s="9">
        <v>81.0</v>
      </c>
      <c r="D2188" s="10">
        <v>1.2549485E7</v>
      </c>
      <c r="E2188" s="9" t="s">
        <v>7236</v>
      </c>
      <c r="F2188" s="9">
        <f t="shared" si="1"/>
        <v>4</v>
      </c>
      <c r="G2188" s="9" t="s">
        <v>2695</v>
      </c>
      <c r="H2188" s="11" t="str">
        <f>IFERROR(__xludf.DUMMYFUNCTION("REGEXREPLACE(G2188, ""[^0-9a-zA-Z .'Ã]"","""")"),"Cicely Tyson")</f>
        <v>Cicely Tyson</v>
      </c>
      <c r="I2188" s="11" t="s">
        <v>7237</v>
      </c>
      <c r="J2188" s="9">
        <v>4603.0</v>
      </c>
      <c r="K2188" s="9" t="s">
        <v>7238</v>
      </c>
      <c r="L2188" s="9">
        <v>91.0</v>
      </c>
      <c r="M2188" s="9" t="s">
        <v>24</v>
      </c>
      <c r="N2188" s="9" t="s">
        <v>25</v>
      </c>
      <c r="O2188" s="10">
        <v>1.5E7</v>
      </c>
      <c r="P2188" s="10">
        <f t="shared" si="2"/>
        <v>0</v>
      </c>
      <c r="Q2188" s="12">
        <f t="shared" si="3"/>
        <v>2450515</v>
      </c>
      <c r="R2188" s="9">
        <v>2006.0</v>
      </c>
      <c r="S2188" s="9">
        <v>6.2</v>
      </c>
    </row>
    <row r="2189" ht="15.75" customHeight="1">
      <c r="A2189" s="21" t="s">
        <v>3916</v>
      </c>
      <c r="B2189" s="8" t="str">
        <f>IFERROR(__xludf.DUMMYFUNCTION("REGEXREPLACE(A2189, ""[^0-9a-zA-Z .'Ã]"","""")"),"Brad Bird")</f>
        <v>Brad Bird</v>
      </c>
      <c r="C2189" s="22">
        <v>162.0</v>
      </c>
      <c r="D2189" s="23">
        <v>2.3159305E7</v>
      </c>
      <c r="E2189" s="22" t="s">
        <v>7239</v>
      </c>
      <c r="F2189" s="9">
        <f t="shared" si="1"/>
        <v>7</v>
      </c>
      <c r="G2189" s="22" t="s">
        <v>917</v>
      </c>
      <c r="H2189" s="11" t="str">
        <f>IFERROR(__xludf.DUMMYFUNCTION("REGEXREPLACE(G2189, ""[^0-9a-zA-Z .'Ã]"","""")"),"Vin Diesel")</f>
        <v>Vin Diesel</v>
      </c>
      <c r="I2189" s="24" t="s">
        <v>7240</v>
      </c>
      <c r="J2189" s="22">
        <v>128455.0</v>
      </c>
      <c r="K2189" s="22" t="s">
        <v>7241</v>
      </c>
      <c r="L2189" s="22">
        <v>514.0</v>
      </c>
      <c r="M2189" s="22" t="s">
        <v>24</v>
      </c>
      <c r="N2189" s="22" t="s">
        <v>25</v>
      </c>
      <c r="O2189" s="23">
        <v>7.0E7</v>
      </c>
      <c r="P2189" s="10">
        <f t="shared" si="2"/>
        <v>0</v>
      </c>
      <c r="Q2189" s="12">
        <f t="shared" si="3"/>
        <v>46840695</v>
      </c>
      <c r="R2189" s="22">
        <v>1999.0</v>
      </c>
      <c r="S2189" s="22">
        <v>8.0</v>
      </c>
    </row>
    <row r="2190" ht="15.75" customHeight="1">
      <c r="A2190" s="21" t="s">
        <v>381</v>
      </c>
      <c r="B2190" s="8" t="str">
        <f>IFERROR(__xludf.DUMMYFUNCTION("REGEXREPLACE(A2190, ""[^0-9a-zA-Z .'Ã]"","""")"),"Brian De Palma")</f>
        <v>Brian De Palma</v>
      </c>
      <c r="C2190" s="22">
        <v>133.0</v>
      </c>
      <c r="D2190" s="23">
        <v>65087.0</v>
      </c>
      <c r="E2190" s="22" t="s">
        <v>7242</v>
      </c>
      <c r="F2190" s="9">
        <f t="shared" si="1"/>
        <v>3</v>
      </c>
      <c r="G2190" s="22" t="s">
        <v>7243</v>
      </c>
      <c r="H2190" s="11" t="str">
        <f>IFERROR(__xludf.DUMMYFUNCTION("REGEXREPLACE(G2190, ""[^0-9a-zA-Z .'Ã]"","""")"),"Mike Figueroa")</f>
        <v>Mike Figueroa</v>
      </c>
      <c r="I2190" s="24" t="s">
        <v>7244</v>
      </c>
      <c r="J2190" s="22">
        <v>8824.0</v>
      </c>
      <c r="K2190" s="22" t="s">
        <v>7245</v>
      </c>
      <c r="L2190" s="22">
        <v>108.0</v>
      </c>
      <c r="M2190" s="22" t="s">
        <v>24</v>
      </c>
      <c r="N2190" s="22" t="s">
        <v>25</v>
      </c>
      <c r="O2190" s="23">
        <v>5000000.0</v>
      </c>
      <c r="P2190" s="10">
        <f t="shared" si="2"/>
        <v>0</v>
      </c>
      <c r="Q2190" s="12">
        <f t="shared" si="3"/>
        <v>4934913</v>
      </c>
      <c r="R2190" s="22">
        <v>2007.0</v>
      </c>
      <c r="S2190" s="22">
        <v>6.2</v>
      </c>
    </row>
    <row r="2191" ht="15.75" customHeight="1">
      <c r="A2191" s="7" t="s">
        <v>5382</v>
      </c>
      <c r="B2191" s="8" t="str">
        <f>IFERROR(__xludf.DUMMYFUNCTION("REGEXREPLACE(A2191, ""[^0-9a-zA-Z .'Ã]"","""")"),"Ben Affleck")</f>
        <v>Ben Affleck</v>
      </c>
      <c r="C2191" s="9">
        <v>378.0</v>
      </c>
      <c r="D2191" s="10">
        <v>9.2173235E7</v>
      </c>
      <c r="E2191" s="9" t="s">
        <v>113</v>
      </c>
      <c r="F2191" s="9">
        <f t="shared" si="1"/>
        <v>3</v>
      </c>
      <c r="G2191" s="9" t="s">
        <v>480</v>
      </c>
      <c r="H2191" s="11" t="str">
        <f>IFERROR(__xludf.DUMMYFUNCTION("REGEXREPLACE(G2191, ""[^0-9a-zA-Z .'Ã]"","""")"),"Jeremy Renner")</f>
        <v>Jeremy Renner</v>
      </c>
      <c r="I2191" s="11" t="s">
        <v>7246</v>
      </c>
      <c r="J2191" s="9">
        <v>280228.0</v>
      </c>
      <c r="K2191" s="9" t="s">
        <v>7247</v>
      </c>
      <c r="L2191" s="9">
        <v>420.0</v>
      </c>
      <c r="M2191" s="9" t="s">
        <v>24</v>
      </c>
      <c r="N2191" s="9" t="s">
        <v>25</v>
      </c>
      <c r="O2191" s="10">
        <v>3.7E7</v>
      </c>
      <c r="P2191" s="10">
        <f t="shared" si="2"/>
        <v>55173235</v>
      </c>
      <c r="Q2191" s="12">
        <f t="shared" si="3"/>
        <v>0</v>
      </c>
      <c r="R2191" s="9">
        <v>2010.0</v>
      </c>
      <c r="S2191" s="9">
        <v>7.6</v>
      </c>
    </row>
    <row r="2192" ht="15.75" customHeight="1">
      <c r="A2192" s="7" t="s">
        <v>1220</v>
      </c>
      <c r="B2192" s="8" t="str">
        <f>IFERROR(__xludf.DUMMYFUNCTION("REGEXREPLACE(A2192, ""[^0-9a-zA-Z .'Ã]"","""")"),"James Foley")</f>
        <v>James Foley</v>
      </c>
      <c r="C2192" s="9">
        <v>120.0</v>
      </c>
      <c r="D2192" s="10">
        <v>1.0725228E7</v>
      </c>
      <c r="E2192" s="9" t="s">
        <v>1270</v>
      </c>
      <c r="F2192" s="9">
        <f t="shared" si="1"/>
        <v>3</v>
      </c>
      <c r="G2192" s="9" t="s">
        <v>483</v>
      </c>
      <c r="H2192" s="11" t="str">
        <f>IFERROR(__xludf.DUMMYFUNCTION("REGEXREPLACE(G2192, ""[^0-9a-zA-Z .'Ã]"","""")"),"Kevin Spacey")</f>
        <v>Kevin Spacey</v>
      </c>
      <c r="I2192" s="11" t="s">
        <v>7248</v>
      </c>
      <c r="J2192" s="9">
        <v>75675.0</v>
      </c>
      <c r="K2192" s="9" t="s">
        <v>7249</v>
      </c>
      <c r="L2192" s="9">
        <v>365.0</v>
      </c>
      <c r="M2192" s="9" t="s">
        <v>24</v>
      </c>
      <c r="N2192" s="9" t="s">
        <v>25</v>
      </c>
      <c r="O2192" s="10">
        <v>1.25E7</v>
      </c>
      <c r="P2192" s="10">
        <f t="shared" si="2"/>
        <v>0</v>
      </c>
      <c r="Q2192" s="12">
        <f t="shared" si="3"/>
        <v>1774772</v>
      </c>
      <c r="R2192" s="9">
        <v>1992.0</v>
      </c>
      <c r="S2192" s="9">
        <v>7.8</v>
      </c>
    </row>
    <row r="2193" ht="15.75" customHeight="1">
      <c r="A2193" s="13" t="s">
        <v>2599</v>
      </c>
      <c r="B2193" s="8" t="str">
        <f>IFERROR(__xludf.DUMMYFUNCTION("REGEXREPLACE(A2193, ""[^0-9a-zA-Z .'Ã]"","""")"),"Richard Linklater")</f>
        <v>Richard Linklater</v>
      </c>
      <c r="C2193" s="14">
        <v>204.0</v>
      </c>
      <c r="D2193" s="15">
        <v>8.1257845E7</v>
      </c>
      <c r="E2193" s="14" t="s">
        <v>321</v>
      </c>
      <c r="F2193" s="9">
        <f t="shared" si="1"/>
        <v>2</v>
      </c>
      <c r="G2193" s="14" t="s">
        <v>7250</v>
      </c>
      <c r="H2193" s="11" t="str">
        <f>IFERROR(__xludf.DUMMYFUNCTION("REGEXREPLACE(G2193, ""[^0-9a-zA-Z .'Ã]"","""")"),"Miranda Cosgrove")</f>
        <v>Miranda Cosgrove</v>
      </c>
      <c r="I2193" s="16" t="s">
        <v>7251</v>
      </c>
      <c r="J2193" s="14">
        <v>210680.0</v>
      </c>
      <c r="K2193" s="14" t="s">
        <v>7252</v>
      </c>
      <c r="L2193" s="14">
        <v>479.0</v>
      </c>
      <c r="M2193" s="14" t="s">
        <v>24</v>
      </c>
      <c r="N2193" s="14" t="s">
        <v>25</v>
      </c>
      <c r="O2193" s="15">
        <v>3.5E7</v>
      </c>
      <c r="P2193" s="10">
        <f t="shared" si="2"/>
        <v>46257845</v>
      </c>
      <c r="Q2193" s="12">
        <f t="shared" si="3"/>
        <v>0</v>
      </c>
      <c r="R2193" s="14">
        <v>2003.0</v>
      </c>
      <c r="S2193" s="14">
        <v>7.1</v>
      </c>
    </row>
    <row r="2194" ht="15.75" customHeight="1">
      <c r="A2194" s="21" t="s">
        <v>2898</v>
      </c>
      <c r="B2194" s="8" t="str">
        <f>IFERROR(__xludf.DUMMYFUNCTION("REGEXREPLACE(A2194, ""[^0-9a-zA-Z .'Ã]"","""")"),"Will Gluck")</f>
        <v>Will Gluck</v>
      </c>
      <c r="C2194" s="22">
        <v>262.0</v>
      </c>
      <c r="D2194" s="23">
        <v>5.8401464E7</v>
      </c>
      <c r="E2194" s="22" t="s">
        <v>89</v>
      </c>
      <c r="F2194" s="9">
        <f t="shared" si="1"/>
        <v>2</v>
      </c>
      <c r="G2194" s="22" t="s">
        <v>497</v>
      </c>
      <c r="H2194" s="11" t="str">
        <f>IFERROR(__xludf.DUMMYFUNCTION("REGEXREPLACE(G2194, ""[^0-9a-zA-Z .'Ã]"","""")"),"Emma Stone")</f>
        <v>Emma Stone</v>
      </c>
      <c r="I2194" s="24" t="s">
        <v>7253</v>
      </c>
      <c r="J2194" s="22">
        <v>276746.0</v>
      </c>
      <c r="K2194" s="22" t="s">
        <v>7254</v>
      </c>
      <c r="L2194" s="22">
        <v>264.0</v>
      </c>
      <c r="M2194" s="22" t="s">
        <v>24</v>
      </c>
      <c r="N2194" s="22" t="s">
        <v>25</v>
      </c>
      <c r="O2194" s="23">
        <v>8000000.0</v>
      </c>
      <c r="P2194" s="10">
        <f t="shared" si="2"/>
        <v>50401464</v>
      </c>
      <c r="Q2194" s="12">
        <f t="shared" si="3"/>
        <v>0</v>
      </c>
      <c r="R2194" s="22">
        <v>2010.0</v>
      </c>
      <c r="S2194" s="22">
        <v>7.1</v>
      </c>
    </row>
    <row r="2195" ht="15.75" customHeight="1">
      <c r="A2195" s="29" t="s">
        <v>655</v>
      </c>
      <c r="B2195" s="8" t="str">
        <f>IFERROR(__xludf.DUMMYFUNCTION("REGEXREPLACE(A2195, ""[^0-9a-zA-Z .'Ã]"","""")"),"Mathieu Kassovitz")</f>
        <v>Mathieu Kassovitz</v>
      </c>
      <c r="C2195" s="30">
        <v>207.0</v>
      </c>
      <c r="D2195" s="31">
        <v>5.9588068E7</v>
      </c>
      <c r="E2195" s="30" t="s">
        <v>94</v>
      </c>
      <c r="F2195" s="9">
        <f t="shared" si="1"/>
        <v>3</v>
      </c>
      <c r="G2195" s="30" t="s">
        <v>327</v>
      </c>
      <c r="H2195" s="11" t="str">
        <f>IFERROR(__xludf.DUMMYFUNCTION("REGEXREPLACE(G2195, ""[^0-9a-zA-Z .'Ã]"","""")"),"Robert Downey Jr.")</f>
        <v>Robert Downey Jr.</v>
      </c>
      <c r="I2195" s="32" t="s">
        <v>7255</v>
      </c>
      <c r="J2195" s="30">
        <v>89557.0</v>
      </c>
      <c r="K2195" s="30" t="s">
        <v>7256</v>
      </c>
      <c r="L2195" s="30">
        <v>376.0</v>
      </c>
      <c r="M2195" s="30" t="s">
        <v>24</v>
      </c>
      <c r="N2195" s="30" t="s">
        <v>25</v>
      </c>
      <c r="O2195" s="31">
        <v>4.0E7</v>
      </c>
      <c r="P2195" s="10">
        <f t="shared" si="2"/>
        <v>19588068</v>
      </c>
      <c r="Q2195" s="12">
        <f t="shared" si="3"/>
        <v>0</v>
      </c>
      <c r="R2195" s="30">
        <v>2003.0</v>
      </c>
      <c r="S2195" s="30">
        <v>5.8</v>
      </c>
    </row>
    <row r="2196" ht="15.75" customHeight="1">
      <c r="A2196" s="13" t="s">
        <v>4997</v>
      </c>
      <c r="B2196" s="8" t="str">
        <f>IFERROR(__xludf.DUMMYFUNCTION("REGEXREPLACE(A2196, ""[^0-9a-zA-Z .'Ã]"","""")"),"Joel Coen")</f>
        <v>Joel Coen</v>
      </c>
      <c r="C2196" s="14">
        <v>161.0</v>
      </c>
      <c r="D2196" s="15">
        <v>3.509619E7</v>
      </c>
      <c r="E2196" s="14" t="s">
        <v>241</v>
      </c>
      <c r="F2196" s="9">
        <f t="shared" si="1"/>
        <v>3</v>
      </c>
      <c r="G2196" s="14" t="s">
        <v>7257</v>
      </c>
      <c r="H2196" s="11" t="str">
        <f>IFERROR(__xludf.DUMMYFUNCTION("REGEXREPLACE(G2196, ""[^0-9a-zA-Z .'Ã]"","""")"),"Cedric the Entertainer")</f>
        <v>Cedric the Entertainer</v>
      </c>
      <c r="I2196" s="16" t="s">
        <v>7258</v>
      </c>
      <c r="J2196" s="14">
        <v>76560.0</v>
      </c>
      <c r="K2196" s="14" t="s">
        <v>7259</v>
      </c>
      <c r="L2196" s="14">
        <v>322.0</v>
      </c>
      <c r="M2196" s="14" t="s">
        <v>24</v>
      </c>
      <c r="N2196" s="14" t="s">
        <v>25</v>
      </c>
      <c r="O2196" s="15">
        <v>6.0E7</v>
      </c>
      <c r="P2196" s="10">
        <f t="shared" si="2"/>
        <v>0</v>
      </c>
      <c r="Q2196" s="12">
        <f t="shared" si="3"/>
        <v>24903810</v>
      </c>
      <c r="R2196" s="14">
        <v>2003.0</v>
      </c>
      <c r="S2196" s="14">
        <v>6.3</v>
      </c>
    </row>
    <row r="2197" ht="15.75" customHeight="1">
      <c r="A2197" s="25" t="s">
        <v>264</v>
      </c>
      <c r="B2197" s="8" t="str">
        <f>IFERROR(__xludf.DUMMYFUNCTION("REGEXREPLACE(A2197, ""[^0-9a-zA-Z .'Ã]"","""")"),"Keenen Ivory Wayans")</f>
        <v>Keenen Ivory Wayans</v>
      </c>
      <c r="C2197" s="26">
        <v>78.0</v>
      </c>
      <c r="D2197" s="27">
        <v>5.8255287E7</v>
      </c>
      <c r="E2197" s="26" t="s">
        <v>440</v>
      </c>
      <c r="F2197" s="9">
        <f t="shared" si="1"/>
        <v>2</v>
      </c>
      <c r="G2197" s="26" t="s">
        <v>1875</v>
      </c>
      <c r="H2197" s="11" t="str">
        <f>IFERROR(__xludf.DUMMYFUNCTION("REGEXREPLACE(G2197, ""[^0-9a-zA-Z .'Ã]"","""")"),"Chazz Palminteri")</f>
        <v>Chazz Palminteri</v>
      </c>
      <c r="I2197" s="28" t="s">
        <v>7260</v>
      </c>
      <c r="J2197" s="26">
        <v>39471.0</v>
      </c>
      <c r="K2197" s="26" t="s">
        <v>7261</v>
      </c>
      <c r="L2197" s="26">
        <v>187.0</v>
      </c>
      <c r="M2197" s="26" t="s">
        <v>24</v>
      </c>
      <c r="N2197" s="26" t="s">
        <v>25</v>
      </c>
      <c r="O2197" s="27">
        <v>6.4E7</v>
      </c>
      <c r="P2197" s="10">
        <f t="shared" si="2"/>
        <v>0</v>
      </c>
      <c r="Q2197" s="12">
        <f t="shared" si="3"/>
        <v>5744713</v>
      </c>
      <c r="R2197" s="26">
        <v>2006.0</v>
      </c>
      <c r="S2197" s="26">
        <v>4.3</v>
      </c>
    </row>
    <row r="2198" ht="15.75" customHeight="1">
      <c r="A2198" s="25" t="s">
        <v>7262</v>
      </c>
      <c r="B2198" s="8" t="str">
        <f>IFERROR(__xludf.DUMMYFUNCTION("REGEXREPLACE(A2198, ""[^0-9a-zA-Z .'Ã]"","""")"),"James Ponsoldt")</f>
        <v>James Ponsoldt</v>
      </c>
      <c r="C2198" s="26">
        <v>220.0</v>
      </c>
      <c r="D2198" s="27">
        <v>6851969.0</v>
      </c>
      <c r="E2198" s="26" t="s">
        <v>159</v>
      </c>
      <c r="F2198" s="9">
        <f t="shared" si="1"/>
        <v>3</v>
      </c>
      <c r="G2198" s="26" t="s">
        <v>7263</v>
      </c>
      <c r="H2198" s="11" t="str">
        <f>IFERROR(__xludf.DUMMYFUNCTION("REGEXREPLACE(G2198, ""[^0-9a-zA-Z .'Ã]"","""")"),"Shailene Woodley")</f>
        <v>Shailene Woodley</v>
      </c>
      <c r="I2198" s="28" t="s">
        <v>7264</v>
      </c>
      <c r="J2198" s="26">
        <v>105591.0</v>
      </c>
      <c r="K2198" s="26" t="s">
        <v>7265</v>
      </c>
      <c r="L2198" s="26">
        <v>178.0</v>
      </c>
      <c r="M2198" s="26" t="s">
        <v>24</v>
      </c>
      <c r="N2198" s="26" t="s">
        <v>25</v>
      </c>
      <c r="O2198" s="27">
        <v>2500000.0</v>
      </c>
      <c r="P2198" s="10">
        <f t="shared" si="2"/>
        <v>4351969</v>
      </c>
      <c r="Q2198" s="12">
        <f t="shared" si="3"/>
        <v>0</v>
      </c>
      <c r="R2198" s="26">
        <v>2013.0</v>
      </c>
      <c r="S2198" s="26">
        <v>7.1</v>
      </c>
    </row>
    <row r="2199" ht="15.75" customHeight="1">
      <c r="A2199" s="7" t="s">
        <v>7266</v>
      </c>
      <c r="B2199" s="8" t="str">
        <f>IFERROR(__xludf.DUMMYFUNCTION("REGEXREPLACE(A2199, ""[^0-9a-zA-Z .'Ã]"","""")"),"Julio DePietro")</f>
        <v>Julio DePietro</v>
      </c>
      <c r="C2199" s="9">
        <v>22.0</v>
      </c>
      <c r="D2199" s="10">
        <v>100503.0</v>
      </c>
      <c r="E2199" s="9" t="s">
        <v>89</v>
      </c>
      <c r="F2199" s="9">
        <f t="shared" si="1"/>
        <v>2</v>
      </c>
      <c r="G2199" s="9" t="s">
        <v>7267</v>
      </c>
      <c r="H2199" s="11" t="str">
        <f>IFERROR(__xludf.DUMMYFUNCTION("REGEXREPLACE(G2199, ""[^0-9a-zA-Z .'Ã]"","""")"),"Adrian Martinez")</f>
        <v>Adrian Martinez</v>
      </c>
      <c r="I2199" s="11" t="s">
        <v>7268</v>
      </c>
      <c r="J2199" s="9">
        <v>7759.0</v>
      </c>
      <c r="K2199" s="9" t="s">
        <v>7269</v>
      </c>
      <c r="L2199" s="9">
        <v>20.0</v>
      </c>
      <c r="M2199" s="9" t="s">
        <v>24</v>
      </c>
      <c r="N2199" s="9" t="s">
        <v>25</v>
      </c>
      <c r="O2199" s="10">
        <v>8000000.0</v>
      </c>
      <c r="P2199" s="10">
        <f t="shared" si="2"/>
        <v>0</v>
      </c>
      <c r="Q2199" s="12">
        <f t="shared" si="3"/>
        <v>7899497</v>
      </c>
      <c r="R2199" s="9">
        <v>2009.0</v>
      </c>
      <c r="S2199" s="9">
        <v>5.9</v>
      </c>
    </row>
    <row r="2200" ht="15.75" customHeight="1">
      <c r="A2200" s="7" t="s">
        <v>4253</v>
      </c>
      <c r="B2200" s="8" t="str">
        <f>IFERROR(__xludf.DUMMYFUNCTION("REGEXREPLACE(A2200, ""[^0-9a-zA-Z .'Ã]"","""")"),"Peter Berg")</f>
        <v>Peter Berg</v>
      </c>
      <c r="C2200" s="9">
        <v>318.0</v>
      </c>
      <c r="D2200" s="10">
        <v>2.27946274E8</v>
      </c>
      <c r="E2200" s="9" t="s">
        <v>208</v>
      </c>
      <c r="F2200" s="9">
        <f t="shared" si="1"/>
        <v>2</v>
      </c>
      <c r="G2200" s="9" t="s">
        <v>2717</v>
      </c>
      <c r="H2200" s="11" t="str">
        <f>IFERROR(__xludf.DUMMYFUNCTION("REGEXREPLACE(G2200, ""[^0-9a-zA-Z .'Ã]"","""")"),"Will Smith")</f>
        <v>Will Smith</v>
      </c>
      <c r="I2200" s="11" t="s">
        <v>7270</v>
      </c>
      <c r="J2200" s="9">
        <v>343648.0</v>
      </c>
      <c r="K2200" s="9" t="s">
        <v>7271</v>
      </c>
      <c r="L2200" s="9">
        <v>590.0</v>
      </c>
      <c r="M2200" s="9" t="s">
        <v>24</v>
      </c>
      <c r="N2200" s="9" t="s">
        <v>25</v>
      </c>
      <c r="O2200" s="10">
        <v>1.5E8</v>
      </c>
      <c r="P2200" s="10">
        <f t="shared" si="2"/>
        <v>77946274</v>
      </c>
      <c r="Q2200" s="12">
        <f t="shared" si="3"/>
        <v>0</v>
      </c>
      <c r="R2200" s="9">
        <v>2008.0</v>
      </c>
      <c r="S2200" s="9">
        <v>6.4</v>
      </c>
    </row>
    <row r="2201" ht="15.75" customHeight="1">
      <c r="A2201" s="13" t="s">
        <v>7272</v>
      </c>
      <c r="B2201" s="8" t="str">
        <f>IFERROR(__xludf.DUMMYFUNCTION("REGEXREPLACE(A2201, ""[^0-9a-zA-Z .'Ã]"","""")"),"Joe Charbanic")</f>
        <v>Joe Charbanic</v>
      </c>
      <c r="C2201" s="14">
        <v>103.0</v>
      </c>
      <c r="D2201" s="15">
        <v>2.892772E7</v>
      </c>
      <c r="E2201" s="14" t="s">
        <v>3401</v>
      </c>
      <c r="F2201" s="9">
        <f t="shared" si="1"/>
        <v>4</v>
      </c>
      <c r="G2201" s="14" t="s">
        <v>1170</v>
      </c>
      <c r="H2201" s="11" t="str">
        <f>IFERROR(__xludf.DUMMYFUNCTION("REGEXREPLACE(G2201, ""[^0-9a-zA-Z .'Ã]"","""")"),"Keanu Reeves")</f>
        <v>Keanu Reeves</v>
      </c>
      <c r="I2201" s="16" t="s">
        <v>7273</v>
      </c>
      <c r="J2201" s="14">
        <v>22220.0</v>
      </c>
      <c r="K2201" s="14" t="s">
        <v>7274</v>
      </c>
      <c r="L2201" s="14">
        <v>181.0</v>
      </c>
      <c r="M2201" s="14" t="s">
        <v>24</v>
      </c>
      <c r="N2201" s="14" t="s">
        <v>25</v>
      </c>
      <c r="O2201" s="15">
        <v>3.3E7</v>
      </c>
      <c r="P2201" s="10">
        <f t="shared" si="2"/>
        <v>0</v>
      </c>
      <c r="Q2201" s="12">
        <f t="shared" si="3"/>
        <v>4072280</v>
      </c>
      <c r="R2201" s="14">
        <v>2000.0</v>
      </c>
      <c r="S2201" s="14">
        <v>5.3</v>
      </c>
    </row>
    <row r="2202" ht="15.75" customHeight="1">
      <c r="A2202" s="17" t="s">
        <v>1395</v>
      </c>
      <c r="B2202" s="8" t="str">
        <f>IFERROR(__xludf.DUMMYFUNCTION("REGEXREPLACE(A2202, ""[^0-9a-zA-Z .'Ã]"","""")"),"Trey Parker")</f>
        <v>Trey Parker</v>
      </c>
      <c r="C2202" s="18">
        <v>59.0</v>
      </c>
      <c r="D2202" s="19">
        <v>582024.0</v>
      </c>
      <c r="E2202" s="18" t="s">
        <v>3542</v>
      </c>
      <c r="F2202" s="9">
        <f t="shared" si="1"/>
        <v>2</v>
      </c>
      <c r="G2202" s="18" t="s">
        <v>1395</v>
      </c>
      <c r="H2202" s="11" t="str">
        <f>IFERROR(__xludf.DUMMYFUNCTION("REGEXREPLACE(G2202, ""[^0-9a-zA-Z .'Ã]"","""")"),"Trey Parker")</f>
        <v>Trey Parker</v>
      </c>
      <c r="I2202" s="20" t="s">
        <v>7275</v>
      </c>
      <c r="J2202" s="18">
        <v>30396.0</v>
      </c>
      <c r="K2202" s="18" t="s">
        <v>7276</v>
      </c>
      <c r="L2202" s="18">
        <v>168.0</v>
      </c>
      <c r="M2202" s="18" t="s">
        <v>24</v>
      </c>
      <c r="N2202" s="18" t="s">
        <v>25</v>
      </c>
      <c r="O2202" s="19">
        <v>1000000.0</v>
      </c>
      <c r="P2202" s="10">
        <f t="shared" si="2"/>
        <v>0</v>
      </c>
      <c r="Q2202" s="12">
        <f t="shared" si="3"/>
        <v>417976</v>
      </c>
      <c r="R2202" s="18">
        <v>1997.0</v>
      </c>
      <c r="S2202" s="18">
        <v>6.2</v>
      </c>
    </row>
    <row r="2203" ht="15.75" customHeight="1">
      <c r="A2203" s="7" t="s">
        <v>5891</v>
      </c>
      <c r="B2203" s="8" t="str">
        <f>IFERROR(__xludf.DUMMYFUNCTION("REGEXREPLACE(A2203, ""[^0-9a-zA-Z .'Ã]"","""")"),"Angela Robinson")</f>
        <v>Angela Robinson</v>
      </c>
      <c r="C2203" s="9">
        <v>117.0</v>
      </c>
      <c r="D2203" s="10">
        <v>6.6002004E7</v>
      </c>
      <c r="E2203" s="9" t="s">
        <v>7277</v>
      </c>
      <c r="F2203" s="9">
        <f t="shared" si="1"/>
        <v>6</v>
      </c>
      <c r="G2203" s="9" t="s">
        <v>2460</v>
      </c>
      <c r="H2203" s="11" t="str">
        <f>IFERROR(__xludf.DUMMYFUNCTION("REGEXREPLACE(G2203, ""[^0-9a-zA-Z .'Ã]"","""")"),"Scoot McNairy")</f>
        <v>Scoot McNairy</v>
      </c>
      <c r="I2203" s="11" t="s">
        <v>7278</v>
      </c>
      <c r="J2203" s="9">
        <v>36431.0</v>
      </c>
      <c r="K2203" s="9" t="s">
        <v>7279</v>
      </c>
      <c r="L2203" s="9">
        <v>168.0</v>
      </c>
      <c r="M2203" s="9" t="s">
        <v>24</v>
      </c>
      <c r="N2203" s="9" t="s">
        <v>25</v>
      </c>
      <c r="O2203" s="10">
        <v>5.0E7</v>
      </c>
      <c r="P2203" s="10">
        <f t="shared" si="2"/>
        <v>16002004</v>
      </c>
      <c r="Q2203" s="12">
        <f t="shared" si="3"/>
        <v>0</v>
      </c>
      <c r="R2203" s="9">
        <v>2005.0</v>
      </c>
      <c r="S2203" s="9">
        <v>4.7</v>
      </c>
    </row>
    <row r="2204" ht="15.75" customHeight="1">
      <c r="A2204" s="17" t="s">
        <v>7280</v>
      </c>
      <c r="B2204" s="8" t="str">
        <f>IFERROR(__xludf.DUMMYFUNCTION("REGEXREPLACE(A2204, ""[^0-9a-zA-Z .'Ã]"","""")"),"Blake Edwards")</f>
        <v>Blake Edwards</v>
      </c>
      <c r="C2204" s="18">
        <v>22.0</v>
      </c>
      <c r="D2204" s="19">
        <v>5000000.0</v>
      </c>
      <c r="E2204" s="18" t="s">
        <v>7281</v>
      </c>
      <c r="F2204" s="9">
        <f t="shared" si="1"/>
        <v>5</v>
      </c>
      <c r="G2204" s="18" t="s">
        <v>7282</v>
      </c>
      <c r="H2204" s="11" t="str">
        <f>IFERROR(__xludf.DUMMYFUNCTION("REGEXREPLACE(G2204, ""[^0-9a-zA-Z .'Ã]"","""")"),"Rock Hudson")</f>
        <v>Rock Hudson</v>
      </c>
      <c r="I2204" s="20" t="s">
        <v>7283</v>
      </c>
      <c r="J2204" s="18">
        <v>1547.0</v>
      </c>
      <c r="K2204" s="18" t="s">
        <v>7284</v>
      </c>
      <c r="L2204" s="18">
        <v>50.0</v>
      </c>
      <c r="M2204" s="18" t="s">
        <v>24</v>
      </c>
      <c r="N2204" s="18" t="s">
        <v>25</v>
      </c>
      <c r="O2204" s="19">
        <v>2.5E7</v>
      </c>
      <c r="P2204" s="10">
        <f t="shared" si="2"/>
        <v>0</v>
      </c>
      <c r="Q2204" s="12">
        <f t="shared" si="3"/>
        <v>20000000</v>
      </c>
      <c r="R2204" s="18">
        <v>1970.0</v>
      </c>
      <c r="S2204" s="18">
        <v>6.2</v>
      </c>
    </row>
    <row r="2205" ht="15.75" customHeight="1">
      <c r="A2205" s="7" t="s">
        <v>3420</v>
      </c>
      <c r="B2205" s="8" t="str">
        <f>IFERROR(__xludf.DUMMYFUNCTION("REGEXREPLACE(A2205, ""[^0-9a-zA-Z .'Ã]"","""")"),"Carl Franklin")</f>
        <v>Carl Franklin</v>
      </c>
      <c r="C2205" s="9">
        <v>124.0</v>
      </c>
      <c r="D2205" s="10">
        <v>4.0905277E7</v>
      </c>
      <c r="E2205" s="9" t="s">
        <v>810</v>
      </c>
      <c r="F2205" s="9">
        <f t="shared" si="1"/>
        <v>4</v>
      </c>
      <c r="G2205" s="9" t="s">
        <v>70</v>
      </c>
      <c r="H2205" s="11" t="str">
        <f>IFERROR(__xludf.DUMMYFUNCTION("REGEXREPLACE(G2205, ""[^0-9a-zA-Z .'Ã]"","""")"),"Denzel Washington")</f>
        <v>Denzel Washington</v>
      </c>
      <c r="I2205" s="11" t="s">
        <v>7285</v>
      </c>
      <c r="J2205" s="9">
        <v>45895.0</v>
      </c>
      <c r="K2205" s="9" t="s">
        <v>7286</v>
      </c>
      <c r="L2205" s="9">
        <v>157.0</v>
      </c>
      <c r="M2205" s="9" t="s">
        <v>24</v>
      </c>
      <c r="N2205" s="9" t="s">
        <v>25</v>
      </c>
      <c r="O2205" s="10">
        <v>5.0E7</v>
      </c>
      <c r="P2205" s="10">
        <f t="shared" si="2"/>
        <v>0</v>
      </c>
      <c r="Q2205" s="12">
        <f t="shared" si="3"/>
        <v>9094723</v>
      </c>
      <c r="R2205" s="9">
        <v>2003.0</v>
      </c>
      <c r="S2205" s="9">
        <v>6.5</v>
      </c>
    </row>
    <row r="2206" ht="15.75" customHeight="1">
      <c r="A2206" s="25" t="s">
        <v>7287</v>
      </c>
      <c r="B2206" s="8" t="str">
        <f>IFERROR(__xludf.DUMMYFUNCTION("REGEXREPLACE(A2206, ""[^0-9a-zA-Z .'Ã]"","""")"),"Craig Bolotin")</f>
        <v>Craig Bolotin</v>
      </c>
      <c r="C2206" s="26">
        <v>39.0</v>
      </c>
      <c r="D2206" s="27">
        <v>5871603.0</v>
      </c>
      <c r="E2206" s="26" t="s">
        <v>369</v>
      </c>
      <c r="F2206" s="9">
        <f t="shared" si="1"/>
        <v>2</v>
      </c>
      <c r="G2206" s="26" t="s">
        <v>3571</v>
      </c>
      <c r="H2206" s="11" t="str">
        <f>IFERROR(__xludf.DUMMYFUNCTION("REGEXREPLACE(G2206, ""[^0-9a-zA-Z .'Ã]"","""")"),"Rosario Dawson")</f>
        <v>Rosario Dawson</v>
      </c>
      <c r="I2206" s="28" t="s">
        <v>7288</v>
      </c>
      <c r="J2206" s="26">
        <v>3116.0</v>
      </c>
      <c r="K2206" s="26" t="s">
        <v>7289</v>
      </c>
      <c r="L2206" s="26">
        <v>39.0</v>
      </c>
      <c r="M2206" s="26" t="s">
        <v>24</v>
      </c>
      <c r="N2206" s="26" t="s">
        <v>25</v>
      </c>
      <c r="O2206" s="27">
        <v>1.3E7</v>
      </c>
      <c r="P2206" s="10">
        <f t="shared" si="2"/>
        <v>0</v>
      </c>
      <c r="Q2206" s="12">
        <f t="shared" si="3"/>
        <v>7128397</v>
      </c>
      <c r="R2206" s="26">
        <v>1999.0</v>
      </c>
      <c r="S2206" s="26">
        <v>6.0</v>
      </c>
    </row>
    <row r="2207" ht="15.75" customHeight="1">
      <c r="A2207" s="7" t="s">
        <v>938</v>
      </c>
      <c r="B2207" s="8" t="str">
        <f>IFERROR(__xludf.DUMMYFUNCTION("REGEXREPLACE(A2207, ""[^0-9a-zA-Z -.'Ã]"","""")"),"Jaume Collet-Serra")</f>
        <v>Jaume Collet-Serra</v>
      </c>
      <c r="C2207" s="9">
        <v>359.0</v>
      </c>
      <c r="D2207" s="10">
        <v>9.14394E7</v>
      </c>
      <c r="E2207" s="9" t="s">
        <v>1155</v>
      </c>
      <c r="F2207" s="9">
        <f t="shared" si="1"/>
        <v>3</v>
      </c>
      <c r="G2207" s="9" t="s">
        <v>605</v>
      </c>
      <c r="H2207" s="11" t="str">
        <f>IFERROR(__xludf.DUMMYFUNCTION("REGEXREPLACE(G2207, ""[^0-9a-zA-Z .'Ã]"","""")"),"Liam Neeson")</f>
        <v>Liam Neeson</v>
      </c>
      <c r="I2207" s="11" t="s">
        <v>7290</v>
      </c>
      <c r="J2207" s="9">
        <v>200647.0</v>
      </c>
      <c r="K2207" s="9" t="s">
        <v>7291</v>
      </c>
      <c r="L2207" s="9">
        <v>384.0</v>
      </c>
      <c r="M2207" s="9" t="s">
        <v>24</v>
      </c>
      <c r="N2207" s="9" t="s">
        <v>130</v>
      </c>
      <c r="O2207" s="10">
        <v>5.0E7</v>
      </c>
      <c r="P2207" s="10">
        <f t="shared" si="2"/>
        <v>41439400</v>
      </c>
      <c r="Q2207" s="12">
        <f t="shared" si="3"/>
        <v>0</v>
      </c>
      <c r="R2207" s="9">
        <v>2014.0</v>
      </c>
      <c r="S2207" s="9">
        <v>7.0</v>
      </c>
    </row>
    <row r="2208" ht="15.75" customHeight="1">
      <c r="A2208" s="17" t="s">
        <v>7292</v>
      </c>
      <c r="B2208" s="8" t="str">
        <f>IFERROR(__xludf.DUMMYFUNCTION("REGEXREPLACE(A2208, ""[^0-9a-zA-Z .'Ã]"","""")"),"William Cottrell")</f>
        <v>William Cottrell</v>
      </c>
      <c r="C2208" s="18">
        <v>145.0</v>
      </c>
      <c r="D2208" s="19">
        <v>1.84925485E8</v>
      </c>
      <c r="E2208" s="18" t="s">
        <v>1191</v>
      </c>
      <c r="F2208" s="9">
        <f t="shared" si="1"/>
        <v>4</v>
      </c>
      <c r="G2208" s="18" t="s">
        <v>7293</v>
      </c>
      <c r="H2208" s="11" t="str">
        <f>IFERROR(__xludf.DUMMYFUNCTION("REGEXREPLACE(G2208, ""[^0-9a-zA-Z .'Ã]"","""")"),"Adriana Caselotti")</f>
        <v>Adriana Caselotti</v>
      </c>
      <c r="I2208" s="20" t="s">
        <v>7294</v>
      </c>
      <c r="J2208" s="18">
        <v>133348.0</v>
      </c>
      <c r="K2208" s="18" t="s">
        <v>7295</v>
      </c>
      <c r="L2208" s="18">
        <v>204.0</v>
      </c>
      <c r="M2208" s="18" t="s">
        <v>24</v>
      </c>
      <c r="N2208" s="18" t="s">
        <v>25</v>
      </c>
      <c r="O2208" s="19">
        <v>2000000.0</v>
      </c>
      <c r="P2208" s="10">
        <f t="shared" si="2"/>
        <v>182925485</v>
      </c>
      <c r="Q2208" s="12">
        <f t="shared" si="3"/>
        <v>0</v>
      </c>
      <c r="R2208" s="18">
        <v>1937.0</v>
      </c>
      <c r="S2208" s="18">
        <v>7.7</v>
      </c>
    </row>
    <row r="2209" ht="15.75" customHeight="1">
      <c r="A2209" s="7" t="s">
        <v>2808</v>
      </c>
      <c r="B2209" s="8" t="str">
        <f>IFERROR(__xludf.DUMMYFUNCTION("REGEXREPLACE(A2209, ""[^0-9a-zA-Z .'Ã]"","""")"),"Paul Verhoeven")</f>
        <v>Paul Verhoeven</v>
      </c>
      <c r="C2209" s="9">
        <v>196.0</v>
      </c>
      <c r="D2209" s="10">
        <v>1.19412921E8</v>
      </c>
      <c r="E2209" s="9" t="s">
        <v>848</v>
      </c>
      <c r="F2209" s="9">
        <f t="shared" si="1"/>
        <v>2</v>
      </c>
      <c r="G2209" s="9" t="s">
        <v>7296</v>
      </c>
      <c r="H2209" s="11" t="str">
        <f>IFERROR(__xludf.DUMMYFUNCTION("REGEXREPLACE(G2209, ""[^0-9a-zA-Z .'Ã]"","""")"),"Ronny Cox")</f>
        <v>Ronny Cox</v>
      </c>
      <c r="I2209" s="11" t="s">
        <v>7297</v>
      </c>
      <c r="J2209" s="9">
        <v>240241.0</v>
      </c>
      <c r="K2209" s="9" t="s">
        <v>7298</v>
      </c>
      <c r="L2209" s="9">
        <v>391.0</v>
      </c>
      <c r="M2209" s="9" t="s">
        <v>24</v>
      </c>
      <c r="N2209" s="9" t="s">
        <v>25</v>
      </c>
      <c r="O2209" s="10">
        <v>6.5E7</v>
      </c>
      <c r="P2209" s="10">
        <f t="shared" si="2"/>
        <v>54412921</v>
      </c>
      <c r="Q2209" s="12">
        <f t="shared" si="3"/>
        <v>0</v>
      </c>
      <c r="R2209" s="9">
        <v>1990.0</v>
      </c>
      <c r="S2209" s="9">
        <v>7.5</v>
      </c>
    </row>
    <row r="2210" ht="15.75" customHeight="1">
      <c r="A2210" s="7" t="s">
        <v>986</v>
      </c>
      <c r="B2210" s="8" t="str">
        <f>IFERROR(__xludf.DUMMYFUNCTION("REGEXREPLACE(A2210, ""[^0-9a-zA-Z .'Ã]"","""")"),"Simon West")</f>
        <v>Simon West</v>
      </c>
      <c r="C2210" s="9">
        <v>98.0</v>
      </c>
      <c r="D2210" s="10">
        <v>183125.0</v>
      </c>
      <c r="E2210" s="9" t="s">
        <v>501</v>
      </c>
      <c r="F2210" s="9">
        <f t="shared" si="1"/>
        <v>4</v>
      </c>
      <c r="G2210" s="9" t="s">
        <v>458</v>
      </c>
      <c r="H2210" s="11" t="str">
        <f>IFERROR(__xludf.DUMMYFUNCTION("REGEXREPLACE(G2210, ""[^0-9a-zA-Z .'Ã]"","""")"),"Nicolas Cage")</f>
        <v>Nicolas Cage</v>
      </c>
      <c r="I2210" s="11" t="s">
        <v>7299</v>
      </c>
      <c r="J2210" s="9">
        <v>36914.0</v>
      </c>
      <c r="K2210" s="9" t="s">
        <v>7300</v>
      </c>
      <c r="L2210" s="9">
        <v>86.0</v>
      </c>
      <c r="M2210" s="9" t="s">
        <v>24</v>
      </c>
      <c r="N2210" s="9" t="s">
        <v>25</v>
      </c>
      <c r="O2210" s="10">
        <v>3.5E7</v>
      </c>
      <c r="P2210" s="10">
        <f t="shared" si="2"/>
        <v>0</v>
      </c>
      <c r="Q2210" s="12">
        <f t="shared" si="3"/>
        <v>34816875</v>
      </c>
      <c r="R2210" s="9">
        <v>2012.0</v>
      </c>
      <c r="S2210" s="9">
        <v>5.5</v>
      </c>
    </row>
    <row r="2211" ht="15.75" customHeight="1">
      <c r="A2211" s="25" t="s">
        <v>7301</v>
      </c>
      <c r="B2211" s="8" t="str">
        <f>IFERROR(__xludf.DUMMYFUNCTION("REGEXREPLACE(A2211, ""[^0-9a-zA-Z .'Ã]"","""")"),"Joshua Marston")</f>
        <v>Joshua Marston</v>
      </c>
      <c r="C2211" s="26">
        <v>155.0</v>
      </c>
      <c r="D2211" s="27">
        <v>6517198.0</v>
      </c>
      <c r="E2211" s="26" t="s">
        <v>54</v>
      </c>
      <c r="F2211" s="9">
        <f t="shared" si="1"/>
        <v>2</v>
      </c>
      <c r="G2211" s="26" t="s">
        <v>7302</v>
      </c>
      <c r="H2211" s="11" t="str">
        <f>IFERROR(__xludf.DUMMYFUNCTION("REGEXREPLACE(G2211, ""[^0-9a-zA-Z .'Ã]"","""")"),"Catalina Sandino Moreno")</f>
        <v>Catalina Sandino Moreno</v>
      </c>
      <c r="I2211" s="28" t="s">
        <v>7303</v>
      </c>
      <c r="J2211" s="26">
        <v>30474.0</v>
      </c>
      <c r="K2211" s="26" t="s">
        <v>7304</v>
      </c>
      <c r="L2211" s="26">
        <v>172.0</v>
      </c>
      <c r="M2211" s="26" t="s">
        <v>1553</v>
      </c>
      <c r="N2211" s="26" t="s">
        <v>7305</v>
      </c>
      <c r="O2211" s="27">
        <v>3000000.0</v>
      </c>
      <c r="P2211" s="10">
        <f t="shared" si="2"/>
        <v>3517198</v>
      </c>
      <c r="Q2211" s="12">
        <f t="shared" si="3"/>
        <v>0</v>
      </c>
      <c r="R2211" s="26">
        <v>2004.0</v>
      </c>
      <c r="S2211" s="26">
        <v>7.5</v>
      </c>
    </row>
    <row r="2212" ht="15.75" customHeight="1">
      <c r="A2212" s="29" t="s">
        <v>1940</v>
      </c>
      <c r="B2212" s="8" t="str">
        <f>IFERROR(__xludf.DUMMYFUNCTION("REGEXREPLACE(A2212, ""[^0-9a-zA-Z .'Ã]"","""")"),"Stephen Daldry")</f>
        <v>Stephen Daldry</v>
      </c>
      <c r="C2212" s="30">
        <v>151.0</v>
      </c>
      <c r="D2212" s="31">
        <v>2.1994911E7</v>
      </c>
      <c r="E2212" s="30" t="s">
        <v>418</v>
      </c>
      <c r="F2212" s="9">
        <f t="shared" si="1"/>
        <v>2</v>
      </c>
      <c r="G2212" s="30" t="s">
        <v>7306</v>
      </c>
      <c r="H2212" s="11" t="str">
        <f>IFERROR(__xludf.DUMMYFUNCTION("REGEXREPLACE(G2212, ""[^0-9a-zA-Z .'Ã]"","""")"),"Julie Walters")</f>
        <v>Julie Walters</v>
      </c>
      <c r="I2212" s="32" t="s">
        <v>7307</v>
      </c>
      <c r="J2212" s="30">
        <v>98354.0</v>
      </c>
      <c r="K2212" s="30" t="s">
        <v>7308</v>
      </c>
      <c r="L2212" s="30">
        <v>433.0</v>
      </c>
      <c r="M2212" s="30" t="s">
        <v>24</v>
      </c>
      <c r="N2212" s="30" t="s">
        <v>130</v>
      </c>
      <c r="O2212" s="31">
        <v>5000000.0</v>
      </c>
      <c r="P2212" s="10">
        <f t="shared" si="2"/>
        <v>16994911</v>
      </c>
      <c r="Q2212" s="12">
        <f t="shared" si="3"/>
        <v>0</v>
      </c>
      <c r="R2212" s="30">
        <v>2000.0</v>
      </c>
      <c r="S2212" s="30">
        <v>7.7</v>
      </c>
    </row>
    <row r="2213" ht="15.75" customHeight="1">
      <c r="A2213" s="17" t="s">
        <v>1248</v>
      </c>
      <c r="B2213" s="8" t="str">
        <f>IFERROR(__xludf.DUMMYFUNCTION("REGEXREPLACE(A2213, ""[^0-9a-zA-Z .'Ã]"","""")"),"Paul Weitz")</f>
        <v>Paul Weitz</v>
      </c>
      <c r="C2213" s="18">
        <v>157.0</v>
      </c>
      <c r="D2213" s="19">
        <v>1.383813E7</v>
      </c>
      <c r="E2213" s="18" t="s">
        <v>3652</v>
      </c>
      <c r="F2213" s="9">
        <f t="shared" si="1"/>
        <v>4</v>
      </c>
      <c r="G2213" s="18" t="s">
        <v>811</v>
      </c>
      <c r="H2213" s="11" t="str">
        <f>IFERROR(__xludf.DUMMYFUNCTION("REGEXREPLACE(G2213, ""[^0-9a-zA-Z .'Ã]"","""")"),"Josh Hutcherson")</f>
        <v>Josh Hutcherson</v>
      </c>
      <c r="I2213" s="20" t="s">
        <v>7309</v>
      </c>
      <c r="J2213" s="18">
        <v>35990.0</v>
      </c>
      <c r="K2213" s="18" t="s">
        <v>7310</v>
      </c>
      <c r="L2213" s="18">
        <v>157.0</v>
      </c>
      <c r="M2213" s="18" t="s">
        <v>24</v>
      </c>
      <c r="N2213" s="18" t="s">
        <v>25</v>
      </c>
      <c r="O2213" s="19">
        <v>4.0E7</v>
      </c>
      <c r="P2213" s="10">
        <f t="shared" si="2"/>
        <v>0</v>
      </c>
      <c r="Q2213" s="12">
        <f t="shared" si="3"/>
        <v>26161870</v>
      </c>
      <c r="R2213" s="18">
        <v>2009.0</v>
      </c>
      <c r="S2213" s="18">
        <v>5.9</v>
      </c>
    </row>
    <row r="2214" ht="15.75" customHeight="1">
      <c r="A2214" s="7" t="s">
        <v>4179</v>
      </c>
      <c r="B2214" s="8" t="str">
        <f>IFERROR(__xludf.DUMMYFUNCTION("REGEXREPLACE(A2214, ""[^0-9a-zA-Z .'Ã]"","""")"),"Jay Russell")</f>
        <v>Jay Russell</v>
      </c>
      <c r="C2214" s="9">
        <v>125.0</v>
      </c>
      <c r="D2214" s="10">
        <v>7.4540762E7</v>
      </c>
      <c r="E2214" s="9" t="s">
        <v>175</v>
      </c>
      <c r="F2214" s="9">
        <f t="shared" si="1"/>
        <v>3</v>
      </c>
      <c r="G2214" s="9" t="s">
        <v>1360</v>
      </c>
      <c r="H2214" s="11" t="str">
        <f>IFERROR(__xludf.DUMMYFUNCTION("REGEXREPLACE(G2214, ""[^0-9a-zA-Z .'Ã]"","""")"),"Billy Burke")</f>
        <v>Billy Burke</v>
      </c>
      <c r="I2214" s="11" t="s">
        <v>7311</v>
      </c>
      <c r="J2214" s="9">
        <v>48753.0</v>
      </c>
      <c r="K2214" s="9" t="s">
        <v>7312</v>
      </c>
      <c r="L2214" s="9">
        <v>323.0</v>
      </c>
      <c r="M2214" s="9" t="s">
        <v>24</v>
      </c>
      <c r="N2214" s="9" t="s">
        <v>25</v>
      </c>
      <c r="O2214" s="10">
        <v>5.5E7</v>
      </c>
      <c r="P2214" s="10">
        <f t="shared" si="2"/>
        <v>19540762</v>
      </c>
      <c r="Q2214" s="12">
        <f t="shared" si="3"/>
        <v>0</v>
      </c>
      <c r="R2214" s="9">
        <v>2004.0</v>
      </c>
      <c r="S2214" s="9">
        <v>6.5</v>
      </c>
    </row>
    <row r="2215" ht="15.75" customHeight="1">
      <c r="A2215" s="13" t="s">
        <v>4041</v>
      </c>
      <c r="B2215" s="8" t="str">
        <f>IFERROR(__xludf.DUMMYFUNCTION("REGEXREPLACE(A2215, ""[^0-9a-zA-Z .'Ã]"","""")"),"Catherine Hardwicke")</f>
        <v>Catherine Hardwicke</v>
      </c>
      <c r="C2215" s="14">
        <v>122.0</v>
      </c>
      <c r="D2215" s="15">
        <v>3.7617947E7</v>
      </c>
      <c r="E2215" s="14" t="s">
        <v>7313</v>
      </c>
      <c r="F2215" s="9">
        <f t="shared" si="1"/>
        <v>3</v>
      </c>
      <c r="G2215" s="14" t="s">
        <v>6767</v>
      </c>
      <c r="H2215" s="11" t="str">
        <f>IFERROR(__xludf.DUMMYFUNCTION("REGEXREPLACE(G2215, ""[^0-9a-zA-Z .'Ã]"","""")"),"Keisha CastleHughes")</f>
        <v>Keisha CastleHughes</v>
      </c>
      <c r="I2215" s="16" t="s">
        <v>7314</v>
      </c>
      <c r="J2215" s="14">
        <v>8143.0</v>
      </c>
      <c r="K2215" s="14" t="s">
        <v>7315</v>
      </c>
      <c r="L2215" s="14">
        <v>203.0</v>
      </c>
      <c r="M2215" s="14" t="s">
        <v>24</v>
      </c>
      <c r="N2215" s="14" t="s">
        <v>25</v>
      </c>
      <c r="O2215" s="15">
        <v>3.0E7</v>
      </c>
      <c r="P2215" s="10">
        <f t="shared" si="2"/>
        <v>7617947</v>
      </c>
      <c r="Q2215" s="12">
        <f t="shared" si="3"/>
        <v>0</v>
      </c>
      <c r="R2215" s="14">
        <v>2006.0</v>
      </c>
      <c r="S2215" s="14">
        <v>6.8</v>
      </c>
    </row>
    <row r="2216" ht="15.75" customHeight="1">
      <c r="A2216" s="25" t="s">
        <v>7316</v>
      </c>
      <c r="B2216" s="8" t="str">
        <f>IFERROR(__xludf.DUMMYFUNCTION("REGEXREPLACE(A2216, ""[^0-9a-zA-Z .'Ã]"","""")"),"Wil Shriner")</f>
        <v>Wil Shriner</v>
      </c>
      <c r="C2216" s="26">
        <v>49.0</v>
      </c>
      <c r="D2216" s="27">
        <v>8080116.0</v>
      </c>
      <c r="E2216" s="26" t="s">
        <v>2707</v>
      </c>
      <c r="F2216" s="9">
        <f t="shared" si="1"/>
        <v>3</v>
      </c>
      <c r="G2216" s="26" t="s">
        <v>2013</v>
      </c>
      <c r="H2216" s="11" t="str">
        <f>IFERROR(__xludf.DUMMYFUNCTION("REGEXREPLACE(G2216, ""[^0-9a-zA-Z .'Ã]"","""")"),"Logan Lerman")</f>
        <v>Logan Lerman</v>
      </c>
      <c r="I2216" s="28" t="s">
        <v>7317</v>
      </c>
      <c r="J2216" s="26">
        <v>6562.0</v>
      </c>
      <c r="K2216" s="26" t="s">
        <v>7318</v>
      </c>
      <c r="L2216" s="26">
        <v>66.0</v>
      </c>
      <c r="M2216" s="26" t="s">
        <v>24</v>
      </c>
      <c r="N2216" s="26" t="s">
        <v>25</v>
      </c>
      <c r="O2216" s="27">
        <v>1.5E7</v>
      </c>
      <c r="P2216" s="10">
        <f t="shared" si="2"/>
        <v>0</v>
      </c>
      <c r="Q2216" s="12">
        <f t="shared" si="3"/>
        <v>6919884</v>
      </c>
      <c r="R2216" s="26">
        <v>2006.0</v>
      </c>
      <c r="S2216" s="26">
        <v>5.6</v>
      </c>
    </row>
    <row r="2217" ht="15.75" customHeight="1">
      <c r="A2217" s="17" t="s">
        <v>532</v>
      </c>
      <c r="B2217" s="8" t="str">
        <f>IFERROR(__xludf.DUMMYFUNCTION("REGEXREPLACE(A2217, ""[^0-9a-zA-Z .'Ã]"","""")"),"Donald Petrie")</f>
        <v>Donald Petrie</v>
      </c>
      <c r="C2217" s="18">
        <v>19.0</v>
      </c>
      <c r="D2217" s="19">
        <v>3.8087756E7</v>
      </c>
      <c r="E2217" s="18" t="s">
        <v>857</v>
      </c>
      <c r="F2217" s="9">
        <f t="shared" si="1"/>
        <v>2</v>
      </c>
      <c r="G2217" s="18" t="s">
        <v>2080</v>
      </c>
      <c r="H2217" s="11" t="str">
        <f>IFERROR(__xludf.DUMMYFUNCTION("REGEXREPLACE(G2217, ""[^0-9a-zA-Z .'Ã]"","""")"),"Macaulay Culkin")</f>
        <v>Macaulay Culkin</v>
      </c>
      <c r="I2217" s="20" t="s">
        <v>7319</v>
      </c>
      <c r="J2217" s="18">
        <v>49612.0</v>
      </c>
      <c r="K2217" s="18" t="s">
        <v>7320</v>
      </c>
      <c r="L2217" s="18">
        <v>39.0</v>
      </c>
      <c r="M2217" s="18" t="s">
        <v>24</v>
      </c>
      <c r="N2217" s="18" t="s">
        <v>25</v>
      </c>
      <c r="O2217" s="19">
        <v>4.0E7</v>
      </c>
      <c r="P2217" s="10">
        <f t="shared" si="2"/>
        <v>0</v>
      </c>
      <c r="Q2217" s="12">
        <f t="shared" si="3"/>
        <v>1912244</v>
      </c>
      <c r="R2217" s="18">
        <v>1994.0</v>
      </c>
      <c r="S2217" s="18">
        <v>5.2</v>
      </c>
    </row>
    <row r="2218" ht="15.75" customHeight="1">
      <c r="A2218" s="13" t="s">
        <v>245</v>
      </c>
      <c r="B2218" s="8" t="str">
        <f>IFERROR(__xludf.DUMMYFUNCTION("REGEXREPLACE(A2218, ""[^0-9a-zA-Z .'Ã]"","""")"),"Paul Feig")</f>
        <v>Paul Feig</v>
      </c>
      <c r="C2218" s="14">
        <v>270.0</v>
      </c>
      <c r="D2218" s="15">
        <v>1.59578352E8</v>
      </c>
      <c r="E2218" s="14" t="s">
        <v>265</v>
      </c>
      <c r="F2218" s="9">
        <f t="shared" si="1"/>
        <v>3</v>
      </c>
      <c r="G2218" s="14" t="s">
        <v>2136</v>
      </c>
      <c r="H2218" s="11" t="str">
        <f>IFERROR(__xludf.DUMMYFUNCTION("REGEXREPLACE(G2218, ""[^0-9a-zA-Z .'Ã]"","""")"),"Michael Rapaport")</f>
        <v>Michael Rapaport</v>
      </c>
      <c r="I2218" s="16" t="s">
        <v>7321</v>
      </c>
      <c r="J2218" s="14">
        <v>133177.0</v>
      </c>
      <c r="K2218" s="14" t="s">
        <v>7322</v>
      </c>
      <c r="L2218" s="14">
        <v>380.0</v>
      </c>
      <c r="M2218" s="14" t="s">
        <v>24</v>
      </c>
      <c r="N2218" s="14" t="s">
        <v>25</v>
      </c>
      <c r="O2218" s="15">
        <v>4.3E7</v>
      </c>
      <c r="P2218" s="10">
        <f t="shared" si="2"/>
        <v>116578352</v>
      </c>
      <c r="Q2218" s="12">
        <f t="shared" si="3"/>
        <v>0</v>
      </c>
      <c r="R2218" s="14">
        <v>2013.0</v>
      </c>
      <c r="S2218" s="14">
        <v>6.6</v>
      </c>
    </row>
    <row r="2219" ht="15.75" customHeight="1">
      <c r="A2219" s="21" t="s">
        <v>2955</v>
      </c>
      <c r="B2219" s="8" t="str">
        <f>IFERROR(__xludf.DUMMYFUNCTION("REGEXREPLACE(A2219, ""[^0-9a-zA-Z .'Ã]"","""")"),"Bart Freundlich")</f>
        <v>Bart Freundlich</v>
      </c>
      <c r="C2219" s="22">
        <v>100.0</v>
      </c>
      <c r="D2219" s="23">
        <v>1530535.0</v>
      </c>
      <c r="E2219" s="22" t="s">
        <v>159</v>
      </c>
      <c r="F2219" s="9">
        <f t="shared" si="1"/>
        <v>3</v>
      </c>
      <c r="G2219" s="22" t="s">
        <v>5440</v>
      </c>
      <c r="H2219" s="11" t="str">
        <f>IFERROR(__xludf.DUMMYFUNCTION("REGEXREPLACE(G2219, ""[^0-9a-zA-Z .'Ã]"","""")"),"Billy Crudup")</f>
        <v>Billy Crudup</v>
      </c>
      <c r="I2219" s="24" t="s">
        <v>7323</v>
      </c>
      <c r="J2219" s="22">
        <v>7833.0</v>
      </c>
      <c r="K2219" s="22" t="s">
        <v>7324</v>
      </c>
      <c r="L2219" s="22">
        <v>63.0</v>
      </c>
      <c r="M2219" s="22" t="s">
        <v>24</v>
      </c>
      <c r="N2219" s="22" t="s">
        <v>25</v>
      </c>
      <c r="O2219" s="23">
        <v>9000000.0</v>
      </c>
      <c r="P2219" s="10">
        <f t="shared" si="2"/>
        <v>0</v>
      </c>
      <c r="Q2219" s="12">
        <f t="shared" si="3"/>
        <v>7469465</v>
      </c>
      <c r="R2219" s="22">
        <v>2005.0</v>
      </c>
      <c r="S2219" s="22">
        <v>5.7</v>
      </c>
    </row>
    <row r="2220" ht="15.75" customHeight="1">
      <c r="A2220" s="7" t="s">
        <v>7325</v>
      </c>
      <c r="B2220" s="8" t="str">
        <f>IFERROR(__xludf.DUMMYFUNCTION("REGEXREPLACE(A2220, ""[^0-9a-zA-Z .'Ã]"","""")"),"Lone Scherfig")</f>
        <v>Lone Scherfig</v>
      </c>
      <c r="C2220" s="9">
        <v>221.0</v>
      </c>
      <c r="D2220" s="10">
        <v>1.3766014E7</v>
      </c>
      <c r="E2220" s="9" t="s">
        <v>232</v>
      </c>
      <c r="F2220" s="9">
        <f t="shared" si="1"/>
        <v>2</v>
      </c>
      <c r="G2220" s="9" t="s">
        <v>419</v>
      </c>
      <c r="H2220" s="11" t="str">
        <f>IFERROR(__xludf.DUMMYFUNCTION("REGEXREPLACE(G2220, ""[^0-9a-zA-Z .'Ã]"","""")"),"Anne Hathaway")</f>
        <v>Anne Hathaway</v>
      </c>
      <c r="I2220" s="11" t="s">
        <v>7326</v>
      </c>
      <c r="J2220" s="9">
        <v>106111.0</v>
      </c>
      <c r="K2220" s="9" t="s">
        <v>7327</v>
      </c>
      <c r="L2220" s="9">
        <v>181.0</v>
      </c>
      <c r="M2220" s="9" t="s">
        <v>24</v>
      </c>
      <c r="N2220" s="9" t="s">
        <v>25</v>
      </c>
      <c r="O2220" s="10">
        <v>1.5E7</v>
      </c>
      <c r="P2220" s="10">
        <f t="shared" si="2"/>
        <v>0</v>
      </c>
      <c r="Q2220" s="12">
        <f t="shared" si="3"/>
        <v>1233986</v>
      </c>
      <c r="R2220" s="9">
        <v>2011.0</v>
      </c>
      <c r="S2220" s="9">
        <v>7.0</v>
      </c>
    </row>
    <row r="2221" ht="15.75" customHeight="1">
      <c r="A2221" s="17" t="s">
        <v>723</v>
      </c>
      <c r="B2221" s="8" t="str">
        <f>IFERROR(__xludf.DUMMYFUNCTION("REGEXREPLACE(A2221, ""[^0-9a-zA-Z .'Ã]"","""")"),"Robert Rodriguez")</f>
        <v>Robert Rodriguez</v>
      </c>
      <c r="C2221" s="18">
        <v>165.0</v>
      </c>
      <c r="D2221" s="19">
        <v>2.575384E7</v>
      </c>
      <c r="E2221" s="18" t="s">
        <v>7328</v>
      </c>
      <c r="F2221" s="9">
        <f t="shared" si="1"/>
        <v>3</v>
      </c>
      <c r="G2221" s="18" t="s">
        <v>53</v>
      </c>
      <c r="H2221" s="11" t="str">
        <f>IFERROR(__xludf.DUMMYFUNCTION("REGEXREPLACE(G2221, ""[^0-9a-zA-Z .'Ã]"","""")"),"Quentin Tarantino")</f>
        <v>Quentin Tarantino</v>
      </c>
      <c r="I2221" s="20" t="s">
        <v>7329</v>
      </c>
      <c r="J2221" s="18">
        <v>219091.0</v>
      </c>
      <c r="K2221" s="18" t="s">
        <v>7330</v>
      </c>
      <c r="L2221" s="18">
        <v>592.0</v>
      </c>
      <c r="M2221" s="18" t="s">
        <v>24</v>
      </c>
      <c r="N2221" s="18" t="s">
        <v>25</v>
      </c>
      <c r="O2221" s="19">
        <v>1.9E7</v>
      </c>
      <c r="P2221" s="10">
        <f t="shared" si="2"/>
        <v>6753840</v>
      </c>
      <c r="Q2221" s="12">
        <f t="shared" si="3"/>
        <v>0</v>
      </c>
      <c r="R2221" s="18">
        <v>1996.0</v>
      </c>
      <c r="S2221" s="18">
        <v>7.3</v>
      </c>
    </row>
    <row r="2222" ht="15.75" customHeight="1">
      <c r="A2222" s="7" t="s">
        <v>7331</v>
      </c>
      <c r="B2222" s="8" t="str">
        <f>IFERROR(__xludf.DUMMYFUNCTION("REGEXREPLACE(A2222, ""[^0-9a-zA-Z .'Ã]"","""")"),"Marc Levin")</f>
        <v>Marc Levin</v>
      </c>
      <c r="C2222" s="9">
        <v>16.0</v>
      </c>
      <c r="D2222" s="10">
        <v>982214.0</v>
      </c>
      <c r="E2222" s="9" t="s">
        <v>103</v>
      </c>
      <c r="F2222" s="9">
        <f t="shared" si="1"/>
        <v>1</v>
      </c>
      <c r="G2222" s="9" t="s">
        <v>7332</v>
      </c>
      <c r="H2222" s="11" t="str">
        <f>IFERROR(__xludf.DUMMYFUNCTION("REGEXREPLACE(G2222, ""[^0-9a-zA-Z .'Ã]"","""")"),"Sonja Sohn")</f>
        <v>Sonja Sohn</v>
      </c>
      <c r="I2222" s="11" t="s">
        <v>7333</v>
      </c>
      <c r="J2222" s="9">
        <v>1976.0</v>
      </c>
      <c r="K2222" s="9" t="s">
        <v>7334</v>
      </c>
      <c r="L2222" s="9">
        <v>51.0</v>
      </c>
      <c r="M2222" s="9" t="s">
        <v>24</v>
      </c>
      <c r="N2222" s="9" t="s">
        <v>25</v>
      </c>
      <c r="O2222" s="10">
        <v>1000000.0</v>
      </c>
      <c r="P2222" s="10">
        <f t="shared" si="2"/>
        <v>0</v>
      </c>
      <c r="Q2222" s="12">
        <f t="shared" si="3"/>
        <v>17786</v>
      </c>
      <c r="R2222" s="9">
        <v>1998.0</v>
      </c>
      <c r="S2222" s="9">
        <v>7.2</v>
      </c>
    </row>
    <row r="2223" ht="15.75" customHeight="1">
      <c r="A2223" s="25" t="s">
        <v>7335</v>
      </c>
      <c r="B2223" s="8" t="str">
        <f>IFERROR(__xludf.DUMMYFUNCTION("REGEXREPLACE(A2223, ""[^0-9a-zA-Z .'Ã]"","""")"),"David Carson")</f>
        <v>David Carson</v>
      </c>
      <c r="C2223" s="26">
        <v>98.0</v>
      </c>
      <c r="D2223" s="27">
        <v>7.5668868E7</v>
      </c>
      <c r="E2223" s="26" t="s">
        <v>1696</v>
      </c>
      <c r="F2223" s="9">
        <f t="shared" si="1"/>
        <v>5</v>
      </c>
      <c r="G2223" s="26" t="s">
        <v>6826</v>
      </c>
      <c r="H2223" s="11" t="str">
        <f>IFERROR(__xludf.DUMMYFUNCTION("REGEXREPLACE(G2223, ""[^0-9a-zA-Z .'Ã]"","""")"),"LeVar Burton")</f>
        <v>LeVar Burton</v>
      </c>
      <c r="I2223" s="28" t="s">
        <v>7336</v>
      </c>
      <c r="J2223" s="26">
        <v>60504.0</v>
      </c>
      <c r="K2223" s="26" t="s">
        <v>7337</v>
      </c>
      <c r="L2223" s="26">
        <v>249.0</v>
      </c>
      <c r="M2223" s="26" t="s">
        <v>24</v>
      </c>
      <c r="N2223" s="26" t="s">
        <v>25</v>
      </c>
      <c r="O2223" s="27">
        <v>3.5E7</v>
      </c>
      <c r="P2223" s="10">
        <f t="shared" si="2"/>
        <v>40668868</v>
      </c>
      <c r="Q2223" s="12">
        <f t="shared" si="3"/>
        <v>0</v>
      </c>
      <c r="R2223" s="26">
        <v>1994.0</v>
      </c>
      <c r="S2223" s="26">
        <v>6.6</v>
      </c>
    </row>
    <row r="2224" ht="15.75" customHeight="1">
      <c r="A2224" s="7" t="s">
        <v>1489</v>
      </c>
      <c r="B2224" s="8" t="str">
        <f>IFERROR(__xludf.DUMMYFUNCTION("REGEXREPLACE(A2224, ""[^0-9a-zA-Z .'Ã]"","""")"),"John Madden")</f>
        <v>John Madden</v>
      </c>
      <c r="C2224" s="9">
        <v>158.0</v>
      </c>
      <c r="D2224" s="10">
        <v>3.3071558E7</v>
      </c>
      <c r="E2224" s="9" t="s">
        <v>454</v>
      </c>
      <c r="F2224" s="9">
        <f t="shared" si="1"/>
        <v>2</v>
      </c>
      <c r="G2224" s="9" t="s">
        <v>7338</v>
      </c>
      <c r="H2224" s="11" t="str">
        <f>IFERROR(__xludf.DUMMYFUNCTION("REGEXREPLACE(G2224, ""[^0-9a-zA-Z .'Ã]"","""")"),"Tina Desai")</f>
        <v>Tina Desai</v>
      </c>
      <c r="I2224" s="11" t="s">
        <v>7339</v>
      </c>
      <c r="J2224" s="9">
        <v>22369.0</v>
      </c>
      <c r="K2224" s="9" t="s">
        <v>7340</v>
      </c>
      <c r="L2224" s="9">
        <v>100.0</v>
      </c>
      <c r="M2224" s="9" t="s">
        <v>24</v>
      </c>
      <c r="N2224" s="9" t="s">
        <v>130</v>
      </c>
      <c r="O2224" s="10">
        <v>1.0E7</v>
      </c>
      <c r="P2224" s="10">
        <f t="shared" si="2"/>
        <v>23071558</v>
      </c>
      <c r="Q2224" s="12">
        <f t="shared" si="3"/>
        <v>0</v>
      </c>
      <c r="R2224" s="9">
        <v>2015.0</v>
      </c>
      <c r="S2224" s="9">
        <v>6.6</v>
      </c>
    </row>
    <row r="2225" ht="15.75" customHeight="1">
      <c r="A2225" s="17" t="s">
        <v>2388</v>
      </c>
      <c r="B2225" s="8" t="str">
        <f>IFERROR(__xludf.DUMMYFUNCTION("REGEXREPLACE(A2225, ""[^0-9a-zA-Z .'Ã]"","""")"),"Paul Greengrass")</f>
        <v>Paul Greengrass</v>
      </c>
      <c r="C2225" s="18">
        <v>329.0</v>
      </c>
      <c r="D2225" s="19">
        <v>2.2713709E8</v>
      </c>
      <c r="E2225" s="18" t="s">
        <v>1155</v>
      </c>
      <c r="F2225" s="9">
        <f t="shared" si="1"/>
        <v>3</v>
      </c>
      <c r="G2225" s="18" t="s">
        <v>585</v>
      </c>
      <c r="H2225" s="11" t="str">
        <f>IFERROR(__xludf.DUMMYFUNCTION("REGEXREPLACE(G2225, ""[^0-9a-zA-Z .'Ã]"","""")"),"Matt Damon")</f>
        <v>Matt Damon</v>
      </c>
      <c r="I2225" s="20" t="s">
        <v>7341</v>
      </c>
      <c r="J2225" s="18">
        <v>491077.0</v>
      </c>
      <c r="K2225" s="18" t="s">
        <v>7342</v>
      </c>
      <c r="L2225" s="18">
        <v>820.0</v>
      </c>
      <c r="M2225" s="18" t="s">
        <v>24</v>
      </c>
      <c r="N2225" s="18" t="s">
        <v>25</v>
      </c>
      <c r="O2225" s="19">
        <v>1.1E8</v>
      </c>
      <c r="P2225" s="10">
        <f t="shared" si="2"/>
        <v>117137090</v>
      </c>
      <c r="Q2225" s="12">
        <f t="shared" si="3"/>
        <v>0</v>
      </c>
      <c r="R2225" s="18">
        <v>2007.0</v>
      </c>
      <c r="S2225" s="18">
        <v>8.1</v>
      </c>
    </row>
    <row r="2226" ht="15.75" customHeight="1">
      <c r="A2226" s="7" t="s">
        <v>823</v>
      </c>
      <c r="B2226" s="8" t="str">
        <f>IFERROR(__xludf.DUMMYFUNCTION("REGEXREPLACE(A2226, ""[^0-9a-zA-Z .'Ã]"","""")"),"Jon Amiel")</f>
        <v>Jon Amiel</v>
      </c>
      <c r="C2226" s="9">
        <v>57.0</v>
      </c>
      <c r="D2226" s="10">
        <v>3.2051917E7</v>
      </c>
      <c r="E2226" s="9" t="s">
        <v>435</v>
      </c>
      <c r="F2226" s="9">
        <f t="shared" si="1"/>
        <v>4</v>
      </c>
      <c r="G2226" s="9" t="s">
        <v>7343</v>
      </c>
      <c r="H2226" s="11" t="str">
        <f>IFERROR(__xludf.DUMMYFUNCTION("REGEXREPLACE(G2226, ""[^0-9a-zA-Z .'Ã]"","""")"),"William McNamara")</f>
        <v>William McNamara</v>
      </c>
      <c r="I2226" s="11" t="s">
        <v>7344</v>
      </c>
      <c r="J2226" s="9">
        <v>42315.0</v>
      </c>
      <c r="K2226" s="9" t="s">
        <v>7345</v>
      </c>
      <c r="L2226" s="9">
        <v>140.0</v>
      </c>
      <c r="M2226" s="9" t="s">
        <v>24</v>
      </c>
      <c r="N2226" s="9" t="s">
        <v>25</v>
      </c>
      <c r="O2226" s="10">
        <v>2.0E7</v>
      </c>
      <c r="P2226" s="10">
        <f t="shared" si="2"/>
        <v>12051917</v>
      </c>
      <c r="Q2226" s="12">
        <f t="shared" si="3"/>
        <v>0</v>
      </c>
      <c r="R2226" s="9">
        <v>1995.0</v>
      </c>
      <c r="S2226" s="9">
        <v>6.6</v>
      </c>
    </row>
    <row r="2227" ht="15.75" customHeight="1">
      <c r="A2227" s="7" t="s">
        <v>4575</v>
      </c>
      <c r="B2227" s="8" t="str">
        <f>IFERROR(__xludf.DUMMYFUNCTION("REGEXREPLACE(A2227, ""[^0-9a-zA-Z .'Ã]"","""")"),"David Gordon Green")</f>
        <v>David Gordon Green</v>
      </c>
      <c r="C2227" s="9">
        <v>75.0</v>
      </c>
      <c r="D2227" s="10">
        <v>241816.0</v>
      </c>
      <c r="E2227" s="9" t="s">
        <v>103</v>
      </c>
      <c r="F2227" s="9">
        <f t="shared" si="1"/>
        <v>1</v>
      </c>
      <c r="G2227" s="9" t="s">
        <v>7346</v>
      </c>
      <c r="H2227" s="11" t="str">
        <f>IFERROR(__xludf.DUMMYFUNCTION("REGEXREPLACE(G2227, ""[^0-9a-zA-Z .'Ã]"","""")"),"Paul Schneider")</f>
        <v>Paul Schneider</v>
      </c>
      <c r="I2227" s="11" t="s">
        <v>7347</v>
      </c>
      <c r="J2227" s="9">
        <v>6246.0</v>
      </c>
      <c r="K2227" s="9" t="s">
        <v>7348</v>
      </c>
      <c r="L2227" s="9">
        <v>76.0</v>
      </c>
      <c r="M2227" s="9" t="s">
        <v>24</v>
      </c>
      <c r="N2227" s="9" t="s">
        <v>25</v>
      </c>
      <c r="O2227" s="10">
        <v>42000.0</v>
      </c>
      <c r="P2227" s="10">
        <f t="shared" si="2"/>
        <v>199816</v>
      </c>
      <c r="Q2227" s="12">
        <f t="shared" si="3"/>
        <v>0</v>
      </c>
      <c r="R2227" s="9">
        <v>2000.0</v>
      </c>
      <c r="S2227" s="9">
        <v>7.5</v>
      </c>
    </row>
    <row r="2228" ht="15.75" customHeight="1">
      <c r="A2228" s="7" t="s">
        <v>7349</v>
      </c>
      <c r="B2228" s="8" t="str">
        <f>IFERROR(__xludf.DUMMYFUNCTION("REGEXREPLACE(A2228, ""[^0-9a-zA-Z .'Ã]"","""")"),"Stephen Gaghan")</f>
        <v>Stephen Gaghan</v>
      </c>
      <c r="C2228" s="9">
        <v>358.0</v>
      </c>
      <c r="D2228" s="10">
        <v>5.0815288E7</v>
      </c>
      <c r="E2228" s="9" t="s">
        <v>369</v>
      </c>
      <c r="F2228" s="9">
        <f t="shared" si="1"/>
        <v>2</v>
      </c>
      <c r="G2228" s="9" t="s">
        <v>585</v>
      </c>
      <c r="H2228" s="11" t="str">
        <f>IFERROR(__xludf.DUMMYFUNCTION("REGEXREPLACE(G2228, ""[^0-9a-zA-Z .'Ã]"","""")"),"Matt Damon")</f>
        <v>Matt Damon</v>
      </c>
      <c r="I2228" s="11" t="s">
        <v>7350</v>
      </c>
      <c r="J2228" s="9">
        <v>109188.0</v>
      </c>
      <c r="K2228" s="9" t="s">
        <v>7351</v>
      </c>
      <c r="L2228" s="9">
        <v>625.0</v>
      </c>
      <c r="M2228" s="9" t="s">
        <v>24</v>
      </c>
      <c r="N2228" s="9" t="s">
        <v>25</v>
      </c>
      <c r="O2228" s="10">
        <v>5.0E7</v>
      </c>
      <c r="P2228" s="10">
        <f t="shared" si="2"/>
        <v>815288</v>
      </c>
      <c r="Q2228" s="12">
        <f t="shared" si="3"/>
        <v>0</v>
      </c>
      <c r="R2228" s="9">
        <v>2005.0</v>
      </c>
      <c r="S2228" s="9">
        <v>7.0</v>
      </c>
    </row>
    <row r="2229" ht="15.75" customHeight="1">
      <c r="A2229" s="7" t="s">
        <v>179</v>
      </c>
      <c r="B2229" s="8" t="str">
        <f>IFERROR(__xludf.DUMMYFUNCTION("REGEXREPLACE(A2229, ""[^0-9a-zA-Z .'Ã]"","""")"),"Tim Burton")</f>
        <v>Tim Burton</v>
      </c>
      <c r="C2229" s="9">
        <v>132.0</v>
      </c>
      <c r="D2229" s="10">
        <v>3.7754208E7</v>
      </c>
      <c r="E2229" s="9" t="s">
        <v>1704</v>
      </c>
      <c r="F2229" s="9">
        <f t="shared" si="1"/>
        <v>3</v>
      </c>
      <c r="G2229" s="9" t="s">
        <v>1088</v>
      </c>
      <c r="H2229" s="11" t="str">
        <f>IFERROR(__xludf.DUMMYFUNCTION("REGEXREPLACE(G2229, ""[^0-9a-zA-Z .'Ã]"","""")"),"Natalie Portman")</f>
        <v>Natalie Portman</v>
      </c>
      <c r="I2229" s="11" t="s">
        <v>7352</v>
      </c>
      <c r="J2229" s="9">
        <v>172217.0</v>
      </c>
      <c r="K2229" s="9" t="s">
        <v>7353</v>
      </c>
      <c r="L2229" s="9">
        <v>405.0</v>
      </c>
      <c r="M2229" s="9" t="s">
        <v>24</v>
      </c>
      <c r="N2229" s="9" t="s">
        <v>25</v>
      </c>
      <c r="O2229" s="10">
        <v>7.0E7</v>
      </c>
      <c r="P2229" s="10">
        <f t="shared" si="2"/>
        <v>0</v>
      </c>
      <c r="Q2229" s="12">
        <f t="shared" si="3"/>
        <v>32245792</v>
      </c>
      <c r="R2229" s="9">
        <v>1996.0</v>
      </c>
      <c r="S2229" s="9">
        <v>6.3</v>
      </c>
    </row>
    <row r="2230" ht="15.75" customHeight="1">
      <c r="A2230" s="7" t="s">
        <v>5244</v>
      </c>
      <c r="B2230" s="8" t="str">
        <f>IFERROR(__xludf.DUMMYFUNCTION("REGEXREPLACE(A2230, ""[^0-9a-zA-Z .'Ã]"","""")"),"Charles Stone III")</f>
        <v>Charles Stone III</v>
      </c>
      <c r="C2230" s="9">
        <v>64.0</v>
      </c>
      <c r="D2230" s="10">
        <v>5.6398162E7</v>
      </c>
      <c r="E2230" s="9" t="s">
        <v>1009</v>
      </c>
      <c r="F2230" s="9">
        <f t="shared" si="1"/>
        <v>4</v>
      </c>
      <c r="G2230" s="9" t="s">
        <v>7354</v>
      </c>
      <c r="H2230" s="11" t="str">
        <f>IFERROR(__xludf.DUMMYFUNCTION("REGEXREPLACE(G2230, ""[^0-9a-zA-Z .'Ã]"","""")"),"Leonard Roberts")</f>
        <v>Leonard Roberts</v>
      </c>
      <c r="I2230" s="11" t="s">
        <v>7355</v>
      </c>
      <c r="J2230" s="9">
        <v>28649.0</v>
      </c>
      <c r="K2230" s="9" t="s">
        <v>7356</v>
      </c>
      <c r="L2230" s="9">
        <v>185.0</v>
      </c>
      <c r="M2230" s="9" t="s">
        <v>24</v>
      </c>
      <c r="N2230" s="9" t="s">
        <v>25</v>
      </c>
      <c r="O2230" s="10">
        <v>2.0E7</v>
      </c>
      <c r="P2230" s="10">
        <f t="shared" si="2"/>
        <v>36398162</v>
      </c>
      <c r="Q2230" s="12">
        <f t="shared" si="3"/>
        <v>0</v>
      </c>
      <c r="R2230" s="9">
        <v>2002.0</v>
      </c>
      <c r="S2230" s="9">
        <v>5.7</v>
      </c>
    </row>
    <row r="2231" ht="15.75" customHeight="1">
      <c r="A2231" s="21" t="s">
        <v>7357</v>
      </c>
      <c r="B2231" s="8" t="str">
        <f>IFERROR(__xludf.DUMMYFUNCTION("REGEXREPLACE(A2231, ""[^0-9a-zA-Z .'Ã]"","""")"),"Masayuki Ochiai")</f>
        <v>Masayuki Ochiai</v>
      </c>
      <c r="C2231" s="22">
        <v>135.0</v>
      </c>
      <c r="D2231" s="23">
        <v>2.5926543E7</v>
      </c>
      <c r="E2231" s="22" t="s">
        <v>94</v>
      </c>
      <c r="F2231" s="9">
        <f t="shared" si="1"/>
        <v>3</v>
      </c>
      <c r="G2231" s="22" t="s">
        <v>7358</v>
      </c>
      <c r="H2231" s="11" t="str">
        <f>IFERROR(__xludf.DUMMYFUNCTION("REGEXREPLACE(G2231, ""[^0-9a-zA-Z .'Ã]"","""")"),"James Kyson")</f>
        <v>James Kyson</v>
      </c>
      <c r="I2231" s="24" t="s">
        <v>7359</v>
      </c>
      <c r="J2231" s="22">
        <v>26609.0</v>
      </c>
      <c r="K2231" s="22" t="s">
        <v>7360</v>
      </c>
      <c r="L2231" s="22">
        <v>148.0</v>
      </c>
      <c r="M2231" s="22" t="s">
        <v>24</v>
      </c>
      <c r="N2231" s="22" t="s">
        <v>25</v>
      </c>
      <c r="O2231" s="23">
        <v>8000000.0</v>
      </c>
      <c r="P2231" s="10">
        <f t="shared" si="2"/>
        <v>17926543</v>
      </c>
      <c r="Q2231" s="12">
        <f t="shared" si="3"/>
        <v>0</v>
      </c>
      <c r="R2231" s="22">
        <v>2008.0</v>
      </c>
      <c r="S2231" s="22">
        <v>5.2</v>
      </c>
    </row>
    <row r="2232" ht="15.75" customHeight="1">
      <c r="A2232" s="7" t="s">
        <v>7361</v>
      </c>
      <c r="B2232" s="8" t="str">
        <f>IFERROR(__xludf.DUMMYFUNCTION("REGEXREPLACE(A2232, ""[^0-9a-zA-Z .'Ã]"","""")"),"Bob Odenkirk")</f>
        <v>Bob Odenkirk</v>
      </c>
      <c r="C2232" s="9">
        <v>51.0</v>
      </c>
      <c r="D2232" s="10">
        <v>900926.0</v>
      </c>
      <c r="E2232" s="9" t="s">
        <v>137</v>
      </c>
      <c r="F2232" s="9">
        <f t="shared" si="1"/>
        <v>1</v>
      </c>
      <c r="G2232" s="9" t="s">
        <v>423</v>
      </c>
      <c r="H2232" s="11" t="str">
        <f>IFERROR(__xludf.DUMMYFUNCTION("REGEXREPLACE(G2232, ""[^0-9a-zA-Z .'Ã]"","""")"),"Jenna Fischer")</f>
        <v>Jenna Fischer</v>
      </c>
      <c r="I2232" s="11" t="s">
        <v>7362</v>
      </c>
      <c r="J2232" s="9">
        <v>9517.0</v>
      </c>
      <c r="K2232" s="9" t="s">
        <v>7363</v>
      </c>
      <c r="L2232" s="9">
        <v>46.0</v>
      </c>
      <c r="M2232" s="9" t="s">
        <v>24</v>
      </c>
      <c r="N2232" s="9" t="s">
        <v>25</v>
      </c>
      <c r="O2232" s="10">
        <v>1.0E7</v>
      </c>
      <c r="P2232" s="10">
        <f t="shared" si="2"/>
        <v>0</v>
      </c>
      <c r="Q2232" s="12">
        <f t="shared" si="3"/>
        <v>9099074</v>
      </c>
      <c r="R2232" s="9">
        <v>2007.0</v>
      </c>
      <c r="S2232" s="9">
        <v>5.3</v>
      </c>
    </row>
    <row r="2233" ht="15.75" customHeight="1">
      <c r="A2233" s="7" t="s">
        <v>1187</v>
      </c>
      <c r="B2233" s="8" t="str">
        <f>IFERROR(__xludf.DUMMYFUNCTION("REGEXREPLACE(A2233, ""[^0-9a-zA-Z .'Ã]"","""")"),"Ang Lee")</f>
        <v>Ang Lee</v>
      </c>
      <c r="C2233" s="9">
        <v>267.0</v>
      </c>
      <c r="D2233" s="10">
        <v>1.32122995E8</v>
      </c>
      <c r="E2233" s="9" t="s">
        <v>848</v>
      </c>
      <c r="F2233" s="9">
        <f t="shared" si="1"/>
        <v>2</v>
      </c>
      <c r="G2233" s="9" t="s">
        <v>7364</v>
      </c>
      <c r="H2233" s="11" t="str">
        <f>IFERROR(__xludf.DUMMYFUNCTION("REGEXREPLACE(G2233, ""[^0-9a-zA-Z .'Ã]"","""")"),"Kevin Rankin")</f>
        <v>Kevin Rankin</v>
      </c>
      <c r="I2233" s="11" t="s">
        <v>7365</v>
      </c>
      <c r="J2233" s="9">
        <v>212106.0</v>
      </c>
      <c r="K2233" s="9" t="s">
        <v>7366</v>
      </c>
      <c r="L2233" s="9">
        <v>1445.0</v>
      </c>
      <c r="M2233" s="9" t="s">
        <v>24</v>
      </c>
      <c r="N2233" s="9" t="s">
        <v>25</v>
      </c>
      <c r="O2233" s="10">
        <v>1.37E8</v>
      </c>
      <c r="P2233" s="10">
        <f t="shared" si="2"/>
        <v>0</v>
      </c>
      <c r="Q2233" s="12">
        <f t="shared" si="3"/>
        <v>4877005</v>
      </c>
      <c r="R2233" s="9">
        <v>2003.0</v>
      </c>
      <c r="S2233" s="9">
        <v>5.7</v>
      </c>
    </row>
    <row r="2234" ht="15.75" customHeight="1">
      <c r="A2234" s="7" t="s">
        <v>1569</v>
      </c>
      <c r="B2234" s="8" t="str">
        <f>IFERROR(__xludf.DUMMYFUNCTION("REGEXREPLACE(A2234, ""[^0-9a-zA-Z .'Ã]"","""")"),"Tom Tykwer")</f>
        <v>Tom Tykwer</v>
      </c>
      <c r="C2234" s="9">
        <v>511.0</v>
      </c>
      <c r="D2234" s="10">
        <v>2.709858E7</v>
      </c>
      <c r="E2234" s="9" t="s">
        <v>882</v>
      </c>
      <c r="F2234" s="9">
        <f t="shared" si="1"/>
        <v>2</v>
      </c>
      <c r="G2234" s="9" t="s">
        <v>461</v>
      </c>
      <c r="H2234" s="11" t="str">
        <f>IFERROR(__xludf.DUMMYFUNCTION("REGEXREPLACE(G2234, ""[^0-9a-zA-Z .'Ã]"","""")"),"Tom Hanks")</f>
        <v>Tom Hanks</v>
      </c>
      <c r="I2234" s="11" t="s">
        <v>7367</v>
      </c>
      <c r="J2234" s="9">
        <v>284825.0</v>
      </c>
      <c r="K2234" s="9" t="s">
        <v>7368</v>
      </c>
      <c r="L2234" s="9">
        <v>828.0</v>
      </c>
      <c r="M2234" s="9" t="s">
        <v>24</v>
      </c>
      <c r="N2234" s="9" t="s">
        <v>173</v>
      </c>
      <c r="O2234" s="10">
        <v>1.02E8</v>
      </c>
      <c r="P2234" s="10">
        <f t="shared" si="2"/>
        <v>0</v>
      </c>
      <c r="Q2234" s="12">
        <f t="shared" si="3"/>
        <v>74901420</v>
      </c>
      <c r="R2234" s="9">
        <v>2012.0</v>
      </c>
      <c r="S2234" s="9">
        <v>7.5</v>
      </c>
    </row>
    <row r="2235" ht="15.75" customHeight="1">
      <c r="A2235" s="7" t="s">
        <v>7369</v>
      </c>
      <c r="B2235" s="8" t="str">
        <f>IFERROR(__xludf.DUMMYFUNCTION("REGEXREPLACE(A2235, ""[^0-9a-zA-Z .'Ã]"","""")"),"Troy Duffy")</f>
        <v>Troy Duffy</v>
      </c>
      <c r="C2235" s="9">
        <v>91.0</v>
      </c>
      <c r="D2235" s="10">
        <v>1.0269307E7</v>
      </c>
      <c r="E2235" s="9" t="s">
        <v>152</v>
      </c>
      <c r="F2235" s="9">
        <f t="shared" si="1"/>
        <v>3</v>
      </c>
      <c r="G2235" s="9" t="s">
        <v>1665</v>
      </c>
      <c r="H2235" s="11" t="str">
        <f>IFERROR(__xludf.DUMMYFUNCTION("REGEXREPLACE(G2235, ""[^0-9a-zA-Z .'Ã]"","""")"),"Norman Reedus")</f>
        <v>Norman Reedus</v>
      </c>
      <c r="I2235" s="11" t="s">
        <v>7370</v>
      </c>
      <c r="J2235" s="9">
        <v>53251.0</v>
      </c>
      <c r="K2235" s="9" t="s">
        <v>7371</v>
      </c>
      <c r="L2235" s="9">
        <v>188.0</v>
      </c>
      <c r="M2235" s="9" t="s">
        <v>24</v>
      </c>
      <c r="N2235" s="9" t="s">
        <v>25</v>
      </c>
      <c r="O2235" s="10">
        <v>8000000.0</v>
      </c>
      <c r="P2235" s="10">
        <f t="shared" si="2"/>
        <v>2269307</v>
      </c>
      <c r="Q2235" s="12">
        <f t="shared" si="3"/>
        <v>0</v>
      </c>
      <c r="R2235" s="9">
        <v>2009.0</v>
      </c>
      <c r="S2235" s="9">
        <v>6.3</v>
      </c>
    </row>
    <row r="2236" ht="15.75" customHeight="1">
      <c r="A2236" s="7" t="s">
        <v>2649</v>
      </c>
      <c r="B2236" s="8" t="str">
        <f>IFERROR(__xludf.DUMMYFUNCTION("REGEXREPLACE(A2236, ""[^0-9a-zA-Z .'Ã]"","""")"),"Les Mayfield")</f>
        <v>Les Mayfield</v>
      </c>
      <c r="C2236" s="9">
        <v>53.0</v>
      </c>
      <c r="D2236" s="10">
        <v>9.2969824E7</v>
      </c>
      <c r="E2236" s="9" t="s">
        <v>5284</v>
      </c>
      <c r="F2236" s="9">
        <f t="shared" si="1"/>
        <v>3</v>
      </c>
      <c r="G2236" s="9" t="s">
        <v>673</v>
      </c>
      <c r="H2236" s="11" t="str">
        <f>IFERROR(__xludf.DUMMYFUNCTION("REGEXREPLACE(G2236, ""[^0-9a-zA-Z .'Ã]"","""")"),"Robin Williams")</f>
        <v>Robin Williams</v>
      </c>
      <c r="I2236" s="11" t="s">
        <v>7372</v>
      </c>
      <c r="J2236" s="9">
        <v>63625.0</v>
      </c>
      <c r="K2236" s="9" t="s">
        <v>7373</v>
      </c>
      <c r="L2236" s="9">
        <v>64.0</v>
      </c>
      <c r="M2236" s="9" t="s">
        <v>24</v>
      </c>
      <c r="N2236" s="9" t="s">
        <v>25</v>
      </c>
      <c r="O2236" s="10">
        <v>8.0E7</v>
      </c>
      <c r="P2236" s="10">
        <f t="shared" si="2"/>
        <v>12969824</v>
      </c>
      <c r="Q2236" s="12">
        <f t="shared" si="3"/>
        <v>0</v>
      </c>
      <c r="R2236" s="9">
        <v>1997.0</v>
      </c>
      <c r="S2236" s="9">
        <v>5.2</v>
      </c>
    </row>
    <row r="2237" ht="15.75" customHeight="1">
      <c r="A2237" s="13" t="s">
        <v>7374</v>
      </c>
      <c r="B2237" s="8" t="str">
        <f>IFERROR(__xludf.DUMMYFUNCTION("REGEXREPLACE(A2237, ""[^0-9a-zA-Z .'Ã]"","""")"),"George P. Cosmatos")</f>
        <v>George P. Cosmatos</v>
      </c>
      <c r="C2237" s="14">
        <v>96.0</v>
      </c>
      <c r="D2237" s="15">
        <v>1.50415432E8</v>
      </c>
      <c r="E2237" s="14" t="s">
        <v>7375</v>
      </c>
      <c r="F2237" s="9">
        <f t="shared" si="1"/>
        <v>4</v>
      </c>
      <c r="G2237" s="14" t="s">
        <v>2532</v>
      </c>
      <c r="H2237" s="11" t="str">
        <f>IFERROR(__xludf.DUMMYFUNCTION("REGEXREPLACE(G2237, ""[^0-9a-zA-Z .'Ã]"","""")"),"Sylvester Stallone")</f>
        <v>Sylvester Stallone</v>
      </c>
      <c r="I2237" s="16" t="s">
        <v>7376</v>
      </c>
      <c r="J2237" s="14">
        <v>117606.0</v>
      </c>
      <c r="K2237" s="14" t="s">
        <v>7377</v>
      </c>
      <c r="L2237" s="14">
        <v>217.0</v>
      </c>
      <c r="M2237" s="14" t="s">
        <v>24</v>
      </c>
      <c r="N2237" s="14" t="s">
        <v>25</v>
      </c>
      <c r="O2237" s="15">
        <v>4.4E7</v>
      </c>
      <c r="P2237" s="10">
        <f t="shared" si="2"/>
        <v>106415432</v>
      </c>
      <c r="Q2237" s="12">
        <f t="shared" si="3"/>
        <v>0</v>
      </c>
      <c r="R2237" s="14">
        <v>1985.0</v>
      </c>
      <c r="S2237" s="14">
        <v>6.4</v>
      </c>
    </row>
    <row r="2238" ht="15.75" customHeight="1">
      <c r="A2238" s="7" t="s">
        <v>6102</v>
      </c>
      <c r="B2238" s="8" t="str">
        <f>IFERROR(__xludf.DUMMYFUNCTION("REGEXREPLACE(A2238, ""[^0-9a-zA-Z .'Ã]"","""")"),"Thomas Bezucha")</f>
        <v>Thomas Bezucha</v>
      </c>
      <c r="C2238" s="9">
        <v>94.0</v>
      </c>
      <c r="D2238" s="10">
        <v>2.3179303E7</v>
      </c>
      <c r="E2238" s="9" t="s">
        <v>5929</v>
      </c>
      <c r="F2238" s="9">
        <f t="shared" si="1"/>
        <v>4</v>
      </c>
      <c r="G2238" s="9" t="s">
        <v>7378</v>
      </c>
      <c r="H2238" s="11" t="str">
        <f>IFERROR(__xludf.DUMMYFUNCTION("REGEXREPLACE(G2238, ""[^0-9a-zA-Z .'Ã]"","""")"),"Leighton Meester")</f>
        <v>Leighton Meester</v>
      </c>
      <c r="I2238" s="11" t="s">
        <v>7379</v>
      </c>
      <c r="J2238" s="9">
        <v>32951.0</v>
      </c>
      <c r="K2238" s="9" t="s">
        <v>7380</v>
      </c>
      <c r="L2238" s="9">
        <v>44.0</v>
      </c>
      <c r="M2238" s="9" t="s">
        <v>24</v>
      </c>
      <c r="N2238" s="9" t="s">
        <v>3612</v>
      </c>
      <c r="O2238" s="10">
        <v>2.0E7</v>
      </c>
      <c r="P2238" s="10">
        <f t="shared" si="2"/>
        <v>3179303</v>
      </c>
      <c r="Q2238" s="12">
        <f t="shared" si="3"/>
        <v>0</v>
      </c>
      <c r="R2238" s="9">
        <v>2011.0</v>
      </c>
      <c r="S2238" s="9">
        <v>5.8</v>
      </c>
    </row>
    <row r="2239" ht="15.75" customHeight="1">
      <c r="A2239" s="7" t="s">
        <v>3803</v>
      </c>
      <c r="B2239" s="8" t="str">
        <f>IFERROR(__xludf.DUMMYFUNCTION("REGEXREPLACE(A2239, ""[^0-9a-zA-Z .'Ã]"","""")"),"Danny Boyle")</f>
        <v>Danny Boyle</v>
      </c>
      <c r="C2239" s="9">
        <v>393.0</v>
      </c>
      <c r="D2239" s="10">
        <v>2319187.0</v>
      </c>
      <c r="E2239" s="9" t="s">
        <v>435</v>
      </c>
      <c r="F2239" s="9">
        <f t="shared" si="1"/>
        <v>4</v>
      </c>
      <c r="G2239" s="9" t="s">
        <v>3571</v>
      </c>
      <c r="H2239" s="11" t="str">
        <f>IFERROR(__xludf.DUMMYFUNCTION("REGEXREPLACE(G2239, ""[^0-9a-zA-Z .'Ã]"","""")"),"Rosario Dawson")</f>
        <v>Rosario Dawson</v>
      </c>
      <c r="I2239" s="11" t="s">
        <v>7381</v>
      </c>
      <c r="J2239" s="9">
        <v>92640.0</v>
      </c>
      <c r="K2239" s="9" t="s">
        <v>7382</v>
      </c>
      <c r="L2239" s="9">
        <v>212.0</v>
      </c>
      <c r="M2239" s="9" t="s">
        <v>24</v>
      </c>
      <c r="N2239" s="9" t="s">
        <v>130</v>
      </c>
      <c r="O2239" s="10">
        <v>2.0E7</v>
      </c>
      <c r="P2239" s="10">
        <f t="shared" si="2"/>
        <v>0</v>
      </c>
      <c r="Q2239" s="12">
        <f t="shared" si="3"/>
        <v>17680813</v>
      </c>
      <c r="R2239" s="9">
        <v>2013.0</v>
      </c>
      <c r="S2239" s="9">
        <v>7.0</v>
      </c>
    </row>
    <row r="2240" ht="15.75" customHeight="1">
      <c r="A2240" s="25" t="s">
        <v>521</v>
      </c>
      <c r="B2240" s="8" t="str">
        <f>IFERROR(__xludf.DUMMYFUNCTION("REGEXREPLACE(A2240, ""[^0-9a-zA-Z .'Ã]"","""")"),"Phillip Noyce")</f>
        <v>Phillip Noyce</v>
      </c>
      <c r="C2240" s="26">
        <v>64.0</v>
      </c>
      <c r="D2240" s="27">
        <v>6.1355436E7</v>
      </c>
      <c r="E2240" s="26" t="s">
        <v>4885</v>
      </c>
      <c r="F2240" s="9">
        <f t="shared" si="1"/>
        <v>5</v>
      </c>
      <c r="G2240" s="26" t="s">
        <v>7383</v>
      </c>
      <c r="H2240" s="11" t="str">
        <f>IFERROR(__xludf.DUMMYFUNCTION("REGEXREPLACE(G2240, ""[^0-9a-zA-Z .'Ã]"","""")"),"Alun Armstrong")</f>
        <v>Alun Armstrong</v>
      </c>
      <c r="I2240" s="28" t="s">
        <v>7384</v>
      </c>
      <c r="J2240" s="26">
        <v>52136.0</v>
      </c>
      <c r="K2240" s="26" t="s">
        <v>7385</v>
      </c>
      <c r="L2240" s="26">
        <v>184.0</v>
      </c>
      <c r="M2240" s="26" t="s">
        <v>24</v>
      </c>
      <c r="N2240" s="26" t="s">
        <v>25</v>
      </c>
      <c r="O2240" s="27">
        <v>6.8E7</v>
      </c>
      <c r="P2240" s="10">
        <f t="shared" si="2"/>
        <v>0</v>
      </c>
      <c r="Q2240" s="12">
        <f t="shared" si="3"/>
        <v>6644564</v>
      </c>
      <c r="R2240" s="26">
        <v>1997.0</v>
      </c>
      <c r="S2240" s="26">
        <v>6.2</v>
      </c>
    </row>
    <row r="2241" ht="15.75" customHeight="1">
      <c r="A2241" s="13" t="s">
        <v>7079</v>
      </c>
      <c r="B2241" s="8" t="str">
        <f>IFERROR(__xludf.DUMMYFUNCTION("REGEXREPLACE(A2241, ""[^0-9a-zA-Z .'Ã]"","""")"),"Jay Chandrasekhar")</f>
        <v>Jay Chandrasekhar</v>
      </c>
      <c r="C2241" s="14">
        <v>144.0</v>
      </c>
      <c r="D2241" s="15">
        <v>8.0270227E7</v>
      </c>
      <c r="E2241" s="14" t="s">
        <v>1879</v>
      </c>
      <c r="F2241" s="9">
        <f t="shared" si="1"/>
        <v>3</v>
      </c>
      <c r="G2241" s="14" t="s">
        <v>7386</v>
      </c>
      <c r="H2241" s="11" t="str">
        <f>IFERROR(__xludf.DUMMYFUNCTION("REGEXREPLACE(G2241, ""[^0-9a-zA-Z .'Ã]"","""")"),"Alice Greczyn")</f>
        <v>Alice Greczyn</v>
      </c>
      <c r="I2241" s="16" t="s">
        <v>7387</v>
      </c>
      <c r="J2241" s="14">
        <v>66382.0</v>
      </c>
      <c r="K2241" s="14" t="s">
        <v>7388</v>
      </c>
      <c r="L2241" s="14">
        <v>612.0</v>
      </c>
      <c r="M2241" s="14" t="s">
        <v>24</v>
      </c>
      <c r="N2241" s="14" t="s">
        <v>25</v>
      </c>
      <c r="O2241" s="15">
        <v>5.0E7</v>
      </c>
      <c r="P2241" s="10">
        <f t="shared" si="2"/>
        <v>30270227</v>
      </c>
      <c r="Q2241" s="12">
        <f t="shared" si="3"/>
        <v>0</v>
      </c>
      <c r="R2241" s="14">
        <v>2005.0</v>
      </c>
      <c r="S2241" s="14">
        <v>5.1</v>
      </c>
    </row>
    <row r="2242" ht="15.75" customHeight="1">
      <c r="A2242" s="7" t="s">
        <v>7389</v>
      </c>
      <c r="B2242" s="8" t="str">
        <f>IFERROR(__xludf.DUMMYFUNCTION("REGEXREPLACE(A2242, ""[^0-9a-zA-Z .'Ã]"","""")"),"David Duchovny")</f>
        <v>David Duchovny</v>
      </c>
      <c r="C2242" s="9">
        <v>46.0</v>
      </c>
      <c r="D2242" s="10">
        <v>371081.0</v>
      </c>
      <c r="E2242" s="9" t="s">
        <v>454</v>
      </c>
      <c r="F2242" s="9">
        <f t="shared" si="1"/>
        <v>2</v>
      </c>
      <c r="G2242" s="9" t="s">
        <v>673</v>
      </c>
      <c r="H2242" s="11" t="str">
        <f>IFERROR(__xludf.DUMMYFUNCTION("REGEXREPLACE(G2242, ""[^0-9a-zA-Z .'Ã]"","""")"),"Robin Williams")</f>
        <v>Robin Williams</v>
      </c>
      <c r="I2242" s="11" t="s">
        <v>7390</v>
      </c>
      <c r="J2242" s="9">
        <v>7479.0</v>
      </c>
      <c r="K2242" s="9" t="s">
        <v>7391</v>
      </c>
      <c r="L2242" s="9">
        <v>86.0</v>
      </c>
      <c r="M2242" s="9" t="s">
        <v>24</v>
      </c>
      <c r="N2242" s="9" t="s">
        <v>25</v>
      </c>
      <c r="O2242" s="10">
        <v>6000000.0</v>
      </c>
      <c r="P2242" s="10">
        <f t="shared" si="2"/>
        <v>0</v>
      </c>
      <c r="Q2242" s="12">
        <f t="shared" si="3"/>
        <v>5628919</v>
      </c>
      <c r="R2242" s="9">
        <v>2004.0</v>
      </c>
      <c r="S2242" s="9">
        <v>7.0</v>
      </c>
    </row>
    <row r="2243" ht="15.75" customHeight="1">
      <c r="A2243" s="21" t="s">
        <v>7392</v>
      </c>
      <c r="B2243" s="8" t="str">
        <f>IFERROR(__xludf.DUMMYFUNCTION("REGEXREPLACE(A2243, ""[^0-9a-zA-Z .'Ã]"","""")"),"Peter Howitt")</f>
        <v>Peter Howitt</v>
      </c>
      <c r="C2243" s="22">
        <v>122.0</v>
      </c>
      <c r="D2243" s="23">
        <v>2.797241E7</v>
      </c>
      <c r="E2243" s="22" t="s">
        <v>1879</v>
      </c>
      <c r="F2243" s="9">
        <f t="shared" si="1"/>
        <v>3</v>
      </c>
      <c r="G2243" s="22" t="s">
        <v>2437</v>
      </c>
      <c r="H2243" s="11" t="str">
        <f>IFERROR(__xludf.DUMMYFUNCTION("REGEXREPLACE(G2243, ""[^0-9a-zA-Z .'Ã]"","""")"),"Kevin McNally")</f>
        <v>Kevin McNally</v>
      </c>
      <c r="I2243" s="24" t="s">
        <v>7393</v>
      </c>
      <c r="J2243" s="22">
        <v>114692.0</v>
      </c>
      <c r="K2243" s="22" t="s">
        <v>7394</v>
      </c>
      <c r="L2243" s="22">
        <v>285.0</v>
      </c>
      <c r="M2243" s="22" t="s">
        <v>24</v>
      </c>
      <c r="N2243" s="22" t="s">
        <v>130</v>
      </c>
      <c r="O2243" s="23">
        <v>3.5E7</v>
      </c>
      <c r="P2243" s="10">
        <f t="shared" si="2"/>
        <v>0</v>
      </c>
      <c r="Q2243" s="12">
        <f t="shared" si="3"/>
        <v>7027590</v>
      </c>
      <c r="R2243" s="22">
        <v>2003.0</v>
      </c>
      <c r="S2243" s="22">
        <v>6.1</v>
      </c>
    </row>
    <row r="2244" ht="15.75" customHeight="1">
      <c r="A2244" s="21" t="s">
        <v>625</v>
      </c>
      <c r="B2244" s="8" t="str">
        <f>IFERROR(__xludf.DUMMYFUNCTION("REGEXREPLACE(A2244, ""[^0-9a-zA-Z .'Ã]"","""")"),"Edward Zwick")</f>
        <v>Edward Zwick</v>
      </c>
      <c r="C2244" s="22">
        <v>190.0</v>
      </c>
      <c r="D2244" s="23">
        <v>1.11110575E8</v>
      </c>
      <c r="E2244" s="22" t="s">
        <v>1446</v>
      </c>
      <c r="F2244" s="9">
        <f t="shared" si="1"/>
        <v>4</v>
      </c>
      <c r="G2244" s="22" t="s">
        <v>220</v>
      </c>
      <c r="H2244" s="11" t="str">
        <f>IFERROR(__xludf.DUMMYFUNCTION("REGEXREPLACE(G2244, ""[^0-9a-zA-Z .'Ã]"","""")"),"Tom Cruise")</f>
        <v>Tom Cruise</v>
      </c>
      <c r="I2244" s="24" t="s">
        <v>7395</v>
      </c>
      <c r="J2244" s="22">
        <v>317166.0</v>
      </c>
      <c r="K2244" s="22" t="s">
        <v>7396</v>
      </c>
      <c r="L2244" s="22">
        <v>928.0</v>
      </c>
      <c r="M2244" s="22" t="s">
        <v>24</v>
      </c>
      <c r="N2244" s="22" t="s">
        <v>25</v>
      </c>
      <c r="O2244" s="23">
        <v>1.4E8</v>
      </c>
      <c r="P2244" s="10">
        <f t="shared" si="2"/>
        <v>0</v>
      </c>
      <c r="Q2244" s="12">
        <f t="shared" si="3"/>
        <v>28889425</v>
      </c>
      <c r="R2244" s="22">
        <v>2003.0</v>
      </c>
      <c r="S2244" s="22">
        <v>7.7</v>
      </c>
    </row>
    <row r="2245" ht="15.75" customHeight="1">
      <c r="A2245" s="17" t="s">
        <v>1095</v>
      </c>
      <c r="B2245" s="8" t="str">
        <f>IFERROR(__xludf.DUMMYFUNCTION("REGEXREPLACE(A2245, ""[^0-9a-zA-Z .'Ã]"","""")"),"Renny Harlin")</f>
        <v>Renny Harlin</v>
      </c>
      <c r="C2245" s="18">
        <v>167.0</v>
      </c>
      <c r="D2245" s="19">
        <v>4.1814863E7</v>
      </c>
      <c r="E2245" s="18" t="s">
        <v>94</v>
      </c>
      <c r="F2245" s="9">
        <f t="shared" si="1"/>
        <v>3</v>
      </c>
      <c r="G2245" s="18" t="s">
        <v>7397</v>
      </c>
      <c r="H2245" s="11" t="str">
        <f>IFERROR(__xludf.DUMMYFUNCTION("REGEXREPLACE(G2245, ""[^0-9a-zA-Z .'Ã]"","""")"),"James D'Arcy")</f>
        <v>James D'Arcy</v>
      </c>
      <c r="I2245" s="20" t="s">
        <v>7398</v>
      </c>
      <c r="J2245" s="18">
        <v>28635.0</v>
      </c>
      <c r="K2245" s="18" t="s">
        <v>7399</v>
      </c>
      <c r="L2245" s="18">
        <v>308.0</v>
      </c>
      <c r="M2245" s="18" t="s">
        <v>24</v>
      </c>
      <c r="N2245" s="18" t="s">
        <v>25</v>
      </c>
      <c r="O2245" s="19">
        <v>5.0E7</v>
      </c>
      <c r="P2245" s="10">
        <f t="shared" si="2"/>
        <v>0</v>
      </c>
      <c r="Q2245" s="12">
        <f t="shared" si="3"/>
        <v>8185137</v>
      </c>
      <c r="R2245" s="18">
        <v>2004.0</v>
      </c>
      <c r="S2245" s="18">
        <v>5.1</v>
      </c>
    </row>
    <row r="2246" ht="15.75" customHeight="1">
      <c r="A2246" s="21" t="s">
        <v>3300</v>
      </c>
      <c r="B2246" s="8" t="str">
        <f>IFERROR(__xludf.DUMMYFUNCTION("REGEXREPLACE(A2246, ""[^0-9a-zA-Z .'Ã]"","""")"),"Henry Joost")</f>
        <v>Henry Joost</v>
      </c>
      <c r="C2246" s="22">
        <v>86.0</v>
      </c>
      <c r="D2246" s="23">
        <v>2.8876924E7</v>
      </c>
      <c r="E2246" s="22" t="s">
        <v>7400</v>
      </c>
      <c r="F2246" s="9">
        <f t="shared" si="1"/>
        <v>5</v>
      </c>
      <c r="G2246" s="22" t="s">
        <v>7401</v>
      </c>
      <c r="H2246" s="11" t="str">
        <f>IFERROR(__xludf.DUMMYFUNCTION("REGEXREPLACE(G2246, ""[^0-9a-zA-Z .'Ã]"","""")"),"Samira Wiley")</f>
        <v>Samira Wiley</v>
      </c>
      <c r="I2246" s="24" t="s">
        <v>7402</v>
      </c>
      <c r="J2246" s="22">
        <v>4303.0</v>
      </c>
      <c r="K2246" s="22" t="s">
        <v>7403</v>
      </c>
      <c r="L2246" s="22">
        <v>35.0</v>
      </c>
      <c r="M2246" s="22" t="s">
        <v>24</v>
      </c>
      <c r="N2246" s="22" t="s">
        <v>25</v>
      </c>
      <c r="O2246" s="23">
        <v>2.0E7</v>
      </c>
      <c r="P2246" s="10">
        <f t="shared" si="2"/>
        <v>8876924</v>
      </c>
      <c r="Q2246" s="12">
        <f t="shared" si="3"/>
        <v>0</v>
      </c>
      <c r="R2246" s="22">
        <v>2016.0</v>
      </c>
      <c r="S2246" s="22">
        <v>7.1</v>
      </c>
    </row>
    <row r="2247" ht="15.75" customHeight="1">
      <c r="A2247" s="7" t="s">
        <v>1796</v>
      </c>
      <c r="B2247" s="8" t="str">
        <f>IFERROR(__xludf.DUMMYFUNCTION("REGEXREPLACE(A2247, ""[^0-9a-zA-Z .'Ã]"","""")"),"Harold Ramis")</f>
        <v>Harold Ramis</v>
      </c>
      <c r="C2247" s="9">
        <v>170.0</v>
      </c>
      <c r="D2247" s="10">
        <v>4.3337279E7</v>
      </c>
      <c r="E2247" s="9" t="s">
        <v>693</v>
      </c>
      <c r="F2247" s="9">
        <f t="shared" si="1"/>
        <v>2</v>
      </c>
      <c r="G2247" s="9" t="s">
        <v>378</v>
      </c>
      <c r="H2247" s="11" t="str">
        <f>IFERROR(__xludf.DUMMYFUNCTION("REGEXREPLACE(G2247, ""[^0-9a-zA-Z .'Ã]"","""")"),"Olivia Wilde")</f>
        <v>Olivia Wilde</v>
      </c>
      <c r="I2247" s="11" t="s">
        <v>7404</v>
      </c>
      <c r="J2247" s="9">
        <v>76770.0</v>
      </c>
      <c r="K2247" s="9" t="s">
        <v>7405</v>
      </c>
      <c r="L2247" s="9">
        <v>203.0</v>
      </c>
      <c r="M2247" s="9" t="s">
        <v>24</v>
      </c>
      <c r="N2247" s="9" t="s">
        <v>25</v>
      </c>
      <c r="O2247" s="10">
        <v>6.0E7</v>
      </c>
      <c r="P2247" s="10">
        <f t="shared" si="2"/>
        <v>0</v>
      </c>
      <c r="Q2247" s="12">
        <f t="shared" si="3"/>
        <v>16662721</v>
      </c>
      <c r="R2247" s="9">
        <v>2009.0</v>
      </c>
      <c r="S2247" s="9">
        <v>4.9</v>
      </c>
    </row>
    <row r="2248" ht="15.75" customHeight="1">
      <c r="A2248" s="7" t="s">
        <v>7406</v>
      </c>
      <c r="B2248" s="8" t="str">
        <f>IFERROR(__xludf.DUMMYFUNCTION("REGEXREPLACE(A2248, ""[^0-9a-zA-Z .'Ã]"","""")"),"Tony Jaa")</f>
        <v>Tony Jaa</v>
      </c>
      <c r="C2248" s="9">
        <v>110.0</v>
      </c>
      <c r="D2248" s="10">
        <v>102055.0</v>
      </c>
      <c r="E2248" s="9" t="s">
        <v>180</v>
      </c>
      <c r="F2248" s="9">
        <f t="shared" si="1"/>
        <v>1</v>
      </c>
      <c r="G2248" s="9" t="s">
        <v>7407</v>
      </c>
      <c r="H2248" s="11" t="str">
        <f>IFERROR(__xludf.DUMMYFUNCTION("REGEXREPLACE(G2248, ""[^0-9a-zA-Z .'Ã]"","""")"),"Nirut Sirichanya")</f>
        <v>Nirut Sirichanya</v>
      </c>
      <c r="I2248" s="11" t="s">
        <v>7408</v>
      </c>
      <c r="J2248" s="9">
        <v>24570.0</v>
      </c>
      <c r="K2248" s="9" t="s">
        <v>7409</v>
      </c>
      <c r="L2248" s="9">
        <v>72.0</v>
      </c>
      <c r="M2248" s="9" t="s">
        <v>5236</v>
      </c>
      <c r="N2248" s="9" t="s">
        <v>5237</v>
      </c>
      <c r="O2248" s="10">
        <v>3.0E8</v>
      </c>
      <c r="P2248" s="10">
        <f t="shared" si="2"/>
        <v>0</v>
      </c>
      <c r="Q2248" s="12">
        <f t="shared" si="3"/>
        <v>299897945</v>
      </c>
      <c r="R2248" s="9">
        <v>2008.0</v>
      </c>
      <c r="S2248" s="9">
        <v>6.2</v>
      </c>
    </row>
    <row r="2249" ht="15.75" customHeight="1">
      <c r="A2249" s="7" t="s">
        <v>7410</v>
      </c>
      <c r="B2249" s="8" t="str">
        <f>IFERROR(__xludf.DUMMYFUNCTION("REGEXREPLACE(A2249, ""[^0-9a-zA-Z .'Ã]"","""")"),"Noah Baumbach")</f>
        <v>Noah Baumbach</v>
      </c>
      <c r="C2249" s="9">
        <v>110.0</v>
      </c>
      <c r="D2249" s="10">
        <v>7362100.0</v>
      </c>
      <c r="E2249" s="9" t="s">
        <v>454</v>
      </c>
      <c r="F2249" s="9">
        <f t="shared" si="1"/>
        <v>2</v>
      </c>
      <c r="G2249" s="9" t="s">
        <v>7411</v>
      </c>
      <c r="H2249" s="11" t="str">
        <f>IFERROR(__xludf.DUMMYFUNCTION("REGEXREPLACE(G2249, ""[^0-9a-zA-Z .'Ã]"","""")"),"William Baldwin")</f>
        <v>William Baldwin</v>
      </c>
      <c r="I2249" s="11" t="s">
        <v>7412</v>
      </c>
      <c r="J2249" s="9">
        <v>60295.0</v>
      </c>
      <c r="K2249" s="9" t="s">
        <v>7413</v>
      </c>
      <c r="L2249" s="9">
        <v>232.0</v>
      </c>
      <c r="M2249" s="9" t="s">
        <v>24</v>
      </c>
      <c r="N2249" s="9" t="s">
        <v>25</v>
      </c>
      <c r="O2249" s="10">
        <v>1500000.0</v>
      </c>
      <c r="P2249" s="10">
        <f t="shared" si="2"/>
        <v>5862100</v>
      </c>
      <c r="Q2249" s="12">
        <f t="shared" si="3"/>
        <v>0</v>
      </c>
      <c r="R2249" s="9">
        <v>2005.0</v>
      </c>
      <c r="S2249" s="9">
        <v>7.4</v>
      </c>
    </row>
    <row r="2250" ht="15.75" customHeight="1">
      <c r="A2250" s="7" t="s">
        <v>659</v>
      </c>
      <c r="B2250" s="8" t="str">
        <f>IFERROR(__xludf.DUMMYFUNCTION("REGEXREPLACE(A2250, ""[^0-9a-zA-Z .'Ã]"","""")"),"John A. Davis")</f>
        <v>John A. Davis</v>
      </c>
      <c r="C2250" s="9">
        <v>66.0</v>
      </c>
      <c r="D2250" s="10">
        <v>8.0920948E7</v>
      </c>
      <c r="E2250" s="9" t="s">
        <v>7414</v>
      </c>
      <c r="F2250" s="9">
        <f t="shared" si="1"/>
        <v>6</v>
      </c>
      <c r="G2250" s="9" t="s">
        <v>3622</v>
      </c>
      <c r="H2250" s="11" t="str">
        <f>IFERROR(__xludf.DUMMYFUNCTION("REGEXREPLACE(G2250, ""[^0-9a-zA-Z .'Ã]"","""")"),"Martin Short")</f>
        <v>Martin Short</v>
      </c>
      <c r="I2250" s="11" t="s">
        <v>7415</v>
      </c>
      <c r="J2250" s="9">
        <v>23943.0</v>
      </c>
      <c r="K2250" s="9" t="s">
        <v>7416</v>
      </c>
      <c r="L2250" s="9">
        <v>118.0</v>
      </c>
      <c r="M2250" s="9" t="s">
        <v>24</v>
      </c>
      <c r="N2250" s="9" t="s">
        <v>25</v>
      </c>
      <c r="O2250" s="10">
        <v>3.0E7</v>
      </c>
      <c r="P2250" s="10">
        <f t="shared" si="2"/>
        <v>50920948</v>
      </c>
      <c r="Q2250" s="12">
        <f t="shared" si="3"/>
        <v>0</v>
      </c>
      <c r="R2250" s="9">
        <v>2001.0</v>
      </c>
      <c r="S2250" s="9">
        <v>6.0</v>
      </c>
    </row>
    <row r="2251" ht="15.75" customHeight="1">
      <c r="A2251" s="21" t="s">
        <v>5354</v>
      </c>
      <c r="B2251" s="8" t="str">
        <f>IFERROR(__xludf.DUMMYFUNCTION("REGEXREPLACE(A2251, ""[^0-9a-zA-Z .'Ã]"","""")"),"Spike Jonze")</f>
        <v>Spike Jonze</v>
      </c>
      <c r="C2251" s="22">
        <v>241.0</v>
      </c>
      <c r="D2251" s="23">
        <v>2.2245861E7</v>
      </c>
      <c r="E2251" s="22" t="s">
        <v>454</v>
      </c>
      <c r="F2251" s="9">
        <f t="shared" si="1"/>
        <v>2</v>
      </c>
      <c r="G2251" s="22" t="s">
        <v>458</v>
      </c>
      <c r="H2251" s="11" t="str">
        <f>IFERROR(__xludf.DUMMYFUNCTION("REGEXREPLACE(G2251, ""[^0-9a-zA-Z .'Ã]"","""")"),"Nicolas Cage")</f>
        <v>Nicolas Cage</v>
      </c>
      <c r="I2251" s="24" t="s">
        <v>7417</v>
      </c>
      <c r="J2251" s="22">
        <v>143251.0</v>
      </c>
      <c r="K2251" s="22" t="s">
        <v>7418</v>
      </c>
      <c r="L2251" s="22">
        <v>710.0</v>
      </c>
      <c r="M2251" s="22" t="s">
        <v>24</v>
      </c>
      <c r="N2251" s="22" t="s">
        <v>25</v>
      </c>
      <c r="O2251" s="23">
        <v>1.9E7</v>
      </c>
      <c r="P2251" s="10">
        <f t="shared" si="2"/>
        <v>3245861</v>
      </c>
      <c r="Q2251" s="12">
        <f t="shared" si="3"/>
        <v>0</v>
      </c>
      <c r="R2251" s="22">
        <v>2002.0</v>
      </c>
      <c r="S2251" s="22">
        <v>7.7</v>
      </c>
    </row>
    <row r="2252" ht="15.75" customHeight="1">
      <c r="A2252" s="17" t="s">
        <v>7419</v>
      </c>
      <c r="B2252" s="8" t="str">
        <f>IFERROR(__xludf.DUMMYFUNCTION("REGEXREPLACE(A2252, ""[^0-9a-zA-Z .'Ã]"","""")"),"Alan Metter")</f>
        <v>Alan Metter</v>
      </c>
      <c r="C2252" s="18">
        <v>17.0</v>
      </c>
      <c r="D2252" s="19">
        <v>126247.0</v>
      </c>
      <c r="E2252" s="18" t="s">
        <v>440</v>
      </c>
      <c r="F2252" s="9">
        <f t="shared" si="1"/>
        <v>2</v>
      </c>
      <c r="G2252" s="18" t="s">
        <v>1030</v>
      </c>
      <c r="H2252" s="11" t="str">
        <f>IFERROR(__xludf.DUMMYFUNCTION("REGEXREPLACE(G2252, ""[^0-9a-zA-Z .'Ã]"","""")"),"Christopher Lee")</f>
        <v>Christopher Lee</v>
      </c>
      <c r="I2252" s="20" t="s">
        <v>7420</v>
      </c>
      <c r="J2252" s="18">
        <v>24958.0</v>
      </c>
      <c r="K2252" s="18" t="s">
        <v>7421</v>
      </c>
      <c r="L2252" s="18">
        <v>103.0</v>
      </c>
      <c r="M2252" s="18" t="s">
        <v>24</v>
      </c>
      <c r="N2252" s="18" t="s">
        <v>25</v>
      </c>
      <c r="O2252" s="19">
        <v>6200000.0</v>
      </c>
      <c r="P2252" s="10">
        <f t="shared" si="2"/>
        <v>0</v>
      </c>
      <c r="Q2252" s="12">
        <f t="shared" si="3"/>
        <v>6073753</v>
      </c>
      <c r="R2252" s="18">
        <v>1994.0</v>
      </c>
      <c r="S2252" s="18">
        <v>3.3</v>
      </c>
    </row>
    <row r="2253" ht="15.75" customHeight="1">
      <c r="A2253" s="29" t="s">
        <v>3300</v>
      </c>
      <c r="B2253" s="8" t="str">
        <f>IFERROR(__xludf.DUMMYFUNCTION("REGEXREPLACE(A2253, ""[^0-9a-zA-Z .'Ã]"","""")"),"Henry Joost")</f>
        <v>Henry Joost</v>
      </c>
      <c r="C2253" s="30">
        <v>248.0</v>
      </c>
      <c r="D2253" s="31">
        <v>5.3884821E7</v>
      </c>
      <c r="E2253" s="30" t="s">
        <v>148</v>
      </c>
      <c r="F2253" s="9">
        <f t="shared" si="1"/>
        <v>1</v>
      </c>
      <c r="G2253" s="30" t="s">
        <v>7422</v>
      </c>
      <c r="H2253" s="11" t="str">
        <f>IFERROR(__xludf.DUMMYFUNCTION("REGEXREPLACE(G2253, ""[^0-9a-zA-Z .'Ã]"","""")"),"Matt Shively")</f>
        <v>Matt Shively</v>
      </c>
      <c r="I2253" s="32" t="s">
        <v>7423</v>
      </c>
      <c r="J2253" s="30">
        <v>51204.0</v>
      </c>
      <c r="K2253" s="30" t="s">
        <v>7424</v>
      </c>
      <c r="L2253" s="30">
        <v>247.0</v>
      </c>
      <c r="M2253" s="30" t="s">
        <v>24</v>
      </c>
      <c r="N2253" s="30" t="s">
        <v>25</v>
      </c>
      <c r="O2253" s="31">
        <v>5000000.0</v>
      </c>
      <c r="P2253" s="10">
        <f t="shared" si="2"/>
        <v>48884821</v>
      </c>
      <c r="Q2253" s="12">
        <f t="shared" si="3"/>
        <v>0</v>
      </c>
      <c r="R2253" s="30">
        <v>2012.0</v>
      </c>
      <c r="S2253" s="30">
        <v>4.6</v>
      </c>
    </row>
    <row r="2254" ht="15.75" customHeight="1">
      <c r="A2254" s="21" t="s">
        <v>7425</v>
      </c>
      <c r="B2254" s="8" t="str">
        <f>IFERROR(__xludf.DUMMYFUNCTION("REGEXREPLACE(A2254, ""[^0-9a-zA-Z .'Ã]"","""")"),"Andrew Bergman")</f>
        <v>Andrew Bergman</v>
      </c>
      <c r="C2254" s="22">
        <v>51.0</v>
      </c>
      <c r="D2254" s="23">
        <v>3.28E7</v>
      </c>
      <c r="E2254" s="22" t="s">
        <v>3215</v>
      </c>
      <c r="F2254" s="9">
        <f t="shared" si="1"/>
        <v>4</v>
      </c>
      <c r="G2254" s="22" t="s">
        <v>1559</v>
      </c>
      <c r="H2254" s="11" t="str">
        <f>IFERROR(__xludf.DUMMYFUNCTION("REGEXREPLACE(G2254, ""[^0-9a-zA-Z .'Ã]"","""")"),"Demi Moore")</f>
        <v>Demi Moore</v>
      </c>
      <c r="I2254" s="24" t="s">
        <v>7426</v>
      </c>
      <c r="J2254" s="22">
        <v>34896.0</v>
      </c>
      <c r="K2254" s="22" t="s">
        <v>7427</v>
      </c>
      <c r="L2254" s="22">
        <v>118.0</v>
      </c>
      <c r="M2254" s="22" t="s">
        <v>24</v>
      </c>
      <c r="N2254" s="22" t="s">
        <v>25</v>
      </c>
      <c r="O2254" s="23">
        <v>4.0E7</v>
      </c>
      <c r="P2254" s="10">
        <f t="shared" si="2"/>
        <v>0</v>
      </c>
      <c r="Q2254" s="12">
        <f t="shared" si="3"/>
        <v>7200000</v>
      </c>
      <c r="R2254" s="22">
        <v>1996.0</v>
      </c>
      <c r="S2254" s="22">
        <v>4.3</v>
      </c>
    </row>
    <row r="2255" ht="15.75" customHeight="1">
      <c r="A2255" s="7" t="s">
        <v>7428</v>
      </c>
      <c r="B2255" s="8" t="str">
        <f>IFERROR(__xludf.DUMMYFUNCTION("REGEXREPLACE(A2255, ""[^0-9a-zA-Z .'Ã]"","""")"),"Katherine Dieckmann")</f>
        <v>Katherine Dieckmann</v>
      </c>
      <c r="C2255" s="9">
        <v>43.0</v>
      </c>
      <c r="D2255" s="10">
        <v>92900.0</v>
      </c>
      <c r="E2255" s="9" t="s">
        <v>454</v>
      </c>
      <c r="F2255" s="9">
        <f t="shared" si="1"/>
        <v>2</v>
      </c>
      <c r="G2255" s="9" t="s">
        <v>7429</v>
      </c>
      <c r="H2255" s="11" t="str">
        <f>IFERROR(__xludf.DUMMYFUNCTION("REGEXREPLACE(G2255, ""[^0-9a-zA-Z .'Ã]"","""")"),"Stephanie Szostak")</f>
        <v>Stephanie Szostak</v>
      </c>
      <c r="I2255" s="11" t="s">
        <v>7430</v>
      </c>
      <c r="J2255" s="9">
        <v>3662.0</v>
      </c>
      <c r="K2255" s="9" t="s">
        <v>7431</v>
      </c>
      <c r="L2255" s="9">
        <v>23.0</v>
      </c>
      <c r="M2255" s="9" t="s">
        <v>24</v>
      </c>
      <c r="N2255" s="9" t="s">
        <v>25</v>
      </c>
      <c r="O2255" s="10">
        <v>5000000.0</v>
      </c>
      <c r="P2255" s="10">
        <f t="shared" si="2"/>
        <v>0</v>
      </c>
      <c r="Q2255" s="12">
        <f t="shared" si="3"/>
        <v>4907100</v>
      </c>
      <c r="R2255" s="9">
        <v>2009.0</v>
      </c>
      <c r="S2255" s="9">
        <v>4.7</v>
      </c>
    </row>
    <row r="2256" ht="15.75" customHeight="1">
      <c r="A2256" s="7" t="s">
        <v>7432</v>
      </c>
      <c r="B2256" s="8" t="str">
        <f>IFERROR(__xludf.DUMMYFUNCTION("REGEXREPLACE(A2256, ""[^0-9a-zA-Z .'Ã]"","""")"),"Siddiq Barmak")</f>
        <v>Siddiq Barmak</v>
      </c>
      <c r="C2256" s="9">
        <v>105.0</v>
      </c>
      <c r="D2256" s="10">
        <v>1127331.0</v>
      </c>
      <c r="E2256" s="9" t="s">
        <v>103</v>
      </c>
      <c r="F2256" s="9">
        <f t="shared" si="1"/>
        <v>1</v>
      </c>
      <c r="G2256" s="9" t="s">
        <v>7433</v>
      </c>
      <c r="H2256" s="11" t="str">
        <f>IFERROR(__xludf.DUMMYFUNCTION("REGEXREPLACE(G2256, ""[^0-9a-zA-Z .'Ã]"","""")"),"Marina Golbahari")</f>
        <v>Marina Golbahari</v>
      </c>
      <c r="I2256" s="11" t="s">
        <v>7434</v>
      </c>
      <c r="J2256" s="9">
        <v>7559.0</v>
      </c>
      <c r="K2256" s="9" t="s">
        <v>7435</v>
      </c>
      <c r="L2256" s="9">
        <v>77.0</v>
      </c>
      <c r="M2256" s="9" t="s">
        <v>7436</v>
      </c>
      <c r="N2256" s="9" t="s">
        <v>7437</v>
      </c>
      <c r="O2256" s="10">
        <v>46000.0</v>
      </c>
      <c r="P2256" s="10">
        <f t="shared" si="2"/>
        <v>1081331</v>
      </c>
      <c r="Q2256" s="12">
        <f t="shared" si="3"/>
        <v>0</v>
      </c>
      <c r="R2256" s="9">
        <v>2003.0</v>
      </c>
      <c r="S2256" s="9">
        <v>7.4</v>
      </c>
    </row>
    <row r="2257" ht="15.75" customHeight="1">
      <c r="A2257" s="7" t="s">
        <v>7438</v>
      </c>
      <c r="B2257" s="8" t="str">
        <f>IFERROR(__xludf.DUMMYFUNCTION("REGEXREPLACE(A2257, ""[^0-9a-zA-Z .'Ã]"","""")"),"Jon Hurwitz")</f>
        <v>Jon Hurwitz</v>
      </c>
      <c r="C2257" s="9">
        <v>153.0</v>
      </c>
      <c r="D2257" s="10">
        <v>3.8087366E7</v>
      </c>
      <c r="E2257" s="9" t="s">
        <v>693</v>
      </c>
      <c r="F2257" s="9">
        <f t="shared" si="1"/>
        <v>2</v>
      </c>
      <c r="G2257" s="9" t="s">
        <v>7439</v>
      </c>
      <c r="H2257" s="11" t="str">
        <f>IFERROR(__xludf.DUMMYFUNCTION("REGEXREPLACE(G2257, ""[^0-9a-zA-Z .'Ã]"","""")"),"Danneel Ackles")</f>
        <v>Danneel Ackles</v>
      </c>
      <c r="I2257" s="11" t="s">
        <v>7440</v>
      </c>
      <c r="J2257" s="9">
        <v>113918.0</v>
      </c>
      <c r="K2257" s="9" t="s">
        <v>7441</v>
      </c>
      <c r="L2257" s="9">
        <v>165.0</v>
      </c>
      <c r="M2257" s="9" t="s">
        <v>24</v>
      </c>
      <c r="N2257" s="9" t="s">
        <v>25</v>
      </c>
      <c r="O2257" s="10">
        <v>1.2E7</v>
      </c>
      <c r="P2257" s="10">
        <f t="shared" si="2"/>
        <v>26087366</v>
      </c>
      <c r="Q2257" s="12">
        <f t="shared" si="3"/>
        <v>0</v>
      </c>
      <c r="R2257" s="9">
        <v>2008.0</v>
      </c>
      <c r="S2257" s="9">
        <v>6.6</v>
      </c>
    </row>
    <row r="2258" ht="15.75" customHeight="1">
      <c r="A2258" s="21" t="s">
        <v>3181</v>
      </c>
      <c r="B2258" s="8" t="str">
        <f>IFERROR(__xludf.DUMMYFUNCTION("REGEXREPLACE(A2258, ""[^0-9a-zA-Z .'Ã]"","""")"),"Guy Ritchie")</f>
        <v>Guy Ritchie</v>
      </c>
      <c r="C2258" s="22">
        <v>151.0</v>
      </c>
      <c r="D2258" s="23">
        <v>3.0093107E7</v>
      </c>
      <c r="E2258" s="22" t="s">
        <v>440</v>
      </c>
      <c r="F2258" s="9">
        <f t="shared" si="1"/>
        <v>2</v>
      </c>
      <c r="G2258" s="22" t="s">
        <v>815</v>
      </c>
      <c r="H2258" s="11" t="str">
        <f>IFERROR(__xludf.DUMMYFUNCTION("REGEXREPLACE(G2258, ""[^0-9a-zA-Z .'Ã]"","""")"),"Jason Statham")</f>
        <v>Jason Statham</v>
      </c>
      <c r="I2258" s="24" t="s">
        <v>7442</v>
      </c>
      <c r="J2258" s="22">
        <v>600996.0</v>
      </c>
      <c r="K2258" s="22" t="s">
        <v>7443</v>
      </c>
      <c r="L2258" s="22">
        <v>726.0</v>
      </c>
      <c r="M2258" s="22" t="s">
        <v>24</v>
      </c>
      <c r="N2258" s="22" t="s">
        <v>130</v>
      </c>
      <c r="O2258" s="23">
        <v>6000000.0</v>
      </c>
      <c r="P2258" s="10">
        <f t="shared" si="2"/>
        <v>24093107</v>
      </c>
      <c r="Q2258" s="12">
        <f t="shared" si="3"/>
        <v>0</v>
      </c>
      <c r="R2258" s="22">
        <v>2000.0</v>
      </c>
      <c r="S2258" s="22">
        <v>8.3</v>
      </c>
    </row>
    <row r="2259" ht="15.75" customHeight="1">
      <c r="A2259" s="29" t="s">
        <v>1314</v>
      </c>
      <c r="B2259" s="8" t="str">
        <f>IFERROR(__xludf.DUMMYFUNCTION("REGEXREPLACE(A2259, ""[^0-9a-zA-Z .'Ã]"","""")"),"Bryan Singer")</f>
        <v>Bryan Singer</v>
      </c>
      <c r="C2259" s="30">
        <v>290.0</v>
      </c>
      <c r="D2259" s="31">
        <v>1.57299717E8</v>
      </c>
      <c r="E2259" s="30" t="s">
        <v>185</v>
      </c>
      <c r="F2259" s="9">
        <f t="shared" si="1"/>
        <v>3</v>
      </c>
      <c r="G2259" s="30" t="s">
        <v>974</v>
      </c>
      <c r="H2259" s="11" t="str">
        <f>IFERROR(__xludf.DUMMYFUNCTION("REGEXREPLACE(G2259, ""[^0-9a-zA-Z .'Ã]"","""")"),"Hugh Jackman")</f>
        <v>Hugh Jackman</v>
      </c>
      <c r="I2259" s="32" t="s">
        <v>7444</v>
      </c>
      <c r="J2259" s="30">
        <v>452928.0</v>
      </c>
      <c r="K2259" s="30" t="s">
        <v>7445</v>
      </c>
      <c r="L2259" s="30">
        <v>1401.0</v>
      </c>
      <c r="M2259" s="30" t="s">
        <v>24</v>
      </c>
      <c r="N2259" s="30" t="s">
        <v>25</v>
      </c>
      <c r="O2259" s="31">
        <v>7.5E7</v>
      </c>
      <c r="P2259" s="10">
        <f t="shared" si="2"/>
        <v>82299717</v>
      </c>
      <c r="Q2259" s="12">
        <f t="shared" si="3"/>
        <v>0</v>
      </c>
      <c r="R2259" s="30">
        <v>2000.0</v>
      </c>
      <c r="S2259" s="30">
        <v>7.4</v>
      </c>
    </row>
    <row r="2260" ht="15.75" customHeight="1">
      <c r="A2260" s="7" t="s">
        <v>4253</v>
      </c>
      <c r="B2260" s="8" t="str">
        <f>IFERROR(__xludf.DUMMYFUNCTION("REGEXREPLACE(A2260, ""[^0-9a-zA-Z .'Ã]"","""")"),"Peter Berg")</f>
        <v>Peter Berg</v>
      </c>
      <c r="C2260" s="9">
        <v>377.0</v>
      </c>
      <c r="D2260" s="10">
        <v>6.517316E7</v>
      </c>
      <c r="E2260" s="9" t="s">
        <v>794</v>
      </c>
      <c r="F2260" s="9">
        <f t="shared" si="1"/>
        <v>4</v>
      </c>
      <c r="G2260" s="9" t="s">
        <v>605</v>
      </c>
      <c r="H2260" s="11" t="str">
        <f>IFERROR(__xludf.DUMMYFUNCTION("REGEXREPLACE(G2260, ""[^0-9a-zA-Z .'Ã]"","""")"),"Liam Neeson")</f>
        <v>Liam Neeson</v>
      </c>
      <c r="I2260" s="11" t="s">
        <v>7446</v>
      </c>
      <c r="J2260" s="9">
        <v>202382.0</v>
      </c>
      <c r="K2260" s="9" t="s">
        <v>7447</v>
      </c>
      <c r="L2260" s="9">
        <v>751.0</v>
      </c>
      <c r="M2260" s="9" t="s">
        <v>24</v>
      </c>
      <c r="N2260" s="9" t="s">
        <v>25</v>
      </c>
      <c r="O2260" s="10">
        <v>2.09E8</v>
      </c>
      <c r="P2260" s="10">
        <f t="shared" si="2"/>
        <v>0</v>
      </c>
      <c r="Q2260" s="12">
        <f t="shared" si="3"/>
        <v>143826840</v>
      </c>
      <c r="R2260" s="9">
        <v>2012.0</v>
      </c>
      <c r="S2260" s="9">
        <v>5.9</v>
      </c>
    </row>
    <row r="2261" ht="15.75" customHeight="1">
      <c r="A2261" s="7" t="s">
        <v>7448</v>
      </c>
      <c r="B2261" s="8" t="str">
        <f>IFERROR(__xludf.DUMMYFUNCTION("REGEXREPLACE(A2261, ""[^0-9a-zA-Z -.'Ã]"","""")"),"Marc SchÃlermann")</f>
        <v>Marc SchÃlermann</v>
      </c>
      <c r="C2261" s="9">
        <v>79.0</v>
      </c>
      <c r="D2261" s="10">
        <v>108662.0</v>
      </c>
      <c r="E2261" s="9" t="s">
        <v>3477</v>
      </c>
      <c r="F2261" s="9">
        <f t="shared" si="1"/>
        <v>3</v>
      </c>
      <c r="G2261" s="9" t="s">
        <v>1797</v>
      </c>
      <c r="H2261" s="11" t="str">
        <f>IFERROR(__xludf.DUMMYFUNCTION("REGEXREPLACE(G2261, ""[^0-9a-zA-Z .'Ã]"","""")"),"John de Lancie")</f>
        <v>John de Lancie</v>
      </c>
      <c r="I2261" s="11" t="s">
        <v>7449</v>
      </c>
      <c r="J2261" s="9">
        <v>26849.0</v>
      </c>
      <c r="K2261" s="9" t="s">
        <v>7450</v>
      </c>
      <c r="L2261" s="9">
        <v>107.0</v>
      </c>
      <c r="M2261" s="9" t="s">
        <v>24</v>
      </c>
      <c r="N2261" s="9" t="s">
        <v>25</v>
      </c>
      <c r="O2261" s="10">
        <v>8000000.0</v>
      </c>
      <c r="P2261" s="10">
        <f t="shared" si="2"/>
        <v>0</v>
      </c>
      <c r="Q2261" s="12">
        <f t="shared" si="3"/>
        <v>7891338</v>
      </c>
      <c r="R2261" s="9">
        <v>2008.0</v>
      </c>
      <c r="S2261" s="9">
        <v>6.0</v>
      </c>
    </row>
    <row r="2262" ht="15.75" customHeight="1">
      <c r="A2262" s="17" t="s">
        <v>38</v>
      </c>
      <c r="B2262" s="8" t="str">
        <f>IFERROR(__xludf.DUMMYFUNCTION("REGEXREPLACE(A2262, ""[^0-9a-zA-Z .'Ã]"","""")"),"Clint Eastwood")</f>
        <v>Clint Eastwood</v>
      </c>
      <c r="C2262" s="18">
        <v>91.0</v>
      </c>
      <c r="D2262" s="19">
        <v>2.5078937E7</v>
      </c>
      <c r="E2262" s="18" t="s">
        <v>435</v>
      </c>
      <c r="F2262" s="9">
        <f t="shared" si="1"/>
        <v>4</v>
      </c>
      <c r="G2262" s="18" t="s">
        <v>483</v>
      </c>
      <c r="H2262" s="11" t="str">
        <f>IFERROR(__xludf.DUMMYFUNCTION("REGEXREPLACE(G2262, ""[^0-9a-zA-Z .'Ã]"","""")"),"Kevin Spacey")</f>
        <v>Kevin Spacey</v>
      </c>
      <c r="I2262" s="20" t="s">
        <v>7451</v>
      </c>
      <c r="J2262" s="18">
        <v>31751.0</v>
      </c>
      <c r="K2262" s="18" t="s">
        <v>7452</v>
      </c>
      <c r="L2262" s="18">
        <v>216.0</v>
      </c>
      <c r="M2262" s="18" t="s">
        <v>24</v>
      </c>
      <c r="N2262" s="18" t="s">
        <v>25</v>
      </c>
      <c r="O2262" s="19">
        <v>3.0E7</v>
      </c>
      <c r="P2262" s="10">
        <f t="shared" si="2"/>
        <v>0</v>
      </c>
      <c r="Q2262" s="12">
        <f t="shared" si="3"/>
        <v>4921063</v>
      </c>
      <c r="R2262" s="18">
        <v>1997.0</v>
      </c>
      <c r="S2262" s="18">
        <v>6.6</v>
      </c>
    </row>
    <row r="2263" ht="15.75" customHeight="1">
      <c r="A2263" s="29" t="s">
        <v>73</v>
      </c>
      <c r="B2263" s="8" t="str">
        <f>IFERROR(__xludf.DUMMYFUNCTION("REGEXREPLACE(A2263, ""[^0-9a-zA-Z .'Ã]"","""")"),"Ridley Scott")</f>
        <v>Ridley Scott</v>
      </c>
      <c r="C2263" s="30">
        <v>775.0</v>
      </c>
      <c r="D2263" s="31">
        <v>1.26464904E8</v>
      </c>
      <c r="E2263" s="30" t="s">
        <v>776</v>
      </c>
      <c r="F2263" s="9">
        <f t="shared" si="1"/>
        <v>3</v>
      </c>
      <c r="G2263" s="30" t="s">
        <v>432</v>
      </c>
      <c r="H2263" s="11" t="str">
        <f>IFERROR(__xludf.DUMMYFUNCTION("REGEXREPLACE(G2263, ""[^0-9a-zA-Z .'Ã]"","""")"),"Michael Fassbender")</f>
        <v>Michael Fassbender</v>
      </c>
      <c r="I2263" s="32" t="s">
        <v>7453</v>
      </c>
      <c r="J2263" s="30">
        <v>456260.0</v>
      </c>
      <c r="K2263" s="30" t="s">
        <v>7454</v>
      </c>
      <c r="L2263" s="30">
        <v>2326.0</v>
      </c>
      <c r="M2263" s="30" t="s">
        <v>24</v>
      </c>
      <c r="N2263" s="30" t="s">
        <v>25</v>
      </c>
      <c r="O2263" s="31">
        <v>1.3E8</v>
      </c>
      <c r="P2263" s="10">
        <f t="shared" si="2"/>
        <v>0</v>
      </c>
      <c r="Q2263" s="12">
        <f t="shared" si="3"/>
        <v>3535096</v>
      </c>
      <c r="R2263" s="30">
        <v>2012.0</v>
      </c>
      <c r="S2263" s="30">
        <v>7.0</v>
      </c>
    </row>
    <row r="2264" ht="15.75" customHeight="1">
      <c r="A2264" s="21" t="s">
        <v>136</v>
      </c>
      <c r="B2264" s="8" t="str">
        <f>IFERROR(__xludf.DUMMYFUNCTION("REGEXREPLACE(A2264, ""[^0-9a-zA-Z .'Ã]"","""")"),"Hugh Wilson")</f>
        <v>Hugh Wilson</v>
      </c>
      <c r="C2264" s="22">
        <v>41.0</v>
      </c>
      <c r="D2264" s="23">
        <v>9694105.0</v>
      </c>
      <c r="E2264" s="22" t="s">
        <v>289</v>
      </c>
      <c r="F2264" s="9">
        <f t="shared" si="1"/>
        <v>3</v>
      </c>
      <c r="G2264" s="22" t="s">
        <v>21</v>
      </c>
      <c r="H2264" s="11" t="str">
        <f>IFERROR(__xludf.DUMMYFUNCTION("REGEXREPLACE(G2264, ""[^0-9a-zA-Z .'Ã]"","""")"),"Brendan Fraser")</f>
        <v>Brendan Fraser</v>
      </c>
      <c r="I2264" s="24" t="s">
        <v>7455</v>
      </c>
      <c r="J2264" s="22">
        <v>8176.0</v>
      </c>
      <c r="K2264" s="22" t="s">
        <v>7456</v>
      </c>
      <c r="L2264" s="22">
        <v>77.0</v>
      </c>
      <c r="M2264" s="22" t="s">
        <v>24</v>
      </c>
      <c r="N2264" s="22" t="s">
        <v>25</v>
      </c>
      <c r="O2264" s="23">
        <v>2.2E7</v>
      </c>
      <c r="P2264" s="10">
        <f t="shared" si="2"/>
        <v>0</v>
      </c>
      <c r="Q2264" s="12">
        <f t="shared" si="3"/>
        <v>12305895</v>
      </c>
      <c r="R2264" s="22">
        <v>1999.0</v>
      </c>
      <c r="S2264" s="22">
        <v>3.8</v>
      </c>
    </row>
    <row r="2265" ht="15.75" customHeight="1">
      <c r="A2265" s="13" t="s">
        <v>2187</v>
      </c>
      <c r="B2265" s="8" t="str">
        <f>IFERROR(__xludf.DUMMYFUNCTION("REGEXREPLACE(A2265, ""[^0-9a-zA-Z .'Ã]"","""")"),"Raja Gosnell")</f>
        <v>Raja Gosnell</v>
      </c>
      <c r="C2265" s="14">
        <v>100.0</v>
      </c>
      <c r="D2265" s="15">
        <v>9.4497271E7</v>
      </c>
      <c r="E2265" s="14" t="s">
        <v>7457</v>
      </c>
      <c r="F2265" s="9">
        <f t="shared" si="1"/>
        <v>5</v>
      </c>
      <c r="G2265" s="14" t="s">
        <v>390</v>
      </c>
      <c r="H2265" s="11" t="str">
        <f>IFERROR(__xludf.DUMMYFUNCTION("REGEXREPLACE(G2265, ""[^0-9a-zA-Z .'Ã]"","""")"),"Jamie Lee Curtis")</f>
        <v>Jamie Lee Curtis</v>
      </c>
      <c r="I2265" s="16" t="s">
        <v>7458</v>
      </c>
      <c r="J2265" s="14">
        <v>17829.0</v>
      </c>
      <c r="K2265" s="14" t="s">
        <v>7459</v>
      </c>
      <c r="L2265" s="14">
        <v>99.0</v>
      </c>
      <c r="M2265" s="14" t="s">
        <v>24</v>
      </c>
      <c r="N2265" s="14" t="s">
        <v>25</v>
      </c>
      <c r="O2265" s="15">
        <v>2.0E7</v>
      </c>
      <c r="P2265" s="10">
        <f t="shared" si="2"/>
        <v>74497271</v>
      </c>
      <c r="Q2265" s="12">
        <f t="shared" si="3"/>
        <v>0</v>
      </c>
      <c r="R2265" s="14">
        <v>2008.0</v>
      </c>
      <c r="S2265" s="14">
        <v>3.7</v>
      </c>
    </row>
    <row r="2266" ht="15.75" customHeight="1">
      <c r="A2266" s="29" t="s">
        <v>6371</v>
      </c>
      <c r="B2266" s="8" t="str">
        <f>IFERROR(__xludf.DUMMYFUNCTION("REGEXREPLACE(A2266, ""[^0-9a-zA-Z .'Ã]"","""")"),"Brian Robbins")</f>
        <v>Brian Robbins</v>
      </c>
      <c r="C2266" s="30">
        <v>127.0</v>
      </c>
      <c r="D2266" s="31">
        <v>1.1802056E7</v>
      </c>
      <c r="E2266" s="30" t="s">
        <v>7460</v>
      </c>
      <c r="F2266" s="9">
        <f t="shared" si="1"/>
        <v>5</v>
      </c>
      <c r="G2266" s="30" t="s">
        <v>6910</v>
      </c>
      <c r="H2266" s="11" t="str">
        <f>IFERROR(__xludf.DUMMYFUNCTION("REGEXREPLACE(G2266, ""[^0-9a-zA-Z .'Ã]"","""")"),"Marc Blucas")</f>
        <v>Marc Blucas</v>
      </c>
      <c r="I2266" s="32" t="s">
        <v>7461</v>
      </c>
      <c r="J2266" s="30">
        <v>31640.0</v>
      </c>
      <c r="K2266" s="30" t="s">
        <v>7462</v>
      </c>
      <c r="L2266" s="30">
        <v>109.0</v>
      </c>
      <c r="M2266" s="30" t="s">
        <v>24</v>
      </c>
      <c r="N2266" s="30" t="s">
        <v>25</v>
      </c>
      <c r="O2266" s="31">
        <v>6.0E7</v>
      </c>
      <c r="P2266" s="10">
        <f t="shared" si="2"/>
        <v>0</v>
      </c>
      <c r="Q2266" s="12">
        <f t="shared" si="3"/>
        <v>48197944</v>
      </c>
      <c r="R2266" s="30">
        <v>2008.0</v>
      </c>
      <c r="S2266" s="30">
        <v>4.9</v>
      </c>
    </row>
    <row r="2267" ht="15.75" customHeight="1">
      <c r="A2267" s="7" t="s">
        <v>7463</v>
      </c>
      <c r="B2267" s="8" t="str">
        <f>IFERROR(__xludf.DUMMYFUNCTION("REGEXREPLACE(A2267, ""[^0-9a-zA-Z .'Ã]"","""")"),"Hitoshi Matsumoto")</f>
        <v>Hitoshi Matsumoto</v>
      </c>
      <c r="C2267" s="9">
        <v>72.0</v>
      </c>
      <c r="D2267" s="10">
        <v>22770.0</v>
      </c>
      <c r="E2267" s="9" t="s">
        <v>454</v>
      </c>
      <c r="F2267" s="9">
        <f t="shared" si="1"/>
        <v>2</v>
      </c>
      <c r="G2267" s="9" t="s">
        <v>7464</v>
      </c>
      <c r="H2267" s="11" t="str">
        <f>IFERROR(__xludf.DUMMYFUNCTION("REGEXREPLACE(G2267, ""[^0-9a-zA-Z .'Ã]"","""")"),"Lindsay Kay Hayward")</f>
        <v>Lindsay Kay Hayward</v>
      </c>
      <c r="I2267" s="11" t="s">
        <v>7465</v>
      </c>
      <c r="J2267" s="9">
        <v>1658.0</v>
      </c>
      <c r="K2267" s="9" t="s">
        <v>7466</v>
      </c>
      <c r="L2267" s="9">
        <v>12.0</v>
      </c>
      <c r="M2267" s="9" t="s">
        <v>1534</v>
      </c>
      <c r="N2267" s="9" t="s">
        <v>1535</v>
      </c>
      <c r="O2267" s="10">
        <v>5500000.0</v>
      </c>
      <c r="P2267" s="10">
        <f t="shared" si="2"/>
        <v>0</v>
      </c>
      <c r="Q2267" s="12">
        <f t="shared" si="3"/>
        <v>5477230</v>
      </c>
      <c r="R2267" s="9">
        <v>2013.0</v>
      </c>
      <c r="S2267" s="9">
        <v>6.1</v>
      </c>
    </row>
    <row r="2268" ht="15.75" customHeight="1">
      <c r="A2268" s="25" t="s">
        <v>7467</v>
      </c>
      <c r="B2268" s="8" t="str">
        <f>IFERROR(__xludf.DUMMYFUNCTION("REGEXREPLACE(A2268, ""[^0-9a-zA-Z .'Ã]"","""")"),"Jeff Lowell")</f>
        <v>Jeff Lowell</v>
      </c>
      <c r="C2268" s="26">
        <v>100.0</v>
      </c>
      <c r="D2268" s="27">
        <v>7563670.0</v>
      </c>
      <c r="E2268" s="26" t="s">
        <v>1741</v>
      </c>
      <c r="F2268" s="9">
        <f t="shared" si="1"/>
        <v>3</v>
      </c>
      <c r="G2268" s="26" t="s">
        <v>897</v>
      </c>
      <c r="H2268" s="11" t="str">
        <f>IFERROR(__xludf.DUMMYFUNCTION("REGEXREPLACE(G2268, ""[^0-9a-zA-Z .'Ã]"","""")"),"Stephen Root")</f>
        <v>Stephen Root</v>
      </c>
      <c r="I2268" s="28" t="s">
        <v>7468</v>
      </c>
      <c r="J2268" s="26">
        <v>21268.0</v>
      </c>
      <c r="K2268" s="26" t="s">
        <v>7469</v>
      </c>
      <c r="L2268" s="26">
        <v>53.0</v>
      </c>
      <c r="M2268" s="26" t="s">
        <v>24</v>
      </c>
      <c r="N2268" s="26" t="s">
        <v>25</v>
      </c>
      <c r="O2268" s="27">
        <v>1.0E7</v>
      </c>
      <c r="P2268" s="10">
        <f t="shared" si="2"/>
        <v>0</v>
      </c>
      <c r="Q2268" s="12">
        <f t="shared" si="3"/>
        <v>2436330</v>
      </c>
      <c r="R2268" s="26">
        <v>2008.0</v>
      </c>
      <c r="S2268" s="26">
        <v>5.2</v>
      </c>
    </row>
    <row r="2269" ht="15.75" customHeight="1">
      <c r="A2269" s="7" t="s">
        <v>147</v>
      </c>
      <c r="B2269" s="8" t="str">
        <f>IFERROR(__xludf.DUMMYFUNCTION("REGEXREPLACE(A2269, ""[^0-9a-zA-Z .'Ã]"","""")"),"Wes Craven")</f>
        <v>Wes Craven</v>
      </c>
      <c r="C2269" s="9">
        <v>158.0</v>
      </c>
      <c r="D2269" s="10">
        <v>1.9294901E7</v>
      </c>
      <c r="E2269" s="9" t="s">
        <v>364</v>
      </c>
      <c r="F2269" s="9">
        <f t="shared" si="1"/>
        <v>2</v>
      </c>
      <c r="G2269" s="9" t="s">
        <v>4601</v>
      </c>
      <c r="H2269" s="11" t="str">
        <f>IFERROR(__xludf.DUMMYFUNCTION("REGEXREPLACE(G2269, ""[^0-9a-zA-Z .'Ã]"","""")"),"Shannon Elizabeth")</f>
        <v>Shannon Elizabeth</v>
      </c>
      <c r="I2269" s="11" t="s">
        <v>7470</v>
      </c>
      <c r="J2269" s="9">
        <v>26126.0</v>
      </c>
      <c r="K2269" s="9" t="s">
        <v>7471</v>
      </c>
      <c r="L2269" s="9">
        <v>325.0</v>
      </c>
      <c r="M2269" s="9" t="s">
        <v>24</v>
      </c>
      <c r="N2269" s="9" t="s">
        <v>25</v>
      </c>
      <c r="O2269" s="10">
        <v>3.5E7</v>
      </c>
      <c r="P2269" s="10">
        <f t="shared" si="2"/>
        <v>0</v>
      </c>
      <c r="Q2269" s="12">
        <f t="shared" si="3"/>
        <v>15705099</v>
      </c>
      <c r="R2269" s="9">
        <v>2005.0</v>
      </c>
      <c r="S2269" s="9">
        <v>5.0</v>
      </c>
    </row>
    <row r="2270" ht="15.75" customHeight="1">
      <c r="A2270" s="17" t="s">
        <v>7472</v>
      </c>
      <c r="B2270" s="8" t="str">
        <f>IFERROR(__xludf.DUMMYFUNCTION("REGEXREPLACE(A2270, ""[^0-9a-zA-Z .'Ã]"","""")"),"Ethan Maniquis")</f>
        <v>Ethan Maniquis</v>
      </c>
      <c r="C2270" s="18">
        <v>391.0</v>
      </c>
      <c r="D2270" s="19">
        <v>2.6589953E7</v>
      </c>
      <c r="E2270" s="18" t="s">
        <v>152</v>
      </c>
      <c r="F2270" s="9">
        <f t="shared" si="1"/>
        <v>3</v>
      </c>
      <c r="G2270" s="18" t="s">
        <v>883</v>
      </c>
      <c r="H2270" s="11" t="str">
        <f>IFERROR(__xludf.DUMMYFUNCTION("REGEXREPLACE(G2270, ""[^0-9a-zA-Z .'Ã]"","""")"),"Robert De Niro")</f>
        <v>Robert De Niro</v>
      </c>
      <c r="I2270" s="20" t="s">
        <v>7473</v>
      </c>
      <c r="J2270" s="18">
        <v>165792.0</v>
      </c>
      <c r="K2270" s="18" t="s">
        <v>7474</v>
      </c>
      <c r="L2270" s="18">
        <v>392.0</v>
      </c>
      <c r="M2270" s="18" t="s">
        <v>24</v>
      </c>
      <c r="N2270" s="18" t="s">
        <v>25</v>
      </c>
      <c r="O2270" s="19">
        <v>1.05E7</v>
      </c>
      <c r="P2270" s="10">
        <f t="shared" si="2"/>
        <v>16089953</v>
      </c>
      <c r="Q2270" s="12">
        <f t="shared" si="3"/>
        <v>0</v>
      </c>
      <c r="R2270" s="18">
        <v>2010.0</v>
      </c>
      <c r="S2270" s="18">
        <v>6.7</v>
      </c>
    </row>
    <row r="2271" ht="15.75" customHeight="1">
      <c r="A2271" s="17" t="s">
        <v>2348</v>
      </c>
      <c r="B2271" s="8" t="str">
        <f>IFERROR(__xludf.DUMMYFUNCTION("REGEXREPLACE(A2271, ""[^0-9a-zA-Z .'Ã]"","""")"),"Carlos Saldanha")</f>
        <v>Carlos Saldanha</v>
      </c>
      <c r="C2271" s="18">
        <v>164.0</v>
      </c>
      <c r="D2271" s="19">
        <v>1.95329763E8</v>
      </c>
      <c r="E2271" s="18" t="s">
        <v>5410</v>
      </c>
      <c r="F2271" s="9">
        <f t="shared" si="1"/>
        <v>6</v>
      </c>
      <c r="G2271" s="18" t="s">
        <v>2349</v>
      </c>
      <c r="H2271" s="11" t="str">
        <f>IFERROR(__xludf.DUMMYFUNCTION("REGEXREPLACE(G2271, ""[^0-9a-zA-Z .'Ã]"","""")"),"Denis Leary")</f>
        <v>Denis Leary</v>
      </c>
      <c r="I2271" s="20" t="s">
        <v>7475</v>
      </c>
      <c r="J2271" s="18">
        <v>194249.0</v>
      </c>
      <c r="K2271" s="18" t="s">
        <v>7476</v>
      </c>
      <c r="L2271" s="18">
        <v>253.0</v>
      </c>
      <c r="M2271" s="18" t="s">
        <v>24</v>
      </c>
      <c r="N2271" s="18" t="s">
        <v>25</v>
      </c>
      <c r="O2271" s="19">
        <v>8.0E7</v>
      </c>
      <c r="P2271" s="10">
        <f t="shared" si="2"/>
        <v>115329763</v>
      </c>
      <c r="Q2271" s="12">
        <f t="shared" si="3"/>
        <v>0</v>
      </c>
      <c r="R2271" s="18">
        <v>2006.0</v>
      </c>
      <c r="S2271" s="18">
        <v>6.9</v>
      </c>
    </row>
    <row r="2272" ht="15.75" customHeight="1">
      <c r="A2272" s="21" t="s">
        <v>4712</v>
      </c>
      <c r="B2272" s="8" t="str">
        <f>IFERROR(__xludf.DUMMYFUNCTION("REGEXREPLACE(A2272, ""[^0-9a-zA-Z .'Ã]"","""")"),"J.C. Chandor")</f>
        <v>J.C. Chandor</v>
      </c>
      <c r="C2272" s="22">
        <v>290.0</v>
      </c>
      <c r="D2272" s="23">
        <v>5354039.0</v>
      </c>
      <c r="E2272" s="22" t="s">
        <v>431</v>
      </c>
      <c r="F2272" s="9">
        <f t="shared" si="1"/>
        <v>3</v>
      </c>
      <c r="G2272" s="22" t="s">
        <v>483</v>
      </c>
      <c r="H2272" s="11" t="str">
        <f>IFERROR(__xludf.DUMMYFUNCTION("REGEXREPLACE(G2272, ""[^0-9a-zA-Z .'Ã]"","""")"),"Kevin Spacey")</f>
        <v>Kevin Spacey</v>
      </c>
      <c r="I2272" s="24" t="s">
        <v>7477</v>
      </c>
      <c r="J2272" s="22">
        <v>92599.0</v>
      </c>
      <c r="K2272" s="22" t="s">
        <v>7478</v>
      </c>
      <c r="L2272" s="22">
        <v>225.0</v>
      </c>
      <c r="M2272" s="22" t="s">
        <v>24</v>
      </c>
      <c r="N2272" s="22" t="s">
        <v>25</v>
      </c>
      <c r="O2272" s="23">
        <v>3500000.0</v>
      </c>
      <c r="P2272" s="10">
        <f t="shared" si="2"/>
        <v>1854039</v>
      </c>
      <c r="Q2272" s="12">
        <f t="shared" si="3"/>
        <v>0</v>
      </c>
      <c r="R2272" s="22">
        <v>2011.0</v>
      </c>
      <c r="S2272" s="22">
        <v>7.1</v>
      </c>
    </row>
    <row r="2273" ht="15.75" customHeight="1">
      <c r="A2273" s="25" t="s">
        <v>2599</v>
      </c>
      <c r="B2273" s="8" t="str">
        <f>IFERROR(__xludf.DUMMYFUNCTION("REGEXREPLACE(A2273, ""[^0-9a-zA-Z .'Ã]"","""")"),"Richard Linklater")</f>
        <v>Richard Linklater</v>
      </c>
      <c r="C2273" s="26">
        <v>405.0</v>
      </c>
      <c r="D2273" s="27">
        <v>8114507.0</v>
      </c>
      <c r="E2273" s="26" t="s">
        <v>232</v>
      </c>
      <c r="F2273" s="9">
        <f t="shared" si="1"/>
        <v>2</v>
      </c>
      <c r="G2273" s="26" t="s">
        <v>7479</v>
      </c>
      <c r="H2273" s="11" t="str">
        <f>IFERROR(__xludf.DUMMYFUNCTION("REGEXREPLACE(G2273, ""[^0-9a-zA-Z .'Ã]"","""")"),"Seamus DaveyFitzpatrick")</f>
        <v>Seamus DaveyFitzpatrick</v>
      </c>
      <c r="I2273" s="28" t="s">
        <v>7480</v>
      </c>
      <c r="J2273" s="26">
        <v>95362.0</v>
      </c>
      <c r="K2273" s="26" t="s">
        <v>7481</v>
      </c>
      <c r="L2273" s="26">
        <v>270.0</v>
      </c>
      <c r="M2273" s="26" t="s">
        <v>24</v>
      </c>
      <c r="N2273" s="26" t="s">
        <v>25</v>
      </c>
      <c r="O2273" s="27">
        <v>3000000.0</v>
      </c>
      <c r="P2273" s="10">
        <f t="shared" si="2"/>
        <v>5114507</v>
      </c>
      <c r="Q2273" s="12">
        <f t="shared" si="3"/>
        <v>0</v>
      </c>
      <c r="R2273" s="26">
        <v>2013.0</v>
      </c>
      <c r="S2273" s="26">
        <v>7.9</v>
      </c>
    </row>
    <row r="2274" ht="15.75" customHeight="1">
      <c r="A2274" s="21" t="s">
        <v>179</v>
      </c>
      <c r="B2274" s="8" t="str">
        <f>IFERROR(__xludf.DUMMYFUNCTION("REGEXREPLACE(A2274, ""[^0-9a-zA-Z .'Ã]"","""")"),"Tim Burton")</f>
        <v>Tim Burton</v>
      </c>
      <c r="C2274" s="22">
        <v>186.0</v>
      </c>
      <c r="D2274" s="23">
        <v>2.51188924E8</v>
      </c>
      <c r="E2274" s="22" t="s">
        <v>636</v>
      </c>
      <c r="F2274" s="9">
        <f t="shared" si="1"/>
        <v>2</v>
      </c>
      <c r="G2274" s="22" t="s">
        <v>181</v>
      </c>
      <c r="H2274" s="11" t="str">
        <f>IFERROR(__xludf.DUMMYFUNCTION("REGEXREPLACE(G2274, ""[^0-9a-zA-Z .'Ã]"","""")"),"Michael Gough")</f>
        <v>Michael Gough</v>
      </c>
      <c r="I2274" s="24" t="s">
        <v>7482</v>
      </c>
      <c r="J2274" s="22">
        <v>269033.0</v>
      </c>
      <c r="K2274" s="22" t="s">
        <v>7483</v>
      </c>
      <c r="L2274" s="22">
        <v>817.0</v>
      </c>
      <c r="M2274" s="22" t="s">
        <v>24</v>
      </c>
      <c r="N2274" s="22" t="s">
        <v>25</v>
      </c>
      <c r="O2274" s="23">
        <v>3.5E7</v>
      </c>
      <c r="P2274" s="10">
        <f t="shared" si="2"/>
        <v>216188924</v>
      </c>
      <c r="Q2274" s="12">
        <f t="shared" si="3"/>
        <v>0</v>
      </c>
      <c r="R2274" s="22">
        <v>1989.0</v>
      </c>
      <c r="S2274" s="22">
        <v>7.6</v>
      </c>
    </row>
    <row r="2275" ht="15.75" customHeight="1">
      <c r="A2275" s="7" t="s">
        <v>3185</v>
      </c>
      <c r="B2275" s="8" t="str">
        <f>IFERROR(__xludf.DUMMYFUNCTION("REGEXREPLACE(A2275, ""[^0-9a-zA-Z .'Ã]"","""")"),"Jason Reitman")</f>
        <v>Jason Reitman</v>
      </c>
      <c r="C2275" s="9">
        <v>391.0</v>
      </c>
      <c r="D2275" s="10">
        <v>8.381346E7</v>
      </c>
      <c r="E2275" s="9" t="s">
        <v>232</v>
      </c>
      <c r="F2275" s="9">
        <f t="shared" si="1"/>
        <v>2</v>
      </c>
      <c r="G2275" s="9" t="s">
        <v>878</v>
      </c>
      <c r="H2275" s="11" t="str">
        <f>IFERROR(__xludf.DUMMYFUNCTION("REGEXREPLACE(G2275, ""[^0-9a-zA-Z .'Ã]"","""")"),"J.K. Simmons")</f>
        <v>J.K. Simmons</v>
      </c>
      <c r="I2275" s="11" t="s">
        <v>7484</v>
      </c>
      <c r="J2275" s="9">
        <v>270238.0</v>
      </c>
      <c r="K2275" s="9" t="s">
        <v>7485</v>
      </c>
      <c r="L2275" s="9">
        <v>452.0</v>
      </c>
      <c r="M2275" s="9" t="s">
        <v>24</v>
      </c>
      <c r="N2275" s="9" t="s">
        <v>25</v>
      </c>
      <c r="O2275" s="10">
        <v>2.5E7</v>
      </c>
      <c r="P2275" s="10">
        <f t="shared" si="2"/>
        <v>58813460</v>
      </c>
      <c r="Q2275" s="12">
        <f t="shared" si="3"/>
        <v>0</v>
      </c>
      <c r="R2275" s="9">
        <v>2009.0</v>
      </c>
      <c r="S2275" s="9">
        <v>7.4</v>
      </c>
    </row>
    <row r="2276" ht="15.75" customHeight="1">
      <c r="A2276" s="25" t="s">
        <v>7486</v>
      </c>
      <c r="B2276" s="8" t="str">
        <f>IFERROR(__xludf.DUMMYFUNCTION("REGEXREPLACE(A2276, ""[^0-9a-zA-Z .'Ã]"","""")"),"Joshua Seftel")</f>
        <v>Joshua Seftel</v>
      </c>
      <c r="C2276" s="26">
        <v>79.0</v>
      </c>
      <c r="D2276" s="27">
        <v>578527.0</v>
      </c>
      <c r="E2276" s="26" t="s">
        <v>4263</v>
      </c>
      <c r="F2276" s="9">
        <f t="shared" si="1"/>
        <v>3</v>
      </c>
      <c r="G2276" s="26" t="s">
        <v>7487</v>
      </c>
      <c r="H2276" s="11" t="str">
        <f>IFERROR(__xludf.DUMMYFUNCTION("REGEXREPLACE(G2276, ""[^0-9a-zA-Z .'Ã]"","""")"),"Bashar Rahal")</f>
        <v>Bashar Rahal</v>
      </c>
      <c r="I2276" s="28" t="s">
        <v>7488</v>
      </c>
      <c r="J2276" s="26">
        <v>20008.0</v>
      </c>
      <c r="K2276" s="26" t="s">
        <v>7489</v>
      </c>
      <c r="L2276" s="26">
        <v>112.0</v>
      </c>
      <c r="M2276" s="26" t="s">
        <v>24</v>
      </c>
      <c r="N2276" s="26" t="s">
        <v>25</v>
      </c>
      <c r="O2276" s="27">
        <v>1.0E7</v>
      </c>
      <c r="P2276" s="10">
        <f t="shared" si="2"/>
        <v>0</v>
      </c>
      <c r="Q2276" s="12">
        <f t="shared" si="3"/>
        <v>9421473</v>
      </c>
      <c r="R2276" s="26">
        <v>2008.0</v>
      </c>
      <c r="S2276" s="26">
        <v>5.7</v>
      </c>
    </row>
    <row r="2277" ht="15.75" customHeight="1">
      <c r="A2277" s="21" t="s">
        <v>7490</v>
      </c>
      <c r="B2277" s="8" t="str">
        <f>IFERROR(__xludf.DUMMYFUNCTION("REGEXREPLACE(A2277, ""[^0-9a-zA-Z .'Ã]"","""")"),"Drew Goddard")</f>
        <v>Drew Goddard</v>
      </c>
      <c r="C2277" s="22">
        <v>634.0</v>
      </c>
      <c r="D2277" s="23">
        <v>4.2043633E7</v>
      </c>
      <c r="E2277" s="22" t="s">
        <v>819</v>
      </c>
      <c r="F2277" s="9">
        <f t="shared" si="1"/>
        <v>4</v>
      </c>
      <c r="G2277" s="22" t="s">
        <v>1439</v>
      </c>
      <c r="H2277" s="11" t="str">
        <f>IFERROR(__xludf.DUMMYFUNCTION("REGEXREPLACE(G2277, ""[^0-9a-zA-Z .'Ã]"","""")"),"Chris Hemsworth")</f>
        <v>Chris Hemsworth</v>
      </c>
      <c r="I2277" s="24" t="s">
        <v>7491</v>
      </c>
      <c r="J2277" s="22">
        <v>277172.0</v>
      </c>
      <c r="K2277" s="22" t="s">
        <v>7492</v>
      </c>
      <c r="L2277" s="22">
        <v>986.0</v>
      </c>
      <c r="M2277" s="22" t="s">
        <v>24</v>
      </c>
      <c r="N2277" s="22" t="s">
        <v>25</v>
      </c>
      <c r="O2277" s="23">
        <v>3.0E7</v>
      </c>
      <c r="P2277" s="10">
        <f t="shared" si="2"/>
        <v>12043633</v>
      </c>
      <c r="Q2277" s="12">
        <f t="shared" si="3"/>
        <v>0</v>
      </c>
      <c r="R2277" s="22">
        <v>2012.0</v>
      </c>
      <c r="S2277" s="22">
        <v>7.0</v>
      </c>
    </row>
    <row r="2278" ht="15.75" customHeight="1">
      <c r="A2278" s="17" t="s">
        <v>877</v>
      </c>
      <c r="B2278" s="8" t="str">
        <f>IFERROR(__xludf.DUMMYFUNCTION("REGEXREPLACE(A2278, ""[^0-9a-zA-Z .'Ã]"","""")"),"David Ayer")</f>
        <v>David Ayer</v>
      </c>
      <c r="C2278" s="18">
        <v>418.0</v>
      </c>
      <c r="D2278" s="19">
        <v>1.61087183E8</v>
      </c>
      <c r="E2278" s="18" t="s">
        <v>1387</v>
      </c>
      <c r="F2278" s="9">
        <f t="shared" si="1"/>
        <v>4</v>
      </c>
      <c r="G2278" s="18" t="s">
        <v>2717</v>
      </c>
      <c r="H2278" s="11" t="str">
        <f>IFERROR(__xludf.DUMMYFUNCTION("REGEXREPLACE(G2278, ""[^0-9a-zA-Z .'Ã]"","""")"),"Will Smith")</f>
        <v>Will Smith</v>
      </c>
      <c r="I2278" s="20" t="s">
        <v>7493</v>
      </c>
      <c r="J2278" s="18">
        <v>118992.0</v>
      </c>
      <c r="K2278" s="18" t="s">
        <v>7494</v>
      </c>
      <c r="L2278" s="18">
        <v>971.0</v>
      </c>
      <c r="M2278" s="18" t="s">
        <v>24</v>
      </c>
      <c r="N2278" s="18" t="s">
        <v>25</v>
      </c>
      <c r="O2278" s="19">
        <v>1.75E8</v>
      </c>
      <c r="P2278" s="10">
        <f t="shared" si="2"/>
        <v>0</v>
      </c>
      <c r="Q2278" s="12">
        <f t="shared" si="3"/>
        <v>13912817</v>
      </c>
      <c r="R2278" s="18">
        <v>2016.0</v>
      </c>
      <c r="S2278" s="18">
        <v>6.9</v>
      </c>
    </row>
    <row r="2279" ht="15.75" customHeight="1">
      <c r="A2279" s="21" t="s">
        <v>635</v>
      </c>
      <c r="B2279" s="8" t="str">
        <f>IFERROR(__xludf.DUMMYFUNCTION("REGEXREPLACE(A2279, ""[^0-9a-zA-Z .'Ã]"","""")"),"Steven Spielberg")</f>
        <v>Steven Spielberg</v>
      </c>
      <c r="C2279" s="22">
        <v>281.0</v>
      </c>
      <c r="D2279" s="23">
        <v>7.8616689E7</v>
      </c>
      <c r="E2279" s="22" t="s">
        <v>7495</v>
      </c>
      <c r="F2279" s="9">
        <f t="shared" si="1"/>
        <v>3</v>
      </c>
      <c r="G2279" s="22" t="s">
        <v>1225</v>
      </c>
      <c r="H2279" s="11" t="str">
        <f>IFERROR(__xludf.DUMMYFUNCTION("REGEXREPLACE(G2279, ""[^0-9a-zA-Z .'Ã]"","""")"),"Haley Joel Osment")</f>
        <v>Haley Joel Osment</v>
      </c>
      <c r="I2279" s="24" t="s">
        <v>7496</v>
      </c>
      <c r="J2279" s="22">
        <v>238747.0</v>
      </c>
      <c r="K2279" s="22" t="s">
        <v>7497</v>
      </c>
      <c r="L2279" s="22">
        <v>2153.0</v>
      </c>
      <c r="M2279" s="22" t="s">
        <v>24</v>
      </c>
      <c r="N2279" s="22" t="s">
        <v>25</v>
      </c>
      <c r="O2279" s="23">
        <v>1.0E8</v>
      </c>
      <c r="P2279" s="10">
        <f t="shared" si="2"/>
        <v>0</v>
      </c>
      <c r="Q2279" s="12">
        <f t="shared" si="3"/>
        <v>21383311</v>
      </c>
      <c r="R2279" s="22">
        <v>2001.0</v>
      </c>
      <c r="S2279" s="22">
        <v>7.1</v>
      </c>
    </row>
    <row r="2280" ht="15.75" customHeight="1">
      <c r="A2280" s="13" t="s">
        <v>4606</v>
      </c>
      <c r="B2280" s="8" t="str">
        <f>IFERROR(__xludf.DUMMYFUNCTION("REGEXREPLACE(A2280, ""[^0-9a-zA-Z .'Ã]"","""")"),"Zack Snyder")</f>
        <v>Zack Snyder</v>
      </c>
      <c r="C2280" s="14">
        <v>435.0</v>
      </c>
      <c r="D2280" s="15">
        <v>3.6381716E7</v>
      </c>
      <c r="E2280" s="14" t="s">
        <v>7498</v>
      </c>
      <c r="F2280" s="9">
        <f t="shared" si="1"/>
        <v>2</v>
      </c>
      <c r="G2280" s="14" t="s">
        <v>1688</v>
      </c>
      <c r="H2280" s="11" t="str">
        <f>IFERROR(__xludf.DUMMYFUNCTION("REGEXREPLACE(G2280, ""[^0-9a-zA-Z .'Ã]"","""")"),"Jon Hamm")</f>
        <v>Jon Hamm</v>
      </c>
      <c r="I2280" s="16" t="s">
        <v>7499</v>
      </c>
      <c r="J2280" s="14">
        <v>197584.0</v>
      </c>
      <c r="K2280" s="14" t="s">
        <v>7500</v>
      </c>
      <c r="L2280" s="14">
        <v>918.0</v>
      </c>
      <c r="M2280" s="14" t="s">
        <v>24</v>
      </c>
      <c r="N2280" s="14" t="s">
        <v>25</v>
      </c>
      <c r="O2280" s="15">
        <v>8.2E7</v>
      </c>
      <c r="P2280" s="10">
        <f t="shared" si="2"/>
        <v>0</v>
      </c>
      <c r="Q2280" s="12">
        <f t="shared" si="3"/>
        <v>45618284</v>
      </c>
      <c r="R2280" s="14">
        <v>2011.0</v>
      </c>
      <c r="S2280" s="14">
        <v>6.1</v>
      </c>
    </row>
    <row r="2281" ht="15.75" customHeight="1">
      <c r="A2281" s="17" t="s">
        <v>4735</v>
      </c>
      <c r="B2281" s="8" t="str">
        <f>IFERROR(__xludf.DUMMYFUNCTION("REGEXREPLACE(A2281, ""[^0-9a-zA-Z .'Ã]"","""")"),"Mike Mitchell")</f>
        <v>Mike Mitchell</v>
      </c>
      <c r="C2281" s="18">
        <v>91.0</v>
      </c>
      <c r="D2281" s="19">
        <v>1.33103929E8</v>
      </c>
      <c r="E2281" s="18" t="s">
        <v>7501</v>
      </c>
      <c r="F2281" s="9">
        <f t="shared" si="1"/>
        <v>6</v>
      </c>
      <c r="G2281" s="18" t="s">
        <v>2653</v>
      </c>
      <c r="H2281" s="11" t="str">
        <f>IFERROR(__xludf.DUMMYFUNCTION("REGEXREPLACE(G2281, ""[^0-9a-zA-Z .'Ã]"","""")"),"Amy Poehler")</f>
        <v>Amy Poehler</v>
      </c>
      <c r="I2281" s="20" t="s">
        <v>7502</v>
      </c>
      <c r="J2281" s="18">
        <v>22838.0</v>
      </c>
      <c r="K2281" s="18" t="s">
        <v>7503</v>
      </c>
      <c r="L2281" s="18">
        <v>56.0</v>
      </c>
      <c r="M2281" s="18" t="s">
        <v>24</v>
      </c>
      <c r="N2281" s="18" t="s">
        <v>25</v>
      </c>
      <c r="O2281" s="19">
        <v>7.5E7</v>
      </c>
      <c r="P2281" s="10">
        <f t="shared" si="2"/>
        <v>58103929</v>
      </c>
      <c r="Q2281" s="12">
        <f t="shared" si="3"/>
        <v>0</v>
      </c>
      <c r="R2281" s="18">
        <v>2011.0</v>
      </c>
      <c r="S2281" s="18">
        <v>4.4</v>
      </c>
    </row>
    <row r="2282" ht="15.75" customHeight="1">
      <c r="A2282" s="17" t="s">
        <v>860</v>
      </c>
      <c r="B2282" s="8" t="str">
        <f>IFERROR(__xludf.DUMMYFUNCTION("REGEXREPLACE(A2282, ""[^0-9a-zA-Z .'Ã]"","""")"),"Michael Bay")</f>
        <v>Michael Bay</v>
      </c>
      <c r="C2282" s="18">
        <v>167.0</v>
      </c>
      <c r="D2282" s="19">
        <v>2.01573391E8</v>
      </c>
      <c r="E2282" s="18" t="s">
        <v>794</v>
      </c>
      <c r="F2282" s="9">
        <f t="shared" si="1"/>
        <v>4</v>
      </c>
      <c r="G2282" s="18" t="s">
        <v>55</v>
      </c>
      <c r="H2282" s="11" t="str">
        <f>IFERROR(__xludf.DUMMYFUNCTION("REGEXREPLACE(G2282, ""[^0-9a-zA-Z .'Ã]"","""")"),"Bruce Willis")</f>
        <v>Bruce Willis</v>
      </c>
      <c r="I2282" s="20" t="s">
        <v>7504</v>
      </c>
      <c r="J2282" s="18">
        <v>322395.0</v>
      </c>
      <c r="K2282" s="18" t="s">
        <v>7505</v>
      </c>
      <c r="L2282" s="18">
        <v>1171.0</v>
      </c>
      <c r="M2282" s="18" t="s">
        <v>24</v>
      </c>
      <c r="N2282" s="18" t="s">
        <v>25</v>
      </c>
      <c r="O2282" s="19">
        <v>1.4E8</v>
      </c>
      <c r="P2282" s="10">
        <f t="shared" si="2"/>
        <v>61573391</v>
      </c>
      <c r="Q2282" s="12">
        <f t="shared" si="3"/>
        <v>0</v>
      </c>
      <c r="R2282" s="18">
        <v>1998.0</v>
      </c>
      <c r="S2282" s="18">
        <v>6.6</v>
      </c>
    </row>
    <row r="2283" ht="15.75" customHeight="1">
      <c r="A2283" s="7" t="s">
        <v>4870</v>
      </c>
      <c r="B2283" s="8" t="str">
        <f>IFERROR(__xludf.DUMMYFUNCTION("REGEXREPLACE(A2283, ""[^0-9a-zA-Z .'Ã]"","""")"),"Sheldon Lettich")</f>
        <v>Sheldon Lettich</v>
      </c>
      <c r="C2283" s="9">
        <v>40.0</v>
      </c>
      <c r="D2283" s="10">
        <v>3.0102717E7</v>
      </c>
      <c r="E2283" s="9" t="s">
        <v>49</v>
      </c>
      <c r="F2283" s="9">
        <f t="shared" si="1"/>
        <v>2</v>
      </c>
      <c r="G2283" s="9" t="s">
        <v>7506</v>
      </c>
      <c r="H2283" s="11" t="str">
        <f>IFERROR(__xludf.DUMMYFUNCTION("REGEXREPLACE(G2283, ""[^0-9a-zA-Z .'Ã]"","""")"),"Bolo Yeung")</f>
        <v>Bolo Yeung</v>
      </c>
      <c r="I2283" s="11" t="s">
        <v>7507</v>
      </c>
      <c r="J2283" s="9">
        <v>28736.0</v>
      </c>
      <c r="K2283" s="9" t="s">
        <v>7508</v>
      </c>
      <c r="L2283" s="9">
        <v>72.0</v>
      </c>
      <c r="M2283" s="9" t="s">
        <v>24</v>
      </c>
      <c r="N2283" s="9" t="s">
        <v>25</v>
      </c>
      <c r="O2283" s="10">
        <v>1.5E7</v>
      </c>
      <c r="P2283" s="10">
        <f t="shared" si="2"/>
        <v>15102717</v>
      </c>
      <c r="Q2283" s="12">
        <f t="shared" si="3"/>
        <v>0</v>
      </c>
      <c r="R2283" s="9">
        <v>1991.0</v>
      </c>
      <c r="S2283" s="9">
        <v>5.5</v>
      </c>
    </row>
    <row r="2284" ht="15.75" customHeight="1">
      <c r="A2284" s="7" t="s">
        <v>828</v>
      </c>
      <c r="B2284" s="8" t="str">
        <f>IFERROR(__xludf.DUMMYFUNCTION("REGEXREPLACE(A2284, ""[^0-9a-zA-Z .'Ã]"","""")"),"Gabriele Muccino")</f>
        <v>Gabriele Muccino</v>
      </c>
      <c r="C2284" s="9">
        <v>201.0</v>
      </c>
      <c r="D2284" s="10">
        <v>1.62586036E8</v>
      </c>
      <c r="E2284" s="9" t="s">
        <v>359</v>
      </c>
      <c r="F2284" s="9">
        <f t="shared" si="1"/>
        <v>2</v>
      </c>
      <c r="G2284" s="9" t="s">
        <v>2717</v>
      </c>
      <c r="H2284" s="11" t="str">
        <f>IFERROR(__xludf.DUMMYFUNCTION("REGEXREPLACE(G2284, ""[^0-9a-zA-Z .'Ã]"","""")"),"Will Smith")</f>
        <v>Will Smith</v>
      </c>
      <c r="I2284" s="11" t="s">
        <v>7509</v>
      </c>
      <c r="J2284" s="9">
        <v>338383.0</v>
      </c>
      <c r="K2284" s="9" t="s">
        <v>7510</v>
      </c>
      <c r="L2284" s="9">
        <v>611.0</v>
      </c>
      <c r="M2284" s="9" t="s">
        <v>24</v>
      </c>
      <c r="N2284" s="9" t="s">
        <v>25</v>
      </c>
      <c r="O2284" s="10">
        <v>5.5E7</v>
      </c>
      <c r="P2284" s="10">
        <f t="shared" si="2"/>
        <v>107586036</v>
      </c>
      <c r="Q2284" s="12">
        <f t="shared" si="3"/>
        <v>0</v>
      </c>
      <c r="R2284" s="9">
        <v>2006.0</v>
      </c>
      <c r="S2284" s="9">
        <v>8.0</v>
      </c>
    </row>
    <row r="2285" ht="15.75" customHeight="1">
      <c r="A2285" s="17" t="s">
        <v>2925</v>
      </c>
      <c r="B2285" s="8" t="str">
        <f>IFERROR(__xludf.DUMMYFUNCTION("REGEXREPLACE(A2285, ""[^0-9a-zA-Z .'Ã]"","""")"),"Salim Akil")</f>
        <v>Salim Akil</v>
      </c>
      <c r="C2285" s="18">
        <v>52.0</v>
      </c>
      <c r="D2285" s="19">
        <v>3.7295394E7</v>
      </c>
      <c r="E2285" s="18" t="s">
        <v>454</v>
      </c>
      <c r="F2285" s="9">
        <f t="shared" si="1"/>
        <v>2</v>
      </c>
      <c r="G2285" s="18" t="s">
        <v>1593</v>
      </c>
      <c r="H2285" s="11" t="str">
        <f>IFERROR(__xludf.DUMMYFUNCTION("REGEXREPLACE(G2285, ""[^0-9a-zA-Z .'Ã]"","""")"),"Gary Dourdan")</f>
        <v>Gary Dourdan</v>
      </c>
      <c r="I2285" s="20" t="s">
        <v>7511</v>
      </c>
      <c r="J2285" s="18">
        <v>7973.0</v>
      </c>
      <c r="K2285" s="18" t="s">
        <v>7512</v>
      </c>
      <c r="L2285" s="18">
        <v>59.0</v>
      </c>
      <c r="M2285" s="18" t="s">
        <v>24</v>
      </c>
      <c r="N2285" s="18" t="s">
        <v>25</v>
      </c>
      <c r="O2285" s="19">
        <v>6600000.0</v>
      </c>
      <c r="P2285" s="10">
        <f t="shared" si="2"/>
        <v>30695394</v>
      </c>
      <c r="Q2285" s="12">
        <f t="shared" si="3"/>
        <v>0</v>
      </c>
      <c r="R2285" s="18">
        <v>2011.0</v>
      </c>
      <c r="S2285" s="18">
        <v>5.7</v>
      </c>
    </row>
    <row r="2286" ht="15.75" customHeight="1">
      <c r="A2286" s="29" t="s">
        <v>1849</v>
      </c>
      <c r="B2286" s="8" t="str">
        <f>IFERROR(__xludf.DUMMYFUNCTION("REGEXREPLACE(A2286, ""[^0-9a-zA-Z .'Ã]"","""")"),"David Wain")</f>
        <v>David Wain</v>
      </c>
      <c r="C2286" s="30">
        <v>65.0</v>
      </c>
      <c r="D2286" s="31">
        <v>766487.0</v>
      </c>
      <c r="E2286" s="30" t="s">
        <v>89</v>
      </c>
      <c r="F2286" s="9">
        <f t="shared" si="1"/>
        <v>2</v>
      </c>
      <c r="G2286" s="30" t="s">
        <v>1688</v>
      </c>
      <c r="H2286" s="11" t="str">
        <f>IFERROR(__xludf.DUMMYFUNCTION("REGEXREPLACE(G2286, ""[^0-9a-zA-Z .'Ã]"","""")"),"Jon Hamm")</f>
        <v>Jon Hamm</v>
      </c>
      <c r="I2286" s="32" t="s">
        <v>7513</v>
      </c>
      <c r="J2286" s="30">
        <v>15315.0</v>
      </c>
      <c r="K2286" s="30" t="s">
        <v>7514</v>
      </c>
      <c r="L2286" s="30">
        <v>117.0</v>
      </c>
      <c r="M2286" s="30" t="s">
        <v>24</v>
      </c>
      <c r="N2286" s="30" t="s">
        <v>25</v>
      </c>
      <c r="O2286" s="31">
        <v>5250000.0</v>
      </c>
      <c r="P2286" s="10">
        <f t="shared" si="2"/>
        <v>0</v>
      </c>
      <c r="Q2286" s="12">
        <f t="shared" si="3"/>
        <v>4483513</v>
      </c>
      <c r="R2286" s="30">
        <v>2007.0</v>
      </c>
      <c r="S2286" s="30">
        <v>5.0</v>
      </c>
    </row>
    <row r="2287" ht="15.75" customHeight="1">
      <c r="A2287" s="25" t="s">
        <v>1206</v>
      </c>
      <c r="B2287" s="8" t="str">
        <f>IFERROR(__xludf.DUMMYFUNCTION("REGEXREPLACE(A2287, ""[^0-9a-zA-Z .'Ã]"","""")"),"Breck Eisner")</f>
        <v>Breck Eisner</v>
      </c>
      <c r="C2287" s="26">
        <v>308.0</v>
      </c>
      <c r="D2287" s="27">
        <v>3.9103378E7</v>
      </c>
      <c r="E2287" s="26" t="s">
        <v>306</v>
      </c>
      <c r="F2287" s="9">
        <f t="shared" si="1"/>
        <v>2</v>
      </c>
      <c r="G2287" s="26" t="s">
        <v>4097</v>
      </c>
      <c r="H2287" s="11" t="str">
        <f>IFERROR(__xludf.DUMMYFUNCTION("REGEXREPLACE(G2287, ""[^0-9a-zA-Z .'Ã]"","""")"),"Radha Mitchell")</f>
        <v>Radha Mitchell</v>
      </c>
      <c r="I2287" s="28" t="s">
        <v>7515</v>
      </c>
      <c r="J2287" s="26">
        <v>93272.0</v>
      </c>
      <c r="K2287" s="26" t="s">
        <v>7516</v>
      </c>
      <c r="L2287" s="26">
        <v>251.0</v>
      </c>
      <c r="M2287" s="26" t="s">
        <v>24</v>
      </c>
      <c r="N2287" s="26" t="s">
        <v>25</v>
      </c>
      <c r="O2287" s="27">
        <v>2.0E7</v>
      </c>
      <c r="P2287" s="10">
        <f t="shared" si="2"/>
        <v>19103378</v>
      </c>
      <c r="Q2287" s="12">
        <f t="shared" si="3"/>
        <v>0</v>
      </c>
      <c r="R2287" s="26">
        <v>2010.0</v>
      </c>
      <c r="S2287" s="26">
        <v>6.5</v>
      </c>
    </row>
    <row r="2288" ht="15.75" customHeight="1">
      <c r="A2288" s="7" t="s">
        <v>7517</v>
      </c>
      <c r="B2288" s="8" t="str">
        <f>IFERROR(__xludf.DUMMYFUNCTION("REGEXREPLACE(A2288, ""[^0-9a-zA-Z .'Ã]"","""")"),"Cyrus Nowrasteh")</f>
        <v>Cyrus Nowrasteh</v>
      </c>
      <c r="C2288" s="9">
        <v>24.0</v>
      </c>
      <c r="D2288" s="10">
        <v>6462576.0</v>
      </c>
      <c r="E2288" s="9" t="s">
        <v>103</v>
      </c>
      <c r="F2288" s="9">
        <f t="shared" si="1"/>
        <v>1</v>
      </c>
      <c r="G2288" s="9" t="s">
        <v>7518</v>
      </c>
      <c r="H2288" s="11" t="str">
        <f>IFERROR(__xludf.DUMMYFUNCTION("REGEXREPLACE(G2288, ""[^0-9a-zA-Z .'Ã]"","""")"),"Clive Russell")</f>
        <v>Clive Russell</v>
      </c>
      <c r="I2288" s="11" t="s">
        <v>7519</v>
      </c>
      <c r="J2288" s="9">
        <v>1449.0</v>
      </c>
      <c r="K2288" s="9" t="s">
        <v>7520</v>
      </c>
      <c r="L2288" s="9">
        <v>30.0</v>
      </c>
      <c r="M2288" s="9" t="s">
        <v>24</v>
      </c>
      <c r="N2288" s="9" t="s">
        <v>25</v>
      </c>
      <c r="O2288" s="10">
        <v>1.85E7</v>
      </c>
      <c r="P2288" s="10">
        <f t="shared" si="2"/>
        <v>0</v>
      </c>
      <c r="Q2288" s="12">
        <f t="shared" si="3"/>
        <v>12037424</v>
      </c>
      <c r="R2288" s="9">
        <v>2016.0</v>
      </c>
      <c r="S2288" s="9">
        <v>5.4</v>
      </c>
    </row>
    <row r="2289" ht="15.75" customHeight="1">
      <c r="A2289" s="21" t="s">
        <v>521</v>
      </c>
      <c r="B2289" s="8" t="str">
        <f>IFERROR(__xludf.DUMMYFUNCTION("REGEXREPLACE(A2289, ""[^0-9a-zA-Z .'Ã]"","""")"),"Phillip Noyce")</f>
        <v>Phillip Noyce</v>
      </c>
      <c r="C2289" s="22">
        <v>42.0</v>
      </c>
      <c r="D2289" s="23">
        <v>1.2201271E8</v>
      </c>
      <c r="E2289" s="22" t="s">
        <v>501</v>
      </c>
      <c r="F2289" s="9">
        <f t="shared" si="1"/>
        <v>4</v>
      </c>
      <c r="G2289" s="22" t="s">
        <v>637</v>
      </c>
      <c r="H2289" s="11" t="str">
        <f>IFERROR(__xludf.DUMMYFUNCTION("REGEXREPLACE(G2289, ""[^0-9a-zA-Z .'Ã]"","""")"),"Harrison Ford")</f>
        <v>Harrison Ford</v>
      </c>
      <c r="I2289" s="24" t="s">
        <v>7521</v>
      </c>
      <c r="J2289" s="22">
        <v>69663.0</v>
      </c>
      <c r="K2289" s="22" t="s">
        <v>7522</v>
      </c>
      <c r="L2289" s="22">
        <v>133.0</v>
      </c>
      <c r="M2289" s="22" t="s">
        <v>24</v>
      </c>
      <c r="N2289" s="22" t="s">
        <v>25</v>
      </c>
      <c r="O2289" s="23">
        <v>6.2E7</v>
      </c>
      <c r="P2289" s="10">
        <f t="shared" si="2"/>
        <v>60012710</v>
      </c>
      <c r="Q2289" s="12">
        <f t="shared" si="3"/>
        <v>0</v>
      </c>
      <c r="R2289" s="22">
        <v>1994.0</v>
      </c>
      <c r="S2289" s="22">
        <v>6.9</v>
      </c>
    </row>
    <row r="2290" ht="15.75" customHeight="1">
      <c r="A2290" s="17" t="s">
        <v>38</v>
      </c>
      <c r="B2290" s="8" t="str">
        <f>IFERROR(__xludf.DUMMYFUNCTION("REGEXREPLACE(A2290, ""[^0-9a-zA-Z .'Ã]"","""")"),"Clint Eastwood")</f>
        <v>Clint Eastwood</v>
      </c>
      <c r="C2290" s="18">
        <v>490.0</v>
      </c>
      <c r="D2290" s="19">
        <v>3.50123553E8</v>
      </c>
      <c r="E2290" s="18" t="s">
        <v>7523</v>
      </c>
      <c r="F2290" s="9">
        <f t="shared" si="1"/>
        <v>6</v>
      </c>
      <c r="G2290" s="18" t="s">
        <v>1903</v>
      </c>
      <c r="H2290" s="11" t="str">
        <f>IFERROR(__xludf.DUMMYFUNCTION("REGEXREPLACE(G2290, ""[^0-9a-zA-Z .'Ã]"","""")"),"Bradley Cooper")</f>
        <v>Bradley Cooper</v>
      </c>
      <c r="I2290" s="20" t="s">
        <v>7524</v>
      </c>
      <c r="J2290" s="18">
        <v>325264.0</v>
      </c>
      <c r="K2290" s="18" t="s">
        <v>7525</v>
      </c>
      <c r="L2290" s="18">
        <v>916.0</v>
      </c>
      <c r="M2290" s="18" t="s">
        <v>24</v>
      </c>
      <c r="N2290" s="18" t="s">
        <v>25</v>
      </c>
      <c r="O2290" s="19">
        <v>5.88E7</v>
      </c>
      <c r="P2290" s="10">
        <f t="shared" si="2"/>
        <v>291323553</v>
      </c>
      <c r="Q2290" s="12">
        <f t="shared" si="3"/>
        <v>0</v>
      </c>
      <c r="R2290" s="18">
        <v>2014.0</v>
      </c>
      <c r="S2290" s="18">
        <v>7.3</v>
      </c>
    </row>
    <row r="2291" ht="15.75" customHeight="1">
      <c r="A2291" s="7" t="s">
        <v>7526</v>
      </c>
      <c r="B2291" s="8" t="str">
        <f>IFERROR(__xludf.DUMMYFUNCTION("REGEXREPLACE(A2291, ""[^0-9a-zA-Z .'Ã]"","""")"),"Pierre Coffin")</f>
        <v>Pierre Coffin</v>
      </c>
      <c r="C2291" s="9">
        <v>304.0</v>
      </c>
      <c r="D2291" s="10">
        <v>2.51501645E8</v>
      </c>
      <c r="E2291" s="9" t="s">
        <v>3503</v>
      </c>
      <c r="F2291" s="9">
        <f t="shared" si="1"/>
        <v>3</v>
      </c>
      <c r="G2291" s="9" t="s">
        <v>1080</v>
      </c>
      <c r="H2291" s="11" t="str">
        <f>IFERROR(__xludf.DUMMYFUNCTION("REGEXREPLACE(G2291, ""[^0-9a-zA-Z .'Ã]"","""")"),"Steve Carell")</f>
        <v>Steve Carell</v>
      </c>
      <c r="I2291" s="11" t="s">
        <v>7527</v>
      </c>
      <c r="J2291" s="9">
        <v>385943.0</v>
      </c>
      <c r="K2291" s="9" t="s">
        <v>7528</v>
      </c>
      <c r="L2291" s="9">
        <v>296.0</v>
      </c>
      <c r="M2291" s="9" t="s">
        <v>24</v>
      </c>
      <c r="N2291" s="9" t="s">
        <v>25</v>
      </c>
      <c r="O2291" s="10">
        <v>6.9E7</v>
      </c>
      <c r="P2291" s="10">
        <f t="shared" si="2"/>
        <v>182501645</v>
      </c>
      <c r="Q2291" s="12">
        <f t="shared" si="3"/>
        <v>0</v>
      </c>
      <c r="R2291" s="9">
        <v>2010.0</v>
      </c>
      <c r="S2291" s="9">
        <v>7.7</v>
      </c>
    </row>
    <row r="2292" ht="15.75" customHeight="1">
      <c r="A2292" s="21" t="s">
        <v>5249</v>
      </c>
      <c r="B2292" s="8" t="str">
        <f>IFERROR(__xludf.DUMMYFUNCTION("REGEXREPLACE(A2292, ""[^0-9a-zA-Z .'Ã]"","""")"),"Neill Blomkamp")</f>
        <v>Neill Blomkamp</v>
      </c>
      <c r="C2292" s="22">
        <v>476.0</v>
      </c>
      <c r="D2292" s="23">
        <v>9.3050117E7</v>
      </c>
      <c r="E2292" s="22" t="s">
        <v>1546</v>
      </c>
      <c r="F2292" s="9">
        <f t="shared" si="1"/>
        <v>4</v>
      </c>
      <c r="G2292" s="22" t="s">
        <v>585</v>
      </c>
      <c r="H2292" s="11" t="str">
        <f>IFERROR(__xludf.DUMMYFUNCTION("REGEXREPLACE(G2292, ""[^0-9a-zA-Z .'Ã]"","""")"),"Matt Damon")</f>
        <v>Matt Damon</v>
      </c>
      <c r="I2292" s="24" t="s">
        <v>7529</v>
      </c>
      <c r="J2292" s="22">
        <v>338087.0</v>
      </c>
      <c r="K2292" s="22" t="s">
        <v>7530</v>
      </c>
      <c r="L2292" s="22">
        <v>814.0</v>
      </c>
      <c r="M2292" s="22" t="s">
        <v>24</v>
      </c>
      <c r="N2292" s="22" t="s">
        <v>25</v>
      </c>
      <c r="O2292" s="23">
        <v>1.15E8</v>
      </c>
      <c r="P2292" s="10">
        <f t="shared" si="2"/>
        <v>0</v>
      </c>
      <c r="Q2292" s="12">
        <f t="shared" si="3"/>
        <v>21949883</v>
      </c>
      <c r="R2292" s="22">
        <v>2013.0</v>
      </c>
      <c r="S2292" s="22">
        <v>6.6</v>
      </c>
    </row>
    <row r="2293" ht="15.75" customHeight="1">
      <c r="A2293" s="17" t="s">
        <v>7531</v>
      </c>
      <c r="B2293" s="8" t="str">
        <f>IFERROR(__xludf.DUMMYFUNCTION("REGEXREPLACE(A2293, ""[^0-9a-zA-Z .'Ã]"","""")"),"Stephen Milburn Anderson")</f>
        <v>Stephen Milburn Anderson</v>
      </c>
      <c r="C2293" s="18">
        <v>27.0</v>
      </c>
      <c r="D2293" s="19">
        <v>46451.0</v>
      </c>
      <c r="E2293" s="18" t="s">
        <v>589</v>
      </c>
      <c r="F2293" s="9">
        <f t="shared" si="1"/>
        <v>3</v>
      </c>
      <c r="G2293" s="18" t="s">
        <v>1439</v>
      </c>
      <c r="H2293" s="11" t="str">
        <f>IFERROR(__xludf.DUMMYFUNCTION("REGEXREPLACE(G2293, ""[^0-9a-zA-Z .'Ã]"","""")"),"Chris Hemsworth")</f>
        <v>Chris Hemsworth</v>
      </c>
      <c r="I2293" s="20" t="s">
        <v>7532</v>
      </c>
      <c r="J2293" s="18">
        <v>7663.0</v>
      </c>
      <c r="K2293" s="18" t="s">
        <v>7533</v>
      </c>
      <c r="L2293" s="18">
        <v>38.0</v>
      </c>
      <c r="M2293" s="18" t="s">
        <v>24</v>
      </c>
      <c r="N2293" s="18" t="s">
        <v>25</v>
      </c>
      <c r="O2293" s="19">
        <v>7000000.0</v>
      </c>
      <c r="P2293" s="10">
        <f t="shared" si="2"/>
        <v>0</v>
      </c>
      <c r="Q2293" s="12">
        <f t="shared" si="3"/>
        <v>6953549</v>
      </c>
      <c r="R2293" s="18">
        <v>2010.0</v>
      </c>
      <c r="S2293" s="18">
        <v>6.0</v>
      </c>
    </row>
    <row r="2294" ht="15.75" customHeight="1">
      <c r="A2294" s="29" t="s">
        <v>5211</v>
      </c>
      <c r="B2294" s="8" t="str">
        <f>IFERROR(__xludf.DUMMYFUNCTION("REGEXREPLACE(A2294, ""[^0-9a-zA-Z .'Ã]"","""")"),"John Hillcoat")</f>
        <v>John Hillcoat</v>
      </c>
      <c r="C2294" s="30">
        <v>355.0</v>
      </c>
      <c r="D2294" s="31">
        <v>56692.0</v>
      </c>
      <c r="E2294" s="30" t="s">
        <v>892</v>
      </c>
      <c r="F2294" s="9">
        <f t="shared" si="1"/>
        <v>2</v>
      </c>
      <c r="G2294" s="30" t="s">
        <v>484</v>
      </c>
      <c r="H2294" s="11" t="str">
        <f>IFERROR(__xludf.DUMMYFUNCTION("REGEXREPLACE(G2294, ""[^0-9a-zA-Z .'Ã]"","""")"),"Viggo Mortensen")</f>
        <v>Viggo Mortensen</v>
      </c>
      <c r="I2294" s="32" t="s">
        <v>7534</v>
      </c>
      <c r="J2294" s="30">
        <v>177401.0</v>
      </c>
      <c r="K2294" s="30" t="s">
        <v>7535</v>
      </c>
      <c r="L2294" s="30">
        <v>504.0</v>
      </c>
      <c r="M2294" s="30" t="s">
        <v>24</v>
      </c>
      <c r="N2294" s="30" t="s">
        <v>25</v>
      </c>
      <c r="O2294" s="31">
        <v>2.5E7</v>
      </c>
      <c r="P2294" s="10">
        <f t="shared" si="2"/>
        <v>0</v>
      </c>
      <c r="Q2294" s="12">
        <f t="shared" si="3"/>
        <v>24943308</v>
      </c>
      <c r="R2294" s="30">
        <v>2009.0</v>
      </c>
      <c r="S2294" s="30">
        <v>7.3</v>
      </c>
    </row>
    <row r="2295" ht="15.75" customHeight="1">
      <c r="A2295" s="7" t="s">
        <v>7536</v>
      </c>
      <c r="B2295" s="8" t="str">
        <f>IFERROR(__xludf.DUMMYFUNCTION("REGEXREPLACE(A2295, ""[^0-9a-zA-Z .'Ã]"","""")"),"Steve Hickner")</f>
        <v>Steve Hickner</v>
      </c>
      <c r="C2295" s="9">
        <v>194.0</v>
      </c>
      <c r="D2295" s="10">
        <v>1.26597121E8</v>
      </c>
      <c r="E2295" s="9" t="s">
        <v>1813</v>
      </c>
      <c r="F2295" s="9">
        <f t="shared" si="1"/>
        <v>4</v>
      </c>
      <c r="G2295" s="9" t="s">
        <v>2192</v>
      </c>
      <c r="H2295" s="11" t="str">
        <f>IFERROR(__xludf.DUMMYFUNCTION("REGEXREPLACE(G2295, ""[^0-9a-zA-Z .'Ã]"","""")"),"Matthew Broderick")</f>
        <v>Matthew Broderick</v>
      </c>
      <c r="I2295" s="11" t="s">
        <v>7537</v>
      </c>
      <c r="J2295" s="9">
        <v>105902.0</v>
      </c>
      <c r="K2295" s="9" t="s">
        <v>7538</v>
      </c>
      <c r="L2295" s="9">
        <v>206.0</v>
      </c>
      <c r="M2295" s="9" t="s">
        <v>24</v>
      </c>
      <c r="N2295" s="9" t="s">
        <v>25</v>
      </c>
      <c r="O2295" s="10">
        <v>1.5E8</v>
      </c>
      <c r="P2295" s="10">
        <f t="shared" si="2"/>
        <v>0</v>
      </c>
      <c r="Q2295" s="12">
        <f t="shared" si="3"/>
        <v>23402879</v>
      </c>
      <c r="R2295" s="9">
        <v>2007.0</v>
      </c>
      <c r="S2295" s="9">
        <v>6.2</v>
      </c>
    </row>
    <row r="2296" ht="15.75" customHeight="1">
      <c r="A2296" s="13" t="s">
        <v>1526</v>
      </c>
      <c r="B2296" s="8" t="str">
        <f>IFERROR(__xludf.DUMMYFUNCTION("REGEXREPLACE(A2296, ""[^0-9a-zA-Z .'Ã]"","""")"),"Gore Verbinski")</f>
        <v>Gore Verbinski</v>
      </c>
      <c r="C2296" s="14">
        <v>362.0</v>
      </c>
      <c r="D2296" s="15">
        <v>1.23207194E8</v>
      </c>
      <c r="E2296" s="14" t="s">
        <v>7539</v>
      </c>
      <c r="F2296" s="9">
        <f t="shared" si="1"/>
        <v>5</v>
      </c>
      <c r="G2296" s="14" t="s">
        <v>85</v>
      </c>
      <c r="H2296" s="11" t="str">
        <f>IFERROR(__xludf.DUMMYFUNCTION("REGEXREPLACE(G2296, ""[^0-9a-zA-Z .'Ã]"","""")"),"Johnny Depp")</f>
        <v>Johnny Depp</v>
      </c>
      <c r="I2296" s="16" t="s">
        <v>7540</v>
      </c>
      <c r="J2296" s="14">
        <v>183208.0</v>
      </c>
      <c r="K2296" s="14" t="s">
        <v>7541</v>
      </c>
      <c r="L2296" s="14">
        <v>337.0</v>
      </c>
      <c r="M2296" s="14" t="s">
        <v>24</v>
      </c>
      <c r="N2296" s="14" t="s">
        <v>25</v>
      </c>
      <c r="O2296" s="15">
        <v>1.35E8</v>
      </c>
      <c r="P2296" s="10">
        <f t="shared" si="2"/>
        <v>0</v>
      </c>
      <c r="Q2296" s="12">
        <f t="shared" si="3"/>
        <v>11792806</v>
      </c>
      <c r="R2296" s="14">
        <v>2011.0</v>
      </c>
      <c r="S2296" s="14">
        <v>7.2</v>
      </c>
    </row>
    <row r="2297" ht="15.75" customHeight="1">
      <c r="A2297" s="17" t="s">
        <v>3716</v>
      </c>
      <c r="B2297" s="8" t="str">
        <f>IFERROR(__xludf.DUMMYFUNCTION("REGEXREPLACE(A2297, ""[^0-9a-zA-Z .'Ã]"","""")"),"Miguel Arteta")</f>
        <v>Miguel Arteta</v>
      </c>
      <c r="C2297" s="18">
        <v>192.0</v>
      </c>
      <c r="D2297" s="19">
        <v>1.5281286E7</v>
      </c>
      <c r="E2297" s="18" t="s">
        <v>159</v>
      </c>
      <c r="F2297" s="9">
        <f t="shared" si="1"/>
        <v>3</v>
      </c>
      <c r="G2297" s="18" t="s">
        <v>453</v>
      </c>
      <c r="H2297" s="11" t="str">
        <f>IFERROR(__xludf.DUMMYFUNCTION("REGEXREPLACE(G2297, ""[^0-9a-zA-Z .'Ã]"","""")"),"Steve Buscemi")</f>
        <v>Steve Buscemi</v>
      </c>
      <c r="I2297" s="20" t="s">
        <v>7542</v>
      </c>
      <c r="J2297" s="18">
        <v>64646.0</v>
      </c>
      <c r="K2297" s="18" t="s">
        <v>7543</v>
      </c>
      <c r="L2297" s="18">
        <v>105.0</v>
      </c>
      <c r="M2297" s="18" t="s">
        <v>24</v>
      </c>
      <c r="N2297" s="18" t="s">
        <v>25</v>
      </c>
      <c r="O2297" s="19">
        <v>1.8E7</v>
      </c>
      <c r="P2297" s="10">
        <f t="shared" si="2"/>
        <v>0</v>
      </c>
      <c r="Q2297" s="12">
        <f t="shared" si="3"/>
        <v>2718714</v>
      </c>
      <c r="R2297" s="18">
        <v>2009.0</v>
      </c>
      <c r="S2297" s="18">
        <v>6.5</v>
      </c>
    </row>
    <row r="2298" ht="15.75" customHeight="1">
      <c r="A2298" s="17" t="s">
        <v>763</v>
      </c>
      <c r="B2298" s="8" t="str">
        <f>IFERROR(__xludf.DUMMYFUNCTION("REGEXREPLACE(A2298, ""[^0-9a-zA-Z .'Ã]"","""")"),"Kimberly Peirce")</f>
        <v>Kimberly Peirce</v>
      </c>
      <c r="C2298" s="18">
        <v>359.0</v>
      </c>
      <c r="D2298" s="19">
        <v>3.5266619E7</v>
      </c>
      <c r="E2298" s="18" t="s">
        <v>5099</v>
      </c>
      <c r="F2298" s="9">
        <f t="shared" si="1"/>
        <v>3</v>
      </c>
      <c r="G2298" s="18" t="s">
        <v>2259</v>
      </c>
      <c r="H2298" s="11" t="str">
        <f>IFERROR(__xludf.DUMMYFUNCTION("REGEXREPLACE(G2298, ""[^0-9a-zA-Z .'Ã]"","""")"),"ChloÃ Grace Moretz")</f>
        <v>ChloÃ Grace Moretz</v>
      </c>
      <c r="I2298" s="20" t="s">
        <v>7544</v>
      </c>
      <c r="J2298" s="18">
        <v>108248.0</v>
      </c>
      <c r="K2298" s="18" t="s">
        <v>7545</v>
      </c>
      <c r="L2298" s="18">
        <v>371.0</v>
      </c>
      <c r="M2298" s="18" t="s">
        <v>24</v>
      </c>
      <c r="N2298" s="18" t="s">
        <v>25</v>
      </c>
      <c r="O2298" s="19">
        <v>3.0E7</v>
      </c>
      <c r="P2298" s="10">
        <f t="shared" si="2"/>
        <v>5266619</v>
      </c>
      <c r="Q2298" s="12">
        <f t="shared" si="3"/>
        <v>0</v>
      </c>
      <c r="R2298" s="18">
        <v>2013.0</v>
      </c>
      <c r="S2298" s="18">
        <v>5.9</v>
      </c>
    </row>
    <row r="2299" ht="15.75" customHeight="1">
      <c r="A2299" s="25" t="s">
        <v>7546</v>
      </c>
      <c r="B2299" s="8" t="str">
        <f>IFERROR(__xludf.DUMMYFUNCTION("REGEXREPLACE(A2299, ""[^0-9a-zA-Z .'Ã]"","""")"),"Fatih Akin")</f>
        <v>Fatih Akin</v>
      </c>
      <c r="C2299" s="26">
        <v>115.0</v>
      </c>
      <c r="D2299" s="27">
        <v>274385.0</v>
      </c>
      <c r="E2299" s="26" t="s">
        <v>454</v>
      </c>
      <c r="F2299" s="9">
        <f t="shared" si="1"/>
        <v>2</v>
      </c>
      <c r="G2299" s="26" t="s">
        <v>7547</v>
      </c>
      <c r="H2299" s="11" t="str">
        <f>IFERROR(__xludf.DUMMYFUNCTION("REGEXREPLACE(G2299, ""[^0-9a-zA-Z .'Ã]"","""")"),"Udo Kier")</f>
        <v>Udo Kier</v>
      </c>
      <c r="I2299" s="28" t="s">
        <v>7548</v>
      </c>
      <c r="J2299" s="26">
        <v>29203.0</v>
      </c>
      <c r="K2299" s="26" t="s">
        <v>7549</v>
      </c>
      <c r="L2299" s="26">
        <v>26.0</v>
      </c>
      <c r="M2299" s="26" t="s">
        <v>1042</v>
      </c>
      <c r="N2299" s="26" t="s">
        <v>173</v>
      </c>
      <c r="O2299" s="27">
        <v>4000000.0</v>
      </c>
      <c r="P2299" s="10">
        <f t="shared" si="2"/>
        <v>0</v>
      </c>
      <c r="Q2299" s="12">
        <f t="shared" si="3"/>
        <v>3725615</v>
      </c>
      <c r="R2299" s="26">
        <v>2009.0</v>
      </c>
      <c r="S2299" s="26">
        <v>7.3</v>
      </c>
    </row>
    <row r="2300" ht="15.75" customHeight="1">
      <c r="A2300" s="7" t="s">
        <v>3896</v>
      </c>
      <c r="B2300" s="8" t="str">
        <f>IFERROR(__xludf.DUMMYFUNCTION("REGEXREPLACE(A2300, ""[^0-9a-zA-Z .'Ã]"","""")"),"Burr Steers")</f>
        <v>Burr Steers</v>
      </c>
      <c r="C2300" s="9">
        <v>225.0</v>
      </c>
      <c r="D2300" s="10">
        <v>1.0907291E7</v>
      </c>
      <c r="E2300" s="9" t="s">
        <v>7550</v>
      </c>
      <c r="F2300" s="9">
        <f t="shared" si="1"/>
        <v>3</v>
      </c>
      <c r="G2300" s="9" t="s">
        <v>7551</v>
      </c>
      <c r="H2300" s="11" t="str">
        <f>IFERROR(__xludf.DUMMYFUNCTION("REGEXREPLACE(G2300, ""[^0-9a-zA-Z .'Ã]"","""")"),"Matt Smith")</f>
        <v>Matt Smith</v>
      </c>
      <c r="I2300" s="11" t="s">
        <v>7552</v>
      </c>
      <c r="J2300" s="9">
        <v>23775.0</v>
      </c>
      <c r="K2300" s="9" t="s">
        <v>7553</v>
      </c>
      <c r="L2300" s="9">
        <v>134.0</v>
      </c>
      <c r="M2300" s="9" t="s">
        <v>24</v>
      </c>
      <c r="N2300" s="9" t="s">
        <v>25</v>
      </c>
      <c r="O2300" s="10">
        <v>2.8E7</v>
      </c>
      <c r="P2300" s="10">
        <f t="shared" si="2"/>
        <v>0</v>
      </c>
      <c r="Q2300" s="12">
        <f t="shared" si="3"/>
        <v>17092709</v>
      </c>
      <c r="R2300" s="9">
        <v>2016.0</v>
      </c>
      <c r="S2300" s="9">
        <v>5.8</v>
      </c>
    </row>
    <row r="2301" ht="15.75" customHeight="1">
      <c r="A2301" s="13" t="s">
        <v>4997</v>
      </c>
      <c r="B2301" s="8" t="str">
        <f>IFERROR(__xludf.DUMMYFUNCTION("REGEXREPLACE(A2301, ""[^0-9a-zA-Z .'Ã]"","""")"),"Joel Coen")</f>
        <v>Joel Coen</v>
      </c>
      <c r="C2301" s="14">
        <v>249.0</v>
      </c>
      <c r="D2301" s="15">
        <v>1.7439163E7</v>
      </c>
      <c r="E2301" s="14" t="s">
        <v>440</v>
      </c>
      <c r="F2301" s="9">
        <f t="shared" si="1"/>
        <v>2</v>
      </c>
      <c r="G2301" s="14" t="s">
        <v>1340</v>
      </c>
      <c r="H2301" s="11" t="str">
        <f>IFERROR(__xludf.DUMMYFUNCTION("REGEXREPLACE(G2301, ""[^0-9a-zA-Z .'Ã]"","""")"),"Philip Seymour Hoffman")</f>
        <v>Philip Seymour Hoffman</v>
      </c>
      <c r="I2301" s="16" t="s">
        <v>7554</v>
      </c>
      <c r="J2301" s="14">
        <v>537419.0</v>
      </c>
      <c r="K2301" s="14" t="s">
        <v>7555</v>
      </c>
      <c r="L2301" s="14">
        <v>1028.0</v>
      </c>
      <c r="M2301" s="14" t="s">
        <v>24</v>
      </c>
      <c r="N2301" s="14" t="s">
        <v>25</v>
      </c>
      <c r="O2301" s="15">
        <v>1.5E7</v>
      </c>
      <c r="P2301" s="10">
        <f t="shared" si="2"/>
        <v>2439163</v>
      </c>
      <c r="Q2301" s="12">
        <f t="shared" si="3"/>
        <v>0</v>
      </c>
      <c r="R2301" s="14">
        <v>1998.0</v>
      </c>
      <c r="S2301" s="14">
        <v>8.2</v>
      </c>
    </row>
    <row r="2302" ht="15.75" customHeight="1">
      <c r="A2302" s="25" t="s">
        <v>1474</v>
      </c>
      <c r="B2302" s="8" t="str">
        <f>IFERROR(__xludf.DUMMYFUNCTION("REGEXREPLACE(A2302, ""[^0-9a-zA-Z .'Ã]"","""")"),"Guillermo del Toro")</f>
        <v>Guillermo del Toro</v>
      </c>
      <c r="C2302" s="26">
        <v>406.0</v>
      </c>
      <c r="D2302" s="27">
        <v>3.7623143E7</v>
      </c>
      <c r="E2302" s="26" t="s">
        <v>7556</v>
      </c>
      <c r="F2302" s="9">
        <f t="shared" si="1"/>
        <v>3</v>
      </c>
      <c r="G2302" s="26" t="s">
        <v>7557</v>
      </c>
      <c r="H2302" s="11" t="str">
        <f>IFERROR(__xludf.DUMMYFUNCTION("REGEXREPLACE(G2302, ""[^0-9a-zA-Z .'Ã]"","""")"),"Ivana Baquero")</f>
        <v>Ivana Baquero</v>
      </c>
      <c r="I2302" s="28" t="s">
        <v>7558</v>
      </c>
      <c r="J2302" s="26">
        <v>467234.0</v>
      </c>
      <c r="K2302" s="26" t="s">
        <v>7559</v>
      </c>
      <c r="L2302" s="26">
        <v>1083.0</v>
      </c>
      <c r="M2302" s="26" t="s">
        <v>1553</v>
      </c>
      <c r="N2302" s="26" t="s">
        <v>1108</v>
      </c>
      <c r="O2302" s="27">
        <v>1.35E7</v>
      </c>
      <c r="P2302" s="10">
        <f t="shared" si="2"/>
        <v>24123143</v>
      </c>
      <c r="Q2302" s="12">
        <f t="shared" si="3"/>
        <v>0</v>
      </c>
      <c r="R2302" s="26">
        <v>2006.0</v>
      </c>
      <c r="S2302" s="26">
        <v>8.2</v>
      </c>
    </row>
    <row r="2303" ht="15.75" customHeight="1">
      <c r="A2303" s="17" t="s">
        <v>7560</v>
      </c>
      <c r="B2303" s="8" t="str">
        <f>IFERROR(__xludf.DUMMYFUNCTION("REGEXREPLACE(A2303, ""[^0-9a-zA-Z .'Ã]"","""")"),"Mike Cahill")</f>
        <v>Mike Cahill</v>
      </c>
      <c r="C2303" s="18">
        <v>242.0</v>
      </c>
      <c r="D2303" s="19">
        <v>1316074.0</v>
      </c>
      <c r="E2303" s="18" t="s">
        <v>3958</v>
      </c>
      <c r="F2303" s="9">
        <f t="shared" si="1"/>
        <v>3</v>
      </c>
      <c r="G2303" s="18" t="s">
        <v>7561</v>
      </c>
      <c r="H2303" s="11" t="str">
        <f>IFERROR(__xludf.DUMMYFUNCTION("REGEXREPLACE(G2303, ""[^0-9a-zA-Z .'Ã]"","""")"),"Robin Lord Taylor")</f>
        <v>Robin Lord Taylor</v>
      </c>
      <c r="I2303" s="20" t="s">
        <v>7562</v>
      </c>
      <c r="J2303" s="18">
        <v>71387.0</v>
      </c>
      <c r="K2303" s="18" t="s">
        <v>7563</v>
      </c>
      <c r="L2303" s="18">
        <v>228.0</v>
      </c>
      <c r="M2303" s="18" t="s">
        <v>24</v>
      </c>
      <c r="N2303" s="18" t="s">
        <v>25</v>
      </c>
      <c r="O2303" s="19">
        <v>100000.0</v>
      </c>
      <c r="P2303" s="10">
        <f t="shared" si="2"/>
        <v>1216074</v>
      </c>
      <c r="Q2303" s="12">
        <f t="shared" si="3"/>
        <v>0</v>
      </c>
      <c r="R2303" s="18">
        <v>2011.0</v>
      </c>
      <c r="S2303" s="18">
        <v>7.0</v>
      </c>
    </row>
    <row r="2304" ht="15.75" customHeight="1">
      <c r="A2304" s="7" t="s">
        <v>868</v>
      </c>
      <c r="B2304" s="8" t="str">
        <f>IFERROR(__xludf.DUMMYFUNCTION("REGEXREPLACE(A2304, ""[^0-9a-zA-Z .'Ã]"","""")"),"John Woo")</f>
        <v>John Woo</v>
      </c>
      <c r="C2304" s="9">
        <v>196.0</v>
      </c>
      <c r="D2304" s="10">
        <v>5.3789313E7</v>
      </c>
      <c r="E2304" s="9" t="s">
        <v>409</v>
      </c>
      <c r="F2304" s="9">
        <f t="shared" si="1"/>
        <v>4</v>
      </c>
      <c r="G2304" s="9" t="s">
        <v>3982</v>
      </c>
      <c r="H2304" s="11" t="str">
        <f>IFERROR(__xludf.DUMMYFUNCTION("REGEXREPLACE(G2304, ""[^0-9a-zA-Z .'Ã]"","""")"),"Ivana Milicevic")</f>
        <v>Ivana Milicevic</v>
      </c>
      <c r="I2304" s="11" t="s">
        <v>7564</v>
      </c>
      <c r="J2304" s="9">
        <v>89816.0</v>
      </c>
      <c r="K2304" s="9" t="s">
        <v>7565</v>
      </c>
      <c r="L2304" s="9">
        <v>347.0</v>
      </c>
      <c r="M2304" s="9" t="s">
        <v>24</v>
      </c>
      <c r="N2304" s="9" t="s">
        <v>25</v>
      </c>
      <c r="O2304" s="10">
        <v>6.0E7</v>
      </c>
      <c r="P2304" s="10">
        <f t="shared" si="2"/>
        <v>0</v>
      </c>
      <c r="Q2304" s="12">
        <f t="shared" si="3"/>
        <v>6210687</v>
      </c>
      <c r="R2304" s="9">
        <v>2003.0</v>
      </c>
      <c r="S2304" s="9">
        <v>6.3</v>
      </c>
    </row>
    <row r="2305" ht="15.75" customHeight="1">
      <c r="A2305" s="7" t="s">
        <v>7566</v>
      </c>
      <c r="B2305" s="8" t="str">
        <f>IFERROR(__xludf.DUMMYFUNCTION("REGEXREPLACE(A2305, ""[^0-9a-zA-Z .'Ã]"","""")"),"Louis Morneau")</f>
        <v>Louis Morneau</v>
      </c>
      <c r="C2305" s="9">
        <v>97.0</v>
      </c>
      <c r="D2305" s="10">
        <v>1.0149779E7</v>
      </c>
      <c r="E2305" s="9" t="s">
        <v>1017</v>
      </c>
      <c r="F2305" s="9">
        <f t="shared" si="1"/>
        <v>3</v>
      </c>
      <c r="G2305" s="9" t="s">
        <v>7567</v>
      </c>
      <c r="H2305" s="11" t="str">
        <f>IFERROR(__xludf.DUMMYFUNCTION("REGEXREPLACE(G2305, ""[^0-9a-zA-Z .'Ã]"","""")"),"Leon")</f>
        <v>Leon</v>
      </c>
      <c r="I2305" s="11" t="s">
        <v>7568</v>
      </c>
      <c r="J2305" s="9">
        <v>8294.0</v>
      </c>
      <c r="K2305" s="9" t="s">
        <v>7569</v>
      </c>
      <c r="L2305" s="9">
        <v>160.0</v>
      </c>
      <c r="M2305" s="9" t="s">
        <v>24</v>
      </c>
      <c r="N2305" s="9" t="s">
        <v>25</v>
      </c>
      <c r="O2305" s="10">
        <v>6500000.0</v>
      </c>
      <c r="P2305" s="10">
        <f t="shared" si="2"/>
        <v>3649779</v>
      </c>
      <c r="Q2305" s="12">
        <f t="shared" si="3"/>
        <v>0</v>
      </c>
      <c r="R2305" s="9">
        <v>1999.0</v>
      </c>
      <c r="S2305" s="9">
        <v>3.6</v>
      </c>
    </row>
    <row r="2306" ht="15.75" customHeight="1">
      <c r="A2306" s="17" t="s">
        <v>1251</v>
      </c>
      <c r="B2306" s="8" t="str">
        <f>IFERROR(__xludf.DUMMYFUNCTION("REGEXREPLACE(A2306, ""[^0-9a-zA-Z .'Ã]"","""")"),"Chris Weitz")</f>
        <v>Chris Weitz</v>
      </c>
      <c r="C2306" s="18">
        <v>94.0</v>
      </c>
      <c r="D2306" s="19">
        <v>1754319.0</v>
      </c>
      <c r="E2306" s="18" t="s">
        <v>232</v>
      </c>
      <c r="F2306" s="9">
        <f t="shared" si="1"/>
        <v>2</v>
      </c>
      <c r="G2306" s="18" t="s">
        <v>2512</v>
      </c>
      <c r="H2306" s="11" t="str">
        <f>IFERROR(__xludf.DUMMYFUNCTION("REGEXREPLACE(G2306, ""[^0-9a-zA-Z .'Ã]"","""")"),"DemiÃn Bichir")</f>
        <v>DemiÃn Bichir</v>
      </c>
      <c r="I2306" s="20" t="s">
        <v>7570</v>
      </c>
      <c r="J2306" s="18">
        <v>13174.0</v>
      </c>
      <c r="K2306" s="18" t="s">
        <v>7571</v>
      </c>
      <c r="L2306" s="18">
        <v>81.0</v>
      </c>
      <c r="M2306" s="18" t="s">
        <v>24</v>
      </c>
      <c r="N2306" s="18" t="s">
        <v>25</v>
      </c>
      <c r="O2306" s="19">
        <v>1.0E7</v>
      </c>
      <c r="P2306" s="10">
        <f t="shared" si="2"/>
        <v>0</v>
      </c>
      <c r="Q2306" s="12">
        <f t="shared" si="3"/>
        <v>8245681</v>
      </c>
      <c r="R2306" s="18">
        <v>2011.0</v>
      </c>
      <c r="S2306" s="18">
        <v>7.2</v>
      </c>
    </row>
    <row r="2307" ht="15.75" customHeight="1">
      <c r="A2307" s="7" t="s">
        <v>1591</v>
      </c>
      <c r="B2307" s="8" t="str">
        <f>IFERROR(__xludf.DUMMYFUNCTION("REGEXREPLACE(A2307, ""[^0-9a-zA-Z .'Ã]"","""")"),"Gary Fleder")</f>
        <v>Gary Fleder</v>
      </c>
      <c r="C2307" s="9">
        <v>113.0</v>
      </c>
      <c r="D2307" s="10">
        <v>5.4997476E7</v>
      </c>
      <c r="E2307" s="9" t="s">
        <v>435</v>
      </c>
      <c r="F2307" s="9">
        <f t="shared" si="1"/>
        <v>4</v>
      </c>
      <c r="G2307" s="9" t="s">
        <v>109</v>
      </c>
      <c r="H2307" s="11" t="str">
        <f>IFERROR(__xludf.DUMMYFUNCTION("REGEXREPLACE(G2307, ""[^0-9a-zA-Z .'Ã]"","""")"),"Oliver Platt")</f>
        <v>Oliver Platt</v>
      </c>
      <c r="I2307" s="11" t="s">
        <v>7572</v>
      </c>
      <c r="J2307" s="9">
        <v>40362.0</v>
      </c>
      <c r="K2307" s="9" t="s">
        <v>7573</v>
      </c>
      <c r="L2307" s="9">
        <v>248.0</v>
      </c>
      <c r="M2307" s="9" t="s">
        <v>24</v>
      </c>
      <c r="N2307" s="9" t="s">
        <v>25</v>
      </c>
      <c r="O2307" s="10">
        <v>5.0E7</v>
      </c>
      <c r="P2307" s="10">
        <f t="shared" si="2"/>
        <v>4997476</v>
      </c>
      <c r="Q2307" s="12">
        <f t="shared" si="3"/>
        <v>0</v>
      </c>
      <c r="R2307" s="9">
        <v>2001.0</v>
      </c>
      <c r="S2307" s="9">
        <v>6.3</v>
      </c>
    </row>
    <row r="2308" ht="15.75" customHeight="1">
      <c r="A2308" s="7" t="s">
        <v>2535</v>
      </c>
      <c r="B2308" s="8" t="str">
        <f>IFERROR(__xludf.DUMMYFUNCTION("REGEXREPLACE(A2308, ""[^0-9a-zA-Z .'Ã]"","""")"),"Ivan Reitman")</f>
        <v>Ivan Reitman</v>
      </c>
      <c r="C2308" s="9">
        <v>159.0</v>
      </c>
      <c r="D2308" s="10">
        <v>2.8831145E7</v>
      </c>
      <c r="E2308" s="9" t="s">
        <v>132</v>
      </c>
      <c r="F2308" s="9">
        <f t="shared" si="1"/>
        <v>2</v>
      </c>
      <c r="G2308" s="9" t="s">
        <v>862</v>
      </c>
      <c r="H2308" s="11" t="str">
        <f>IFERROR(__xludf.DUMMYFUNCTION("REGEXREPLACE(G2308, ""[^0-9a-zA-Z .'Ã]"","""")"),"Jennifer Garner")</f>
        <v>Jennifer Garner</v>
      </c>
      <c r="I2308" s="11" t="s">
        <v>7574</v>
      </c>
      <c r="J2308" s="9">
        <v>39357.0</v>
      </c>
      <c r="K2308" s="9" t="s">
        <v>7575</v>
      </c>
      <c r="L2308" s="9">
        <v>113.0</v>
      </c>
      <c r="M2308" s="9" t="s">
        <v>24</v>
      </c>
      <c r="N2308" s="9" t="s">
        <v>25</v>
      </c>
      <c r="O2308" s="10">
        <v>2.5E7</v>
      </c>
      <c r="P2308" s="10">
        <f t="shared" si="2"/>
        <v>3831145</v>
      </c>
      <c r="Q2308" s="12">
        <f t="shared" si="3"/>
        <v>0</v>
      </c>
      <c r="R2308" s="9">
        <v>2014.0</v>
      </c>
      <c r="S2308" s="9">
        <v>6.8</v>
      </c>
    </row>
    <row r="2309" ht="15.75" customHeight="1">
      <c r="A2309" s="17" t="s">
        <v>78</v>
      </c>
      <c r="B2309" s="8" t="str">
        <f>IFERROR(__xludf.DUMMYFUNCTION("REGEXREPLACE(A2309, ""[^0-9a-zA-Z .'Ã]"","""")"),"John Sayles")</f>
        <v>John Sayles</v>
      </c>
      <c r="C2309" s="18">
        <v>46.0</v>
      </c>
      <c r="D2309" s="19">
        <v>1997807.0</v>
      </c>
      <c r="E2309" s="18" t="s">
        <v>3081</v>
      </c>
      <c r="F2309" s="9">
        <f t="shared" si="1"/>
        <v>3</v>
      </c>
      <c r="G2309" s="18" t="s">
        <v>7576</v>
      </c>
      <c r="H2309" s="11" t="str">
        <f>IFERROR(__xludf.DUMMYFUNCTION("REGEXREPLACE(G2309, ""[^0-9a-zA-Z .'Ã]"","""")"),"Mary Elizabeth Mastrantonio")</f>
        <v>Mary Elizabeth Mastrantonio</v>
      </c>
      <c r="I2309" s="20" t="s">
        <v>7577</v>
      </c>
      <c r="J2309" s="18">
        <v>5158.0</v>
      </c>
      <c r="K2309" s="18" t="s">
        <v>7578</v>
      </c>
      <c r="L2309" s="18">
        <v>140.0</v>
      </c>
      <c r="M2309" s="18" t="s">
        <v>24</v>
      </c>
      <c r="N2309" s="18" t="s">
        <v>25</v>
      </c>
      <c r="O2309" s="19">
        <v>8000000.0</v>
      </c>
      <c r="P2309" s="10">
        <f t="shared" si="2"/>
        <v>0</v>
      </c>
      <c r="Q2309" s="12">
        <f t="shared" si="3"/>
        <v>6002193</v>
      </c>
      <c r="R2309" s="18">
        <v>1999.0</v>
      </c>
      <c r="S2309" s="18">
        <v>7.1</v>
      </c>
    </row>
    <row r="2310" ht="15.75" customHeight="1">
      <c r="A2310" s="21" t="s">
        <v>7579</v>
      </c>
      <c r="B2310" s="8" t="str">
        <f>IFERROR(__xludf.DUMMYFUNCTION("REGEXREPLACE(A2310, ""[^0-9a-zA-Z .'Ã]"","""")"),"Tony Gilroy")</f>
        <v>Tony Gilroy</v>
      </c>
      <c r="C2310" s="22">
        <v>436.0</v>
      </c>
      <c r="D2310" s="23">
        <v>1.13165635E8</v>
      </c>
      <c r="E2310" s="22" t="s">
        <v>474</v>
      </c>
      <c r="F2310" s="9">
        <f t="shared" si="1"/>
        <v>3</v>
      </c>
      <c r="G2310" s="22" t="s">
        <v>480</v>
      </c>
      <c r="H2310" s="11" t="str">
        <f>IFERROR(__xludf.DUMMYFUNCTION("REGEXREPLACE(G2310, ""[^0-9a-zA-Z .'Ã]"","""")"),"Jeremy Renner")</f>
        <v>Jeremy Renner</v>
      </c>
      <c r="I2310" s="24" t="s">
        <v>7580</v>
      </c>
      <c r="J2310" s="22">
        <v>229823.0</v>
      </c>
      <c r="K2310" s="22" t="s">
        <v>7581</v>
      </c>
      <c r="L2310" s="22">
        <v>504.0</v>
      </c>
      <c r="M2310" s="22" t="s">
        <v>24</v>
      </c>
      <c r="N2310" s="22" t="s">
        <v>25</v>
      </c>
      <c r="O2310" s="23">
        <v>1.25E8</v>
      </c>
      <c r="P2310" s="10">
        <f t="shared" si="2"/>
        <v>0</v>
      </c>
      <c r="Q2310" s="12">
        <f t="shared" si="3"/>
        <v>11834365</v>
      </c>
      <c r="R2310" s="22">
        <v>2012.0</v>
      </c>
      <c r="S2310" s="22">
        <v>6.7</v>
      </c>
    </row>
    <row r="2311" ht="15.75" customHeight="1">
      <c r="A2311" s="25" t="s">
        <v>4041</v>
      </c>
      <c r="B2311" s="8" t="str">
        <f>IFERROR(__xludf.DUMMYFUNCTION("REGEXREPLACE(A2311, ""[^0-9a-zA-Z .'Ã]"","""")"),"Catherine Hardwicke")</f>
        <v>Catherine Hardwicke</v>
      </c>
      <c r="C2311" s="26">
        <v>119.0</v>
      </c>
      <c r="D2311" s="27">
        <v>1.1008432E7</v>
      </c>
      <c r="E2311" s="26" t="s">
        <v>1124</v>
      </c>
      <c r="F2311" s="9">
        <f t="shared" si="1"/>
        <v>3</v>
      </c>
      <c r="G2311" s="26" t="s">
        <v>1156</v>
      </c>
      <c r="H2311" s="11" t="str">
        <f>IFERROR(__xludf.DUMMYFUNCTION("REGEXREPLACE(G2311, ""[^0-9a-zA-Z .'Ã]"","""")"),"Heath Ledger")</f>
        <v>Heath Ledger</v>
      </c>
      <c r="I2311" s="28" t="s">
        <v>7582</v>
      </c>
      <c r="J2311" s="26">
        <v>43903.0</v>
      </c>
      <c r="K2311" s="26" t="s">
        <v>7583</v>
      </c>
      <c r="L2311" s="26">
        <v>194.0</v>
      </c>
      <c r="M2311" s="26" t="s">
        <v>24</v>
      </c>
      <c r="N2311" s="26" t="s">
        <v>25</v>
      </c>
      <c r="O2311" s="27">
        <v>2.5E7</v>
      </c>
      <c r="P2311" s="10">
        <f t="shared" si="2"/>
        <v>0</v>
      </c>
      <c r="Q2311" s="12">
        <f t="shared" si="3"/>
        <v>13991568</v>
      </c>
      <c r="R2311" s="26">
        <v>2005.0</v>
      </c>
      <c r="S2311" s="26">
        <v>7.1</v>
      </c>
    </row>
    <row r="2312" ht="15.75" customHeight="1">
      <c r="A2312" s="7" t="s">
        <v>1123</v>
      </c>
      <c r="B2312" s="8" t="str">
        <f>IFERROR(__xludf.DUMMYFUNCTION("REGEXREPLACE(A2312, ""[^0-9a-zA-Z .'Ã]"","""")"),"Ron Howard")</f>
        <v>Ron Howard</v>
      </c>
      <c r="C2312" s="9">
        <v>205.0</v>
      </c>
      <c r="D2312" s="10">
        <v>1.70708996E8</v>
      </c>
      <c r="E2312" s="9" t="s">
        <v>359</v>
      </c>
      <c r="F2312" s="9">
        <f t="shared" si="1"/>
        <v>2</v>
      </c>
      <c r="G2312" s="9" t="s">
        <v>786</v>
      </c>
      <c r="H2312" s="11" t="str">
        <f>IFERROR(__xludf.DUMMYFUNCTION("REGEXREPLACE(G2312, ""[^0-9a-zA-Z .'Ã]"","""")"),"Adam Goldberg")</f>
        <v>Adam Goldberg</v>
      </c>
      <c r="I2312" s="11" t="s">
        <v>7584</v>
      </c>
      <c r="J2312" s="9">
        <v>610568.0</v>
      </c>
      <c r="K2312" s="9" t="s">
        <v>7585</v>
      </c>
      <c r="L2312" s="9">
        <v>1171.0</v>
      </c>
      <c r="M2312" s="9" t="s">
        <v>24</v>
      </c>
      <c r="N2312" s="9" t="s">
        <v>25</v>
      </c>
      <c r="O2312" s="10">
        <v>5.8E7</v>
      </c>
      <c r="P2312" s="10">
        <f t="shared" si="2"/>
        <v>112708996</v>
      </c>
      <c r="Q2312" s="12">
        <f t="shared" si="3"/>
        <v>0</v>
      </c>
      <c r="R2312" s="9">
        <v>2001.0</v>
      </c>
      <c r="S2312" s="9">
        <v>8.2</v>
      </c>
    </row>
    <row r="2313" ht="15.75" customHeight="1">
      <c r="A2313" s="7" t="s">
        <v>1740</v>
      </c>
      <c r="B2313" s="8" t="str">
        <f>IFERROR(__xludf.DUMMYFUNCTION("REGEXREPLACE(A2313, ""[^0-9a-zA-Z .'Ã]"","""")"),"Woody Allen")</f>
        <v>Woody Allen</v>
      </c>
      <c r="C2313" s="9">
        <v>218.0</v>
      </c>
      <c r="D2313" s="10">
        <v>5306447.0</v>
      </c>
      <c r="E2313" s="9" t="s">
        <v>89</v>
      </c>
      <c r="F2313" s="9">
        <f t="shared" si="1"/>
        <v>2</v>
      </c>
      <c r="G2313" s="9" t="s">
        <v>7586</v>
      </c>
      <c r="H2313" s="11" t="str">
        <f>IFERROR(__xludf.DUMMYFUNCTION("REGEXREPLACE(G2313, ""[^0-9a-zA-Z .'Ã]"","""")"),"Larry David")</f>
        <v>Larry David</v>
      </c>
      <c r="I2313" s="11" t="s">
        <v>7587</v>
      </c>
      <c r="J2313" s="9">
        <v>58967.0</v>
      </c>
      <c r="K2313" s="9" t="s">
        <v>7588</v>
      </c>
      <c r="L2313" s="9">
        <v>169.0</v>
      </c>
      <c r="M2313" s="9" t="s">
        <v>24</v>
      </c>
      <c r="N2313" s="9" t="s">
        <v>25</v>
      </c>
      <c r="O2313" s="10">
        <v>1.5E7</v>
      </c>
      <c r="P2313" s="10">
        <f t="shared" si="2"/>
        <v>0</v>
      </c>
      <c r="Q2313" s="12">
        <f t="shared" si="3"/>
        <v>9693553</v>
      </c>
      <c r="R2313" s="9">
        <v>2009.0</v>
      </c>
      <c r="S2313" s="9">
        <v>7.2</v>
      </c>
    </row>
    <row r="2314" ht="15.75" customHeight="1">
      <c r="A2314" s="7" t="s">
        <v>7589</v>
      </c>
      <c r="B2314" s="8" t="str">
        <f>IFERROR(__xludf.DUMMYFUNCTION("REGEXREPLACE(A2314, ""[^0-9a-zA-Z .'Ã]"","""")"),"Henry Hobson")</f>
        <v>Henry Hobson</v>
      </c>
      <c r="C2314" s="9">
        <v>256.0</v>
      </c>
      <c r="D2314" s="10">
        <v>131175.0</v>
      </c>
      <c r="E2314" s="9" t="s">
        <v>1466</v>
      </c>
      <c r="F2314" s="9">
        <f t="shared" si="1"/>
        <v>2</v>
      </c>
      <c r="G2314" s="9" t="s">
        <v>5221</v>
      </c>
      <c r="H2314" s="11" t="str">
        <f>IFERROR(__xludf.DUMMYFUNCTION("REGEXREPLACE(G2314, ""[^0-9a-zA-Z .'Ã]"","""")"),"Joely Richardson")</f>
        <v>Joely Richardson</v>
      </c>
      <c r="I2314" s="11" t="s">
        <v>7590</v>
      </c>
      <c r="J2314" s="9">
        <v>30219.0</v>
      </c>
      <c r="K2314" s="9" t="s">
        <v>7591</v>
      </c>
      <c r="L2314" s="9">
        <v>200.0</v>
      </c>
      <c r="M2314" s="9" t="s">
        <v>24</v>
      </c>
      <c r="N2314" s="9" t="s">
        <v>25</v>
      </c>
      <c r="O2314" s="10">
        <v>8500000.0</v>
      </c>
      <c r="P2314" s="10">
        <f t="shared" si="2"/>
        <v>0</v>
      </c>
      <c r="Q2314" s="12">
        <f t="shared" si="3"/>
        <v>8368825</v>
      </c>
      <c r="R2314" s="9">
        <v>2015.0</v>
      </c>
      <c r="S2314" s="9">
        <v>5.6</v>
      </c>
    </row>
    <row r="2315" ht="15.75" customHeight="1">
      <c r="A2315" s="25" t="s">
        <v>3803</v>
      </c>
      <c r="B2315" s="8" t="str">
        <f>IFERROR(__xludf.DUMMYFUNCTION("REGEXREPLACE(A2315, ""[^0-9a-zA-Z .'Ã]"","""")"),"Danny Boyle")</f>
        <v>Danny Boyle</v>
      </c>
      <c r="C2315" s="26">
        <v>134.0</v>
      </c>
      <c r="D2315" s="27">
        <v>1.6501785E7</v>
      </c>
      <c r="E2315" s="26" t="s">
        <v>103</v>
      </c>
      <c r="F2315" s="9">
        <f t="shared" si="1"/>
        <v>1</v>
      </c>
      <c r="G2315" s="26" t="s">
        <v>7592</v>
      </c>
      <c r="H2315" s="11" t="str">
        <f>IFERROR(__xludf.DUMMYFUNCTION("REGEXREPLACE(G2315, ""[^0-9a-zA-Z .'Ã]"","""")"),"Kelly Macdonald")</f>
        <v>Kelly Macdonald</v>
      </c>
      <c r="I2315" s="28" t="s">
        <v>7593</v>
      </c>
      <c r="J2315" s="26">
        <v>469561.0</v>
      </c>
      <c r="K2315" s="26" t="s">
        <v>7594</v>
      </c>
      <c r="L2315" s="26">
        <v>514.0</v>
      </c>
      <c r="M2315" s="26" t="s">
        <v>24</v>
      </c>
      <c r="N2315" s="26" t="s">
        <v>130</v>
      </c>
      <c r="O2315" s="27">
        <v>3500000.0</v>
      </c>
      <c r="P2315" s="10">
        <f t="shared" si="2"/>
        <v>13001785</v>
      </c>
      <c r="Q2315" s="12">
        <f t="shared" si="3"/>
        <v>0</v>
      </c>
      <c r="R2315" s="26">
        <v>1996.0</v>
      </c>
      <c r="S2315" s="26">
        <v>8.2</v>
      </c>
    </row>
    <row r="2316" ht="15.75" customHeight="1">
      <c r="A2316" s="7" t="s">
        <v>5985</v>
      </c>
      <c r="B2316" s="8" t="str">
        <f>IFERROR(__xludf.DUMMYFUNCTION("REGEXREPLACE(A2316, ""[^0-9a-zA-Z .'Ã]"","""")"),"Amy Heckerling")</f>
        <v>Amy Heckerling</v>
      </c>
      <c r="C2316" s="9">
        <v>54.0</v>
      </c>
      <c r="D2316" s="10">
        <v>2964.0</v>
      </c>
      <c r="E2316" s="9" t="s">
        <v>7595</v>
      </c>
      <c r="F2316" s="9">
        <f t="shared" si="1"/>
        <v>3</v>
      </c>
      <c r="G2316" s="9" t="s">
        <v>1060</v>
      </c>
      <c r="H2316" s="11" t="str">
        <f>IFERROR(__xludf.DUMMYFUNCTION("REGEXREPLACE(G2316, ""[^0-9a-zA-Z .'Ã]"","""")"),"Taylor Negron")</f>
        <v>Taylor Negron</v>
      </c>
      <c r="I2316" s="11" t="s">
        <v>7596</v>
      </c>
      <c r="J2316" s="9">
        <v>7444.0</v>
      </c>
      <c r="K2316" s="9" t="s">
        <v>7597</v>
      </c>
      <c r="L2316" s="9">
        <v>42.0</v>
      </c>
      <c r="M2316" s="9" t="s">
        <v>24</v>
      </c>
      <c r="N2316" s="9" t="s">
        <v>25</v>
      </c>
      <c r="O2316" s="10">
        <v>1.6E7</v>
      </c>
      <c r="P2316" s="10">
        <f t="shared" si="2"/>
        <v>0</v>
      </c>
      <c r="Q2316" s="12">
        <f t="shared" si="3"/>
        <v>15997036</v>
      </c>
      <c r="R2316" s="9">
        <v>2012.0</v>
      </c>
      <c r="S2316" s="9">
        <v>5.1</v>
      </c>
    </row>
    <row r="2317" ht="15.75" customHeight="1">
      <c r="A2317" s="17" t="s">
        <v>7598</v>
      </c>
      <c r="B2317" s="8" t="str">
        <f>IFERROR(__xludf.DUMMYFUNCTION("REGEXREPLACE(A2317, ""[^0-9a-zA-Z .'Ã]"","""")"),"Harold Cronk")</f>
        <v>Harold Cronk</v>
      </c>
      <c r="C2317" s="18">
        <v>29.0</v>
      </c>
      <c r="D2317" s="19">
        <v>2.077307E7</v>
      </c>
      <c r="E2317" s="18" t="s">
        <v>103</v>
      </c>
      <c r="F2317" s="9">
        <f t="shared" si="1"/>
        <v>1</v>
      </c>
      <c r="G2317" s="18" t="s">
        <v>7599</v>
      </c>
      <c r="H2317" s="11" t="str">
        <f>IFERROR(__xludf.DUMMYFUNCTION("REGEXREPLACE(G2317, ""[^0-9a-zA-Z .'Ã]"","""")"),"Benjamin A. Onyango")</f>
        <v>Benjamin A. Onyango</v>
      </c>
      <c r="I2317" s="20" t="s">
        <v>7600</v>
      </c>
      <c r="J2317" s="18">
        <v>4501.0</v>
      </c>
      <c r="K2317" s="18" t="s">
        <v>7601</v>
      </c>
      <c r="L2317" s="18">
        <v>102.0</v>
      </c>
      <c r="M2317" s="18" t="s">
        <v>24</v>
      </c>
      <c r="N2317" s="18" t="s">
        <v>25</v>
      </c>
      <c r="O2317" s="19">
        <v>5000000.0</v>
      </c>
      <c r="P2317" s="10">
        <f t="shared" si="2"/>
        <v>15773070</v>
      </c>
      <c r="Q2317" s="12">
        <f t="shared" si="3"/>
        <v>0</v>
      </c>
      <c r="R2317" s="18">
        <v>2016.0</v>
      </c>
      <c r="S2317" s="18">
        <v>3.4</v>
      </c>
    </row>
    <row r="2318" ht="15.75" customHeight="1">
      <c r="A2318" s="21" t="s">
        <v>7602</v>
      </c>
      <c r="B2318" s="8" t="str">
        <f>IFERROR(__xludf.DUMMYFUNCTION("REGEXREPLACE(A2318, ""[^0-9a-zA-Z .'Ã]"","""")"),"Michael Cuesta")</f>
        <v>Michael Cuesta</v>
      </c>
      <c r="C2318" s="22">
        <v>64.0</v>
      </c>
      <c r="D2318" s="23">
        <v>1141829.0</v>
      </c>
      <c r="E2318" s="22" t="s">
        <v>54</v>
      </c>
      <c r="F2318" s="9">
        <f t="shared" si="1"/>
        <v>2</v>
      </c>
      <c r="G2318" s="22" t="s">
        <v>7603</v>
      </c>
      <c r="H2318" s="11" t="str">
        <f>IFERROR(__xludf.DUMMYFUNCTION("REGEXREPLACE(G2318, ""[^0-9a-zA-Z .'Ã]"","""")"),"Adam LeFevre")</f>
        <v>Adam LeFevre</v>
      </c>
      <c r="I2318" s="24" t="s">
        <v>7604</v>
      </c>
      <c r="J2318" s="22">
        <v>8509.0</v>
      </c>
      <c r="K2318" s="22" t="s">
        <v>7605</v>
      </c>
      <c r="L2318" s="22">
        <v>109.0</v>
      </c>
      <c r="M2318" s="22" t="s">
        <v>24</v>
      </c>
      <c r="N2318" s="22" t="s">
        <v>25</v>
      </c>
      <c r="O2318" s="23">
        <v>700000.0</v>
      </c>
      <c r="P2318" s="10">
        <f t="shared" si="2"/>
        <v>441829</v>
      </c>
      <c r="Q2318" s="12">
        <f t="shared" si="3"/>
        <v>0</v>
      </c>
      <c r="R2318" s="22">
        <v>2001.0</v>
      </c>
      <c r="S2318" s="22">
        <v>7.2</v>
      </c>
    </row>
    <row r="2319" ht="15.75" customHeight="1">
      <c r="A2319" s="13" t="s">
        <v>7606</v>
      </c>
      <c r="B2319" s="8" t="str">
        <f>IFERROR(__xludf.DUMMYFUNCTION("REGEXREPLACE(A2319, ""[^0-9a-zA-Z .'Ã]"","""")"),"Stuart Baird")</f>
        <v>Stuart Baird</v>
      </c>
      <c r="C2319" s="14">
        <v>172.0</v>
      </c>
      <c r="D2319" s="15">
        <v>4.3119879E7</v>
      </c>
      <c r="E2319" s="14" t="s">
        <v>794</v>
      </c>
      <c r="F2319" s="9">
        <f t="shared" si="1"/>
        <v>4</v>
      </c>
      <c r="G2319" s="14" t="s">
        <v>1634</v>
      </c>
      <c r="H2319" s="11" t="str">
        <f>IFERROR(__xludf.DUMMYFUNCTION("REGEXREPLACE(G2319, ""[^0-9a-zA-Z .'Ã]"","""")"),"Tom Hardy")</f>
        <v>Tom Hardy</v>
      </c>
      <c r="I2319" s="16" t="s">
        <v>7607</v>
      </c>
      <c r="J2319" s="14">
        <v>58450.0</v>
      </c>
      <c r="K2319" s="14" t="s">
        <v>7608</v>
      </c>
      <c r="L2319" s="14">
        <v>842.0</v>
      </c>
      <c r="M2319" s="14" t="s">
        <v>24</v>
      </c>
      <c r="N2319" s="14" t="s">
        <v>25</v>
      </c>
      <c r="O2319" s="15">
        <v>6.0E7</v>
      </c>
      <c r="P2319" s="10">
        <f t="shared" si="2"/>
        <v>0</v>
      </c>
      <c r="Q2319" s="12">
        <f t="shared" si="3"/>
        <v>16880121</v>
      </c>
      <c r="R2319" s="14">
        <v>2002.0</v>
      </c>
      <c r="S2319" s="14">
        <v>6.4</v>
      </c>
    </row>
    <row r="2320" ht="15.75" customHeight="1">
      <c r="A2320" s="21" t="s">
        <v>7609</v>
      </c>
      <c r="B2320" s="8" t="str">
        <f>IFERROR(__xludf.DUMMYFUNCTION("REGEXREPLACE(A2320, ""[^0-9a-zA-Z .'Ã]"","""")"),"Ryan Little")</f>
        <v>Ryan Little</v>
      </c>
      <c r="C2320" s="22">
        <v>33.0</v>
      </c>
      <c r="D2320" s="23">
        <v>1310270.0</v>
      </c>
      <c r="E2320" s="22" t="s">
        <v>7610</v>
      </c>
      <c r="F2320" s="9">
        <f t="shared" si="1"/>
        <v>4</v>
      </c>
      <c r="G2320" s="22" t="s">
        <v>7611</v>
      </c>
      <c r="H2320" s="11" t="str">
        <f>IFERROR(__xludf.DUMMYFUNCTION("REGEXREPLACE(G2320, ""[^0-9a-zA-Z .'Ã]"","""")"),"Corbin Allred")</f>
        <v>Corbin Allred</v>
      </c>
      <c r="I2320" s="24" t="s">
        <v>7612</v>
      </c>
      <c r="J2320" s="22">
        <v>17725.0</v>
      </c>
      <c r="K2320" s="22" t="s">
        <v>7613</v>
      </c>
      <c r="L2320" s="22">
        <v>157.0</v>
      </c>
      <c r="M2320" s="22" t="s">
        <v>24</v>
      </c>
      <c r="N2320" s="22" t="s">
        <v>25</v>
      </c>
      <c r="O2320" s="23">
        <v>780000.0</v>
      </c>
      <c r="P2320" s="10">
        <f t="shared" si="2"/>
        <v>530270</v>
      </c>
      <c r="Q2320" s="12">
        <f t="shared" si="3"/>
        <v>0</v>
      </c>
      <c r="R2320" s="22">
        <v>2003.0</v>
      </c>
      <c r="S2320" s="22">
        <v>6.8</v>
      </c>
    </row>
    <row r="2321" ht="15.75" customHeight="1">
      <c r="A2321" s="7" t="s">
        <v>3148</v>
      </c>
      <c r="B2321" s="8" t="str">
        <f>IFERROR(__xludf.DUMMYFUNCTION("REGEXREPLACE(A2321, ""[^0-9a-zA-Z .'Ã]"","""")"),"Roger Kumble")</f>
        <v>Roger Kumble</v>
      </c>
      <c r="C2321" s="9">
        <v>101.0</v>
      </c>
      <c r="D2321" s="10">
        <v>3.8201895E7</v>
      </c>
      <c r="E2321" s="9" t="s">
        <v>232</v>
      </c>
      <c r="F2321" s="9">
        <f t="shared" si="1"/>
        <v>2</v>
      </c>
      <c r="G2321" s="9" t="s">
        <v>3489</v>
      </c>
      <c r="H2321" s="11" t="str">
        <f>IFERROR(__xludf.DUMMYFUNCTION("REGEXREPLACE(G2321, ""[^0-9a-zA-Z .'Ã]"","""")"),"Sarah Michelle Gellar")</f>
        <v>Sarah Michelle Gellar</v>
      </c>
      <c r="I2321" s="11" t="s">
        <v>7614</v>
      </c>
      <c r="J2321" s="9">
        <v>149222.0</v>
      </c>
      <c r="K2321" s="9" t="s">
        <v>7615</v>
      </c>
      <c r="L2321" s="9">
        <v>749.0</v>
      </c>
      <c r="M2321" s="9" t="s">
        <v>24</v>
      </c>
      <c r="N2321" s="9" t="s">
        <v>25</v>
      </c>
      <c r="O2321" s="10">
        <v>1.05E7</v>
      </c>
      <c r="P2321" s="10">
        <f t="shared" si="2"/>
        <v>27701895</v>
      </c>
      <c r="Q2321" s="12">
        <f t="shared" si="3"/>
        <v>0</v>
      </c>
      <c r="R2321" s="9">
        <v>1999.0</v>
      </c>
      <c r="S2321" s="9">
        <v>6.9</v>
      </c>
    </row>
    <row r="2322" ht="15.75" customHeight="1">
      <c r="A2322" s="21" t="s">
        <v>2608</v>
      </c>
      <c r="B2322" s="8" t="str">
        <f>IFERROR(__xludf.DUMMYFUNCTION("REGEXREPLACE(A2322, ""[^0-9a-zA-Z .'Ã]"","""")"),"Barbra Streisand")</f>
        <v>Barbra Streisand</v>
      </c>
      <c r="C2322" s="22">
        <v>16.0</v>
      </c>
      <c r="D2322" s="23">
        <v>3.04E7</v>
      </c>
      <c r="E2322" s="22" t="s">
        <v>666</v>
      </c>
      <c r="F2322" s="9">
        <f t="shared" si="1"/>
        <v>3</v>
      </c>
      <c r="G2322" s="22" t="s">
        <v>3587</v>
      </c>
      <c r="H2322" s="11" t="str">
        <f>IFERROR(__xludf.DUMMYFUNCTION("REGEXREPLACE(G2322, ""[^0-9a-zA-Z .'Ã]"","""")"),"Miriam Margolyes")</f>
        <v>Miriam Margolyes</v>
      </c>
      <c r="I2322" s="24" t="s">
        <v>7616</v>
      </c>
      <c r="J2322" s="22">
        <v>9503.0</v>
      </c>
      <c r="K2322" s="22" t="s">
        <v>7617</v>
      </c>
      <c r="L2322" s="22">
        <v>68.0</v>
      </c>
      <c r="M2322" s="22" t="s">
        <v>24</v>
      </c>
      <c r="N2322" s="22" t="s">
        <v>130</v>
      </c>
      <c r="O2322" s="23">
        <v>1.2E7</v>
      </c>
      <c r="P2322" s="10">
        <f t="shared" si="2"/>
        <v>18400000</v>
      </c>
      <c r="Q2322" s="12">
        <f t="shared" si="3"/>
        <v>0</v>
      </c>
      <c r="R2322" s="22">
        <v>1983.0</v>
      </c>
      <c r="S2322" s="22">
        <v>6.6</v>
      </c>
    </row>
    <row r="2323" ht="15.75" customHeight="1">
      <c r="A2323" s="7" t="s">
        <v>7618</v>
      </c>
      <c r="B2323" s="8" t="str">
        <f>IFERROR(__xludf.DUMMYFUNCTION("REGEXREPLACE(A2323, ""[^0-9a-zA-Z .'Ã]"","""")"),"Tom Green")</f>
        <v>Tom Green</v>
      </c>
      <c r="C2323" s="9">
        <v>97.0</v>
      </c>
      <c r="D2323" s="10">
        <v>1.4249005E7</v>
      </c>
      <c r="E2323" s="9" t="s">
        <v>137</v>
      </c>
      <c r="F2323" s="9">
        <f t="shared" si="1"/>
        <v>1</v>
      </c>
      <c r="G2323" s="9" t="s">
        <v>4056</v>
      </c>
      <c r="H2323" s="11" t="str">
        <f>IFERROR(__xludf.DUMMYFUNCTION("REGEXREPLACE(G2323, ""[^0-9a-zA-Z .'Ã]"","""")"),"Rip Torn")</f>
        <v>Rip Torn</v>
      </c>
      <c r="I2323" s="11" t="s">
        <v>7619</v>
      </c>
      <c r="J2323" s="9">
        <v>39788.0</v>
      </c>
      <c r="K2323" s="9" t="s">
        <v>7620</v>
      </c>
      <c r="L2323" s="9">
        <v>619.0</v>
      </c>
      <c r="M2323" s="9" t="s">
        <v>24</v>
      </c>
      <c r="N2323" s="9" t="s">
        <v>25</v>
      </c>
      <c r="O2323" s="10">
        <v>1.5E7</v>
      </c>
      <c r="P2323" s="10">
        <f t="shared" si="2"/>
        <v>0</v>
      </c>
      <c r="Q2323" s="12">
        <f t="shared" si="3"/>
        <v>750995</v>
      </c>
      <c r="R2323" s="9">
        <v>2001.0</v>
      </c>
      <c r="S2323" s="9">
        <v>4.5</v>
      </c>
    </row>
    <row r="2324" ht="15.75" customHeight="1">
      <c r="A2324" s="29" t="s">
        <v>3957</v>
      </c>
      <c r="B2324" s="8" t="str">
        <f>IFERROR(__xludf.DUMMYFUNCTION("REGEXREPLACE(A2324, ""[^0-9a-zA-Z -.'Ã]"","""")"),"Kar-Wai Wong")</f>
        <v>Kar-Wai Wong</v>
      </c>
      <c r="C2324" s="30">
        <v>273.0</v>
      </c>
      <c r="D2324" s="31">
        <v>6594136.0</v>
      </c>
      <c r="E2324" s="30" t="s">
        <v>7621</v>
      </c>
      <c r="F2324" s="9">
        <f t="shared" si="1"/>
        <v>3</v>
      </c>
      <c r="G2324" s="30" t="s">
        <v>7622</v>
      </c>
      <c r="H2324" s="11" t="str">
        <f>IFERROR(__xludf.DUMMYFUNCTION("REGEXREPLACE(G2324, ""[^0-9a-zA-Z .'Ã]"","""")"),"Tony Chiu Wai Leung")</f>
        <v>Tony Chiu Wai Leung</v>
      </c>
      <c r="I2324" s="32" t="s">
        <v>7623</v>
      </c>
      <c r="J2324" s="30">
        <v>24557.0</v>
      </c>
      <c r="K2324" s="30" t="s">
        <v>7624</v>
      </c>
      <c r="L2324" s="30">
        <v>111.0</v>
      </c>
      <c r="M2324" s="30" t="s">
        <v>3260</v>
      </c>
      <c r="N2324" s="30" t="s">
        <v>157</v>
      </c>
      <c r="O2324" s="31">
        <v>3.86E7</v>
      </c>
      <c r="P2324" s="10">
        <f t="shared" si="2"/>
        <v>0</v>
      </c>
      <c r="Q2324" s="12">
        <f t="shared" si="3"/>
        <v>32005864</v>
      </c>
      <c r="R2324" s="30">
        <v>2013.0</v>
      </c>
      <c r="S2324" s="30">
        <v>6.5</v>
      </c>
    </row>
    <row r="2325" ht="15.75" customHeight="1">
      <c r="A2325" s="17" t="s">
        <v>972</v>
      </c>
      <c r="B2325" s="8" t="str">
        <f>IFERROR(__xludf.DUMMYFUNCTION("REGEXREPLACE(A2325, ""[^0-9a-zA-Z .'Ã]"","""")"),"Shawn Levy")</f>
        <v>Shawn Levy</v>
      </c>
      <c r="C2325" s="18">
        <v>156.0</v>
      </c>
      <c r="D2325" s="19">
        <v>3.4290142E7</v>
      </c>
      <c r="E2325" s="18" t="s">
        <v>454</v>
      </c>
      <c r="F2325" s="9">
        <f t="shared" si="1"/>
        <v>2</v>
      </c>
      <c r="G2325" s="18" t="s">
        <v>3367</v>
      </c>
      <c r="H2325" s="11" t="str">
        <f>IFERROR(__xludf.DUMMYFUNCTION("REGEXREPLACE(G2325, ""[^0-9a-zA-Z .'Ã]"","""")"),"Tina Fey")</f>
        <v>Tina Fey</v>
      </c>
      <c r="I2325" s="20" t="s">
        <v>7625</v>
      </c>
      <c r="J2325" s="18">
        <v>54242.0</v>
      </c>
      <c r="K2325" s="18" t="s">
        <v>7626</v>
      </c>
      <c r="L2325" s="18">
        <v>145.0</v>
      </c>
      <c r="M2325" s="18" t="s">
        <v>24</v>
      </c>
      <c r="N2325" s="18" t="s">
        <v>25</v>
      </c>
      <c r="O2325" s="19">
        <v>1.98E7</v>
      </c>
      <c r="P2325" s="10">
        <f t="shared" si="2"/>
        <v>14490142</v>
      </c>
      <c r="Q2325" s="12">
        <f t="shared" si="3"/>
        <v>0</v>
      </c>
      <c r="R2325" s="18">
        <v>2014.0</v>
      </c>
      <c r="S2325" s="18">
        <v>6.6</v>
      </c>
    </row>
    <row r="2326" ht="15.75" customHeight="1">
      <c r="A2326" s="21" t="s">
        <v>4248</v>
      </c>
      <c r="B2326" s="8" t="str">
        <f>IFERROR(__xludf.DUMMYFUNCTION("REGEXREPLACE(A2326, ""[^0-9a-zA-Z .'Ã]"","""")"),"Thomas Vinterberg")</f>
        <v>Thomas Vinterberg</v>
      </c>
      <c r="C2326" s="22">
        <v>349.0</v>
      </c>
      <c r="D2326" s="23">
        <v>610968.0</v>
      </c>
      <c r="E2326" s="22" t="s">
        <v>103</v>
      </c>
      <c r="F2326" s="9">
        <f t="shared" si="1"/>
        <v>1</v>
      </c>
      <c r="G2326" s="22" t="s">
        <v>7627</v>
      </c>
      <c r="H2326" s="11" t="str">
        <f>IFERROR(__xludf.DUMMYFUNCTION("REGEXREPLACE(G2326, ""[^0-9a-zA-Z .'Ã]"","""")"),"Thomas Bo Larsen")</f>
        <v>Thomas Bo Larsen</v>
      </c>
      <c r="I2326" s="24" t="s">
        <v>7628</v>
      </c>
      <c r="J2326" s="22">
        <v>170155.0</v>
      </c>
      <c r="K2326" s="22" t="s">
        <v>7629</v>
      </c>
      <c r="L2326" s="22">
        <v>249.0</v>
      </c>
      <c r="M2326" s="22" t="s">
        <v>4252</v>
      </c>
      <c r="N2326" s="22" t="s">
        <v>4016</v>
      </c>
      <c r="O2326" s="23">
        <v>3800000.0</v>
      </c>
      <c r="P2326" s="10">
        <f t="shared" si="2"/>
        <v>0</v>
      </c>
      <c r="Q2326" s="12">
        <f t="shared" si="3"/>
        <v>3189032</v>
      </c>
      <c r="R2326" s="22">
        <v>2012.0</v>
      </c>
      <c r="S2326" s="22">
        <v>8.3</v>
      </c>
    </row>
    <row r="2327" ht="15.75" customHeight="1">
      <c r="A2327" s="7" t="s">
        <v>7630</v>
      </c>
      <c r="B2327" s="8" t="str">
        <f>IFERROR(__xludf.DUMMYFUNCTION("REGEXREPLACE(A2327, ""[^0-9a-zA-Z .'Ã]"","""")"),"Mark Herman")</f>
        <v>Mark Herman</v>
      </c>
      <c r="C2327" s="9">
        <v>185.0</v>
      </c>
      <c r="D2327" s="10">
        <v>9030581.0</v>
      </c>
      <c r="E2327" s="9" t="s">
        <v>679</v>
      </c>
      <c r="F2327" s="9">
        <f t="shared" si="1"/>
        <v>2</v>
      </c>
      <c r="G2327" s="9" t="s">
        <v>7631</v>
      </c>
      <c r="H2327" s="11" t="str">
        <f>IFERROR(__xludf.DUMMYFUNCTION("REGEXREPLACE(G2327, ""[^0-9a-zA-Z .'Ã]"","""")"),"Richard Johnson")</f>
        <v>Richard Johnson</v>
      </c>
      <c r="I2327" s="11" t="s">
        <v>7632</v>
      </c>
      <c r="J2327" s="9">
        <v>132386.0</v>
      </c>
      <c r="K2327" s="9" t="s">
        <v>7633</v>
      </c>
      <c r="L2327" s="9">
        <v>398.0</v>
      </c>
      <c r="M2327" s="9" t="s">
        <v>24</v>
      </c>
      <c r="N2327" s="9" t="s">
        <v>130</v>
      </c>
      <c r="O2327" s="10">
        <v>1.25E7</v>
      </c>
      <c r="P2327" s="10">
        <f t="shared" si="2"/>
        <v>0</v>
      </c>
      <c r="Q2327" s="12">
        <f t="shared" si="3"/>
        <v>3469419</v>
      </c>
      <c r="R2327" s="9">
        <v>2008.0</v>
      </c>
      <c r="S2327" s="9">
        <v>7.8</v>
      </c>
    </row>
    <row r="2328" ht="15.75" customHeight="1">
      <c r="A2328" s="21" t="s">
        <v>3067</v>
      </c>
      <c r="B2328" s="8" t="str">
        <f>IFERROR(__xludf.DUMMYFUNCTION("REGEXREPLACE(A2328, ""[^0-9a-zA-Z .'Ã]"","""")"),"Todd Phillips")</f>
        <v>Todd Phillips</v>
      </c>
      <c r="C2328" s="22">
        <v>307.0</v>
      </c>
      <c r="D2328" s="23">
        <v>1.00448498E8</v>
      </c>
      <c r="E2328" s="22" t="s">
        <v>454</v>
      </c>
      <c r="F2328" s="9">
        <f t="shared" si="1"/>
        <v>2</v>
      </c>
      <c r="G2328" s="22" t="s">
        <v>327</v>
      </c>
      <c r="H2328" s="11" t="str">
        <f>IFERROR(__xludf.DUMMYFUNCTION("REGEXREPLACE(G2328, ""[^0-9a-zA-Z .'Ã]"","""")"),"Robert Downey Jr.")</f>
        <v>Robert Downey Jr.</v>
      </c>
      <c r="I2328" s="24" t="s">
        <v>7634</v>
      </c>
      <c r="J2328" s="22">
        <v>272789.0</v>
      </c>
      <c r="K2328" s="22" t="s">
        <v>7635</v>
      </c>
      <c r="L2328" s="22">
        <v>285.0</v>
      </c>
      <c r="M2328" s="22" t="s">
        <v>24</v>
      </c>
      <c r="N2328" s="22" t="s">
        <v>25</v>
      </c>
      <c r="O2328" s="23">
        <v>6.5E7</v>
      </c>
      <c r="P2328" s="10">
        <f t="shared" si="2"/>
        <v>35448498</v>
      </c>
      <c r="Q2328" s="12">
        <f t="shared" si="3"/>
        <v>0</v>
      </c>
      <c r="R2328" s="22">
        <v>2010.0</v>
      </c>
      <c r="S2328" s="22">
        <v>6.6</v>
      </c>
    </row>
    <row r="2329" ht="15.75" customHeight="1">
      <c r="A2329" s="21" t="s">
        <v>7636</v>
      </c>
      <c r="B2329" s="8" t="str">
        <f>IFERROR(__xludf.DUMMYFUNCTION("REGEXREPLACE(A2329, ""[^0-9a-zA-Z .'Ã]"","""")"),"Maggie Carey")</f>
        <v>Maggie Carey</v>
      </c>
      <c r="C2329" s="22">
        <v>97.0</v>
      </c>
      <c r="D2329" s="23">
        <v>3447339.0</v>
      </c>
      <c r="E2329" s="22" t="s">
        <v>89</v>
      </c>
      <c r="F2329" s="9">
        <f t="shared" si="1"/>
        <v>2</v>
      </c>
      <c r="G2329" s="22" t="s">
        <v>7637</v>
      </c>
      <c r="H2329" s="11" t="str">
        <f>IFERROR(__xludf.DUMMYFUNCTION("REGEXREPLACE(G2329, ""[^0-9a-zA-Z .'Ã]"","""")"),"Donald Glover")</f>
        <v>Donald Glover</v>
      </c>
      <c r="I2329" s="24" t="s">
        <v>7638</v>
      </c>
      <c r="J2329" s="22">
        <v>29517.0</v>
      </c>
      <c r="K2329" s="22" t="s">
        <v>7639</v>
      </c>
      <c r="L2329" s="22">
        <v>79.0</v>
      </c>
      <c r="M2329" s="22" t="s">
        <v>24</v>
      </c>
      <c r="N2329" s="22" t="s">
        <v>25</v>
      </c>
      <c r="O2329" s="23">
        <v>1500000.0</v>
      </c>
      <c r="P2329" s="10">
        <f t="shared" si="2"/>
        <v>1947339</v>
      </c>
      <c r="Q2329" s="12">
        <f t="shared" si="3"/>
        <v>0</v>
      </c>
      <c r="R2329" s="22">
        <v>2013.0</v>
      </c>
      <c r="S2329" s="22">
        <v>5.8</v>
      </c>
    </row>
    <row r="2330" ht="15.75" customHeight="1">
      <c r="A2330" s="21" t="s">
        <v>2446</v>
      </c>
      <c r="B2330" s="8" t="str">
        <f>IFERROR(__xludf.DUMMYFUNCTION("REGEXREPLACE(A2330, ""[^0-9a-zA-Z .'Ã]"","""")"),"Brad Anderson")</f>
        <v>Brad Anderson</v>
      </c>
      <c r="C2330" s="22">
        <v>285.0</v>
      </c>
      <c r="D2330" s="23">
        <v>5.1872378E7</v>
      </c>
      <c r="E2330" s="22" t="s">
        <v>316</v>
      </c>
      <c r="F2330" s="9">
        <f t="shared" si="1"/>
        <v>2</v>
      </c>
      <c r="G2330" s="22" t="s">
        <v>1174</v>
      </c>
      <c r="H2330" s="11" t="str">
        <f>IFERROR(__xludf.DUMMYFUNCTION("REGEXREPLACE(G2330, ""[^0-9a-zA-Z .'Ã]"","""")"),"Michael Imperioli")</f>
        <v>Michael Imperioli</v>
      </c>
      <c r="I2330" s="24" t="s">
        <v>7640</v>
      </c>
      <c r="J2330" s="22">
        <v>88241.0</v>
      </c>
      <c r="K2330" s="22" t="s">
        <v>7641</v>
      </c>
      <c r="L2330" s="22">
        <v>266.0</v>
      </c>
      <c r="M2330" s="22" t="s">
        <v>24</v>
      </c>
      <c r="N2330" s="22" t="s">
        <v>25</v>
      </c>
      <c r="O2330" s="23">
        <v>1.3E7</v>
      </c>
      <c r="P2330" s="10">
        <f t="shared" si="2"/>
        <v>38872378</v>
      </c>
      <c r="Q2330" s="12">
        <f t="shared" si="3"/>
        <v>0</v>
      </c>
      <c r="R2330" s="22">
        <v>2013.0</v>
      </c>
      <c r="S2330" s="22">
        <v>6.7</v>
      </c>
    </row>
    <row r="2331" ht="15.75" customHeight="1">
      <c r="A2331" s="7" t="s">
        <v>7642</v>
      </c>
      <c r="B2331" s="8" t="str">
        <f>IFERROR(__xludf.DUMMYFUNCTION("REGEXREPLACE(A2331, ""[^0-9a-zA-Z .'Ã]"","""")"),"Scott Frank")</f>
        <v>Scott Frank</v>
      </c>
      <c r="C2331" s="9">
        <v>253.0</v>
      </c>
      <c r="D2331" s="10">
        <v>2.5977365E7</v>
      </c>
      <c r="E2331" s="9" t="s">
        <v>435</v>
      </c>
      <c r="F2331" s="9">
        <f t="shared" si="1"/>
        <v>4</v>
      </c>
      <c r="G2331" s="9" t="s">
        <v>605</v>
      </c>
      <c r="H2331" s="11" t="str">
        <f>IFERROR(__xludf.DUMMYFUNCTION("REGEXREPLACE(G2331, ""[^0-9a-zA-Z .'Ã]"","""")"),"Liam Neeson")</f>
        <v>Liam Neeson</v>
      </c>
      <c r="I2331" s="11" t="s">
        <v>7643</v>
      </c>
      <c r="J2331" s="9">
        <v>87950.0</v>
      </c>
      <c r="K2331" s="9" t="s">
        <v>7644</v>
      </c>
      <c r="L2331" s="9">
        <v>207.0</v>
      </c>
      <c r="M2331" s="9" t="s">
        <v>24</v>
      </c>
      <c r="N2331" s="9" t="s">
        <v>25</v>
      </c>
      <c r="O2331" s="10">
        <v>2.8E7</v>
      </c>
      <c r="P2331" s="10">
        <f t="shared" si="2"/>
        <v>0</v>
      </c>
      <c r="Q2331" s="12">
        <f t="shared" si="3"/>
        <v>2022635</v>
      </c>
      <c r="R2331" s="9">
        <v>2014.0</v>
      </c>
      <c r="S2331" s="9">
        <v>6.5</v>
      </c>
    </row>
    <row r="2332" ht="15.75" customHeight="1">
      <c r="A2332" s="17" t="s">
        <v>7645</v>
      </c>
      <c r="B2332" s="8" t="str">
        <f>IFERROR(__xludf.DUMMYFUNCTION("REGEXREPLACE(A2332, ""[^0-9a-zA-Z .'Ã]"","""")"),"Kevin Hooks")</f>
        <v>Kevin Hooks</v>
      </c>
      <c r="C2332" s="18">
        <v>36.0</v>
      </c>
      <c r="D2332" s="19">
        <v>1.71E7</v>
      </c>
      <c r="E2332" s="18" t="s">
        <v>7646</v>
      </c>
      <c r="F2332" s="9">
        <f t="shared" si="1"/>
        <v>5</v>
      </c>
      <c r="G2332" s="18" t="s">
        <v>4843</v>
      </c>
      <c r="H2332" s="11" t="str">
        <f>IFERROR(__xludf.DUMMYFUNCTION("REGEXREPLACE(G2332, ""[^0-9a-zA-Z .'Ã]"","""")"),"Salma Hayek")</f>
        <v>Salma Hayek</v>
      </c>
      <c r="I2332" s="20" t="s">
        <v>7647</v>
      </c>
      <c r="J2332" s="18">
        <v>7073.0</v>
      </c>
      <c r="K2332" s="18" t="s">
        <v>7648</v>
      </c>
      <c r="L2332" s="18">
        <v>29.0</v>
      </c>
      <c r="M2332" s="18" t="s">
        <v>24</v>
      </c>
      <c r="N2332" s="18" t="s">
        <v>25</v>
      </c>
      <c r="O2332" s="19">
        <v>2.5E7</v>
      </c>
      <c r="P2332" s="10">
        <f t="shared" si="2"/>
        <v>0</v>
      </c>
      <c r="Q2332" s="12">
        <f t="shared" si="3"/>
        <v>7900000</v>
      </c>
      <c r="R2332" s="18">
        <v>1996.0</v>
      </c>
      <c r="S2332" s="18">
        <v>5.3</v>
      </c>
    </row>
    <row r="2333" ht="15.75" customHeight="1">
      <c r="A2333" s="29" t="s">
        <v>184</v>
      </c>
      <c r="B2333" s="8" t="str">
        <f>IFERROR(__xludf.DUMMYFUNCTION("REGEXREPLACE(A2333, ""[^0-9a-zA-Z .'Ã]"","""")"),"James Cameron")</f>
        <v>James Cameron</v>
      </c>
      <c r="C2333" s="30">
        <v>723.0</v>
      </c>
      <c r="D2333" s="31">
        <v>7.60505847E8</v>
      </c>
      <c r="E2333" s="30" t="s">
        <v>1283</v>
      </c>
      <c r="F2333" s="9">
        <f t="shared" si="1"/>
        <v>4</v>
      </c>
      <c r="G2333" s="30" t="s">
        <v>6361</v>
      </c>
      <c r="H2333" s="11" t="str">
        <f>IFERROR(__xludf.DUMMYFUNCTION("REGEXREPLACE(G2333, ""[^0-9a-zA-Z .'Ã]"","""")"),"CCH Pounder")</f>
        <v>CCH Pounder</v>
      </c>
      <c r="I2333" s="30" t="s">
        <v>7649</v>
      </c>
      <c r="J2333" s="30">
        <v>886204.0</v>
      </c>
      <c r="K2333" s="30" t="s">
        <v>7650</v>
      </c>
      <c r="L2333" s="30">
        <v>3054.0</v>
      </c>
      <c r="M2333" s="30" t="s">
        <v>24</v>
      </c>
      <c r="N2333" s="30" t="s">
        <v>25</v>
      </c>
      <c r="O2333" s="31">
        <v>2.37E8</v>
      </c>
      <c r="P2333" s="10">
        <f t="shared" si="2"/>
        <v>523505847</v>
      </c>
      <c r="Q2333" s="12">
        <f t="shared" si="3"/>
        <v>0</v>
      </c>
      <c r="R2333" s="30">
        <v>2009.0</v>
      </c>
      <c r="S2333" s="30">
        <v>7.9</v>
      </c>
    </row>
    <row r="2334" ht="15.75" customHeight="1">
      <c r="A2334" s="21" t="s">
        <v>3181</v>
      </c>
      <c r="B2334" s="8" t="str">
        <f>IFERROR(__xludf.DUMMYFUNCTION("REGEXREPLACE(A2334, ""[^0-9a-zA-Z .'Ã]"","""")"),"Guy Ritchie")</f>
        <v>Guy Ritchie</v>
      </c>
      <c r="C2334" s="22">
        <v>382.0</v>
      </c>
      <c r="D2334" s="23">
        <v>1.86830669E8</v>
      </c>
      <c r="E2334" s="22" t="s">
        <v>3182</v>
      </c>
      <c r="F2334" s="9">
        <f t="shared" si="1"/>
        <v>5</v>
      </c>
      <c r="G2334" s="22" t="s">
        <v>327</v>
      </c>
      <c r="H2334" s="11" t="str">
        <f>IFERROR(__xludf.DUMMYFUNCTION("REGEXREPLACE(G2334, ""[^0-9a-zA-Z .'Ã]"","""")"),"Robert Downey Jr.")</f>
        <v>Robert Downey Jr.</v>
      </c>
      <c r="I2334" s="24" t="s">
        <v>7651</v>
      </c>
      <c r="J2334" s="22">
        <v>338635.0</v>
      </c>
      <c r="K2334" s="22" t="s">
        <v>7652</v>
      </c>
      <c r="L2334" s="22">
        <v>412.0</v>
      </c>
      <c r="M2334" s="22" t="s">
        <v>24</v>
      </c>
      <c r="N2334" s="22" t="s">
        <v>25</v>
      </c>
      <c r="O2334" s="23">
        <v>1.25E8</v>
      </c>
      <c r="P2334" s="10">
        <f t="shared" si="2"/>
        <v>61830669</v>
      </c>
      <c r="Q2334" s="12">
        <f t="shared" si="3"/>
        <v>0</v>
      </c>
      <c r="R2334" s="22">
        <v>2011.0</v>
      </c>
      <c r="S2334" s="22">
        <v>7.5</v>
      </c>
    </row>
    <row r="2335" ht="15.75" customHeight="1">
      <c r="A2335" s="17" t="s">
        <v>4617</v>
      </c>
      <c r="B2335" s="8" t="str">
        <f>IFERROR(__xludf.DUMMYFUNCTION("REGEXREPLACE(A2335, ""[^0-9a-zA-Z .'Ã]"","""")"),"Shana Feste")</f>
        <v>Shana Feste</v>
      </c>
      <c r="C2335" s="18">
        <v>135.0</v>
      </c>
      <c r="D2335" s="19">
        <v>2.0218921E7</v>
      </c>
      <c r="E2335" s="18" t="s">
        <v>418</v>
      </c>
      <c r="F2335" s="9">
        <f t="shared" si="1"/>
        <v>2</v>
      </c>
      <c r="G2335" s="18" t="s">
        <v>7378</v>
      </c>
      <c r="H2335" s="11" t="str">
        <f>IFERROR(__xludf.DUMMYFUNCTION("REGEXREPLACE(G2335, ""[^0-9a-zA-Z .'Ã]"","""")"),"Leighton Meester")</f>
        <v>Leighton Meester</v>
      </c>
      <c r="I2335" s="20" t="s">
        <v>7653</v>
      </c>
      <c r="J2335" s="18">
        <v>14814.0</v>
      </c>
      <c r="K2335" s="18" t="s">
        <v>7654</v>
      </c>
      <c r="L2335" s="18">
        <v>114.0</v>
      </c>
      <c r="M2335" s="18" t="s">
        <v>24</v>
      </c>
      <c r="N2335" s="18" t="s">
        <v>7655</v>
      </c>
      <c r="O2335" s="19">
        <v>1.5E7</v>
      </c>
      <c r="P2335" s="10">
        <f t="shared" si="2"/>
        <v>5218921</v>
      </c>
      <c r="Q2335" s="12">
        <f t="shared" si="3"/>
        <v>0</v>
      </c>
      <c r="R2335" s="18">
        <v>2010.0</v>
      </c>
      <c r="S2335" s="18">
        <v>6.3</v>
      </c>
    </row>
    <row r="2336" ht="15.75" customHeight="1">
      <c r="A2336" s="21" t="s">
        <v>3237</v>
      </c>
      <c r="B2336" s="8" t="str">
        <f>IFERROR(__xludf.DUMMYFUNCTION("REGEXREPLACE(A2336, ""[^0-9a-zA-Z .'Ã]"","""")"),"Terence Young")</f>
        <v>Terence Young</v>
      </c>
      <c r="C2336" s="22">
        <v>129.0</v>
      </c>
      <c r="D2336" s="23">
        <v>6.36E7</v>
      </c>
      <c r="E2336" s="22" t="s">
        <v>474</v>
      </c>
      <c r="F2336" s="9">
        <f t="shared" si="1"/>
        <v>3</v>
      </c>
      <c r="G2336" s="22" t="s">
        <v>1279</v>
      </c>
      <c r="H2336" s="11" t="str">
        <f>IFERROR(__xludf.DUMMYFUNCTION("REGEXREPLACE(G2336, ""[^0-9a-zA-Z .'Ã]"","""")"),"Desmond Llewelyn")</f>
        <v>Desmond Llewelyn</v>
      </c>
      <c r="I2336" s="24" t="s">
        <v>7656</v>
      </c>
      <c r="J2336" s="22">
        <v>82073.0</v>
      </c>
      <c r="K2336" s="22" t="s">
        <v>7657</v>
      </c>
      <c r="L2336" s="22">
        <v>275.0</v>
      </c>
      <c r="M2336" s="22" t="s">
        <v>24</v>
      </c>
      <c r="N2336" s="22" t="s">
        <v>130</v>
      </c>
      <c r="O2336" s="23">
        <v>9000000.0</v>
      </c>
      <c r="P2336" s="10">
        <f t="shared" si="2"/>
        <v>54600000</v>
      </c>
      <c r="Q2336" s="12">
        <f t="shared" si="3"/>
        <v>0</v>
      </c>
      <c r="R2336" s="22">
        <v>1965.0</v>
      </c>
      <c r="S2336" s="22">
        <v>7.0</v>
      </c>
    </row>
    <row r="2337" ht="15.75" customHeight="1">
      <c r="A2337" s="7" t="s">
        <v>7658</v>
      </c>
      <c r="B2337" s="8" t="str">
        <f>IFERROR(__xludf.DUMMYFUNCTION("REGEXREPLACE(A2337, ""[^0-9a-zA-Z .'Ã]"","""")"),"Andy Garcia")</f>
        <v>Andy Garcia</v>
      </c>
      <c r="C2337" s="9">
        <v>52.0</v>
      </c>
      <c r="D2337" s="10">
        <v>2483955.0</v>
      </c>
      <c r="E2337" s="9" t="s">
        <v>232</v>
      </c>
      <c r="F2337" s="9">
        <f t="shared" si="1"/>
        <v>2</v>
      </c>
      <c r="G2337" s="9" t="s">
        <v>7659</v>
      </c>
      <c r="H2337" s="11" t="str">
        <f>IFERROR(__xludf.DUMMYFUNCTION("REGEXREPLACE(G2337, ""[^0-9a-zA-Z .'Ã]"","""")"),"Danny Pino")</f>
        <v>Danny Pino</v>
      </c>
      <c r="I2337" s="11" t="s">
        <v>7660</v>
      </c>
      <c r="J2337" s="9">
        <v>8369.0</v>
      </c>
      <c r="K2337" s="9" t="s">
        <v>7661</v>
      </c>
      <c r="L2337" s="9">
        <v>165.0</v>
      </c>
      <c r="M2337" s="9" t="s">
        <v>24</v>
      </c>
      <c r="N2337" s="9" t="s">
        <v>25</v>
      </c>
      <c r="O2337" s="10">
        <v>9600000.0</v>
      </c>
      <c r="P2337" s="10">
        <f t="shared" si="2"/>
        <v>0</v>
      </c>
      <c r="Q2337" s="12">
        <f t="shared" si="3"/>
        <v>7116045</v>
      </c>
      <c r="R2337" s="9">
        <v>2005.0</v>
      </c>
      <c r="S2337" s="9">
        <v>6.7</v>
      </c>
    </row>
    <row r="2338" ht="15.75" customHeight="1">
      <c r="A2338" s="7" t="s">
        <v>7662</v>
      </c>
      <c r="B2338" s="8" t="str">
        <f>IFERROR(__xludf.DUMMYFUNCTION("REGEXREPLACE(A2338, ""[^0-9a-zA-Z .'Ã]"","""")"),"Mamoru Hosoda")</f>
        <v>Mamoru Hosoda</v>
      </c>
      <c r="C2338" s="9">
        <v>29.0</v>
      </c>
      <c r="D2338" s="10">
        <v>9628751.0</v>
      </c>
      <c r="E2338" s="9" t="s">
        <v>7663</v>
      </c>
      <c r="F2338" s="9">
        <f t="shared" si="1"/>
        <v>5</v>
      </c>
      <c r="G2338" s="9" t="s">
        <v>7664</v>
      </c>
      <c r="H2338" s="11" t="str">
        <f>IFERROR(__xludf.DUMMYFUNCTION("REGEXREPLACE(G2338, ""[^0-9a-zA-Z .'Ã]"","""")"),"Lara Jill Miller")</f>
        <v>Lara Jill Miller</v>
      </c>
      <c r="I2338" s="11" t="s">
        <v>7665</v>
      </c>
      <c r="J2338" s="9">
        <v>5164.0</v>
      </c>
      <c r="K2338" s="9" t="s">
        <v>7666</v>
      </c>
      <c r="L2338" s="9">
        <v>65.0</v>
      </c>
      <c r="M2338" s="9" t="s">
        <v>24</v>
      </c>
      <c r="N2338" s="9" t="s">
        <v>25</v>
      </c>
      <c r="O2338" s="10">
        <v>5000000.0</v>
      </c>
      <c r="P2338" s="10">
        <f t="shared" si="2"/>
        <v>4628751</v>
      </c>
      <c r="Q2338" s="12">
        <f t="shared" si="3"/>
        <v>0</v>
      </c>
      <c r="R2338" s="9">
        <v>2000.0</v>
      </c>
      <c r="S2338" s="9">
        <v>5.9</v>
      </c>
    </row>
    <row r="2339" ht="15.75" customHeight="1">
      <c r="A2339" s="7" t="s">
        <v>465</v>
      </c>
      <c r="B2339" s="8" t="str">
        <f>IFERROR(__xludf.DUMMYFUNCTION("REGEXREPLACE(A2339, ""[^0-9a-zA-Z .'Ã]"","""")"),"Richard Loncraine")</f>
        <v>Richard Loncraine</v>
      </c>
      <c r="C2339" s="9">
        <v>129.0</v>
      </c>
      <c r="D2339" s="10">
        <v>1.6831505E7</v>
      </c>
      <c r="E2339" s="9" t="s">
        <v>829</v>
      </c>
      <c r="F2339" s="9">
        <f t="shared" si="1"/>
        <v>3</v>
      </c>
      <c r="G2339" s="9" t="s">
        <v>951</v>
      </c>
      <c r="H2339" s="11" t="str">
        <f>IFERROR(__xludf.DUMMYFUNCTION("REGEXREPLACE(G2339, ""[^0-9a-zA-Z .'Ã]"","""")"),"Kirsten Dunst")</f>
        <v>Kirsten Dunst</v>
      </c>
      <c r="I2339" s="11" t="s">
        <v>7667</v>
      </c>
      <c r="J2339" s="9">
        <v>51842.0</v>
      </c>
      <c r="K2339" s="9" t="s">
        <v>7668</v>
      </c>
      <c r="L2339" s="9">
        <v>173.0</v>
      </c>
      <c r="M2339" s="9" t="s">
        <v>24</v>
      </c>
      <c r="N2339" s="9" t="s">
        <v>130</v>
      </c>
      <c r="O2339" s="10">
        <v>3.1E7</v>
      </c>
      <c r="P2339" s="10">
        <f t="shared" si="2"/>
        <v>0</v>
      </c>
      <c r="Q2339" s="12">
        <f t="shared" si="3"/>
        <v>14168495</v>
      </c>
      <c r="R2339" s="9">
        <v>2004.0</v>
      </c>
      <c r="S2339" s="9">
        <v>6.3</v>
      </c>
    </row>
    <row r="2340" ht="15.75" customHeight="1">
      <c r="A2340" s="21" t="s">
        <v>1425</v>
      </c>
      <c r="B2340" s="8" t="str">
        <f>IFERROR(__xludf.DUMMYFUNCTION("REGEXREPLACE(A2340, ""[^0-9a-zA-Z .'Ã]"","""")"),"David Fincher")</f>
        <v>David Fincher</v>
      </c>
      <c r="C2340" s="22">
        <v>216.0</v>
      </c>
      <c r="D2340" s="23">
        <v>1.0012534E8</v>
      </c>
      <c r="E2340" s="22" t="s">
        <v>435</v>
      </c>
      <c r="F2340" s="9">
        <f t="shared" si="1"/>
        <v>4</v>
      </c>
      <c r="G2340" s="22" t="s">
        <v>170</v>
      </c>
      <c r="H2340" s="11" t="str">
        <f>IFERROR(__xludf.DUMMYFUNCTION("REGEXREPLACE(G2340, ""[^0-9a-zA-Z .'Ã]"","""")"),"Morgan Freeman")</f>
        <v>Morgan Freeman</v>
      </c>
      <c r="I2340" s="24" t="s">
        <v>7669</v>
      </c>
      <c r="J2340" s="22">
        <v>1023511.0</v>
      </c>
      <c r="K2340" s="22" t="s">
        <v>7670</v>
      </c>
      <c r="L2340" s="22">
        <v>1080.0</v>
      </c>
      <c r="M2340" s="22" t="s">
        <v>24</v>
      </c>
      <c r="N2340" s="22" t="s">
        <v>25</v>
      </c>
      <c r="O2340" s="23">
        <v>3.3E7</v>
      </c>
      <c r="P2340" s="10">
        <f t="shared" si="2"/>
        <v>67125340</v>
      </c>
      <c r="Q2340" s="12">
        <f t="shared" si="3"/>
        <v>0</v>
      </c>
      <c r="R2340" s="22">
        <v>1995.0</v>
      </c>
      <c r="S2340" s="22">
        <v>8.6</v>
      </c>
    </row>
    <row r="2341" ht="15.75" customHeight="1">
      <c r="A2341" s="25" t="s">
        <v>733</v>
      </c>
      <c r="B2341" s="8" t="str">
        <f>IFERROR(__xludf.DUMMYFUNCTION("REGEXREPLACE(A2341, ""[^0-9a-zA-Z .'Ã]"","""")"),"Nicholas Hytner")</f>
        <v>Nicholas Hytner</v>
      </c>
      <c r="C2341" s="26">
        <v>65.0</v>
      </c>
      <c r="D2341" s="27">
        <v>2.9106737E7</v>
      </c>
      <c r="E2341" s="26" t="s">
        <v>159</v>
      </c>
      <c r="F2341" s="9">
        <f t="shared" si="1"/>
        <v>3</v>
      </c>
      <c r="G2341" s="26" t="s">
        <v>395</v>
      </c>
      <c r="H2341" s="11" t="str">
        <f>IFERROR(__xludf.DUMMYFUNCTION("REGEXREPLACE(G2341, ""[^0-9a-zA-Z .'Ã]"","""")"),"Liam Aiken")</f>
        <v>Liam Aiken</v>
      </c>
      <c r="I2341" s="28" t="s">
        <v>7671</v>
      </c>
      <c r="J2341" s="26">
        <v>15582.0</v>
      </c>
      <c r="K2341" s="26" t="s">
        <v>7672</v>
      </c>
      <c r="L2341" s="26">
        <v>132.0</v>
      </c>
      <c r="M2341" s="26" t="s">
        <v>24</v>
      </c>
      <c r="N2341" s="26" t="s">
        <v>25</v>
      </c>
      <c r="O2341" s="27">
        <v>1.5E7</v>
      </c>
      <c r="P2341" s="10">
        <f t="shared" si="2"/>
        <v>14106737</v>
      </c>
      <c r="Q2341" s="12">
        <f t="shared" si="3"/>
        <v>0</v>
      </c>
      <c r="R2341" s="26">
        <v>1998.0</v>
      </c>
      <c r="S2341" s="26">
        <v>6.0</v>
      </c>
    </row>
    <row r="2342" ht="15.75" customHeight="1">
      <c r="A2342" s="29" t="s">
        <v>1767</v>
      </c>
      <c r="B2342" s="8" t="str">
        <f>IFERROR(__xludf.DUMMYFUNCTION("REGEXREPLACE(A2342, ""[^0-9a-zA-Z .'Ã]"","""")"),"Barry Levinson")</f>
        <v>Barry Levinson</v>
      </c>
      <c r="C2342" s="30">
        <v>137.0</v>
      </c>
      <c r="D2342" s="31">
        <v>1089365.0</v>
      </c>
      <c r="E2342" s="30" t="s">
        <v>454</v>
      </c>
      <c r="F2342" s="9">
        <f t="shared" si="1"/>
        <v>2</v>
      </c>
      <c r="G2342" s="30" t="s">
        <v>883</v>
      </c>
      <c r="H2342" s="11" t="str">
        <f>IFERROR(__xludf.DUMMYFUNCTION("REGEXREPLACE(G2342, ""[^0-9a-zA-Z .'Ã]"","""")"),"Robert De Niro")</f>
        <v>Robert De Niro</v>
      </c>
      <c r="I2342" s="32" t="s">
        <v>7673</v>
      </c>
      <c r="J2342" s="30">
        <v>23767.0</v>
      </c>
      <c r="K2342" s="30" t="s">
        <v>7674</v>
      </c>
      <c r="L2342" s="30">
        <v>111.0</v>
      </c>
      <c r="M2342" s="30" t="s">
        <v>24</v>
      </c>
      <c r="N2342" s="30" t="s">
        <v>25</v>
      </c>
      <c r="O2342" s="31">
        <v>2.5E7</v>
      </c>
      <c r="P2342" s="10">
        <f t="shared" si="2"/>
        <v>0</v>
      </c>
      <c r="Q2342" s="12">
        <f t="shared" si="3"/>
        <v>23910635</v>
      </c>
      <c r="R2342" s="30">
        <v>2008.0</v>
      </c>
      <c r="S2342" s="30">
        <v>5.7</v>
      </c>
    </row>
    <row r="2343" ht="15.75" customHeight="1">
      <c r="A2343" s="29" t="s">
        <v>1310</v>
      </c>
      <c r="B2343" s="8" t="str">
        <f>IFERROR(__xludf.DUMMYFUNCTION("REGEXREPLACE(A2343, ""[^0-9a-zA-Z .'Ã]"","""")"),"Bille Woodruff")</f>
        <v>Bille Woodruff</v>
      </c>
      <c r="C2343" s="30">
        <v>9.0</v>
      </c>
      <c r="D2343" s="31">
        <v>1.7382982E7</v>
      </c>
      <c r="E2343" s="30" t="s">
        <v>369</v>
      </c>
      <c r="F2343" s="9">
        <f t="shared" si="1"/>
        <v>2</v>
      </c>
      <c r="G2343" s="30" t="s">
        <v>3423</v>
      </c>
      <c r="H2343" s="11" t="str">
        <f>IFERROR(__xludf.DUMMYFUNCTION("REGEXREPLACE(G2343, ""[^0-9a-zA-Z .'Ã]"","""")"),"Boris Kodjoe")</f>
        <v>Boris Kodjoe</v>
      </c>
      <c r="I2343" s="32" t="s">
        <v>7675</v>
      </c>
      <c r="J2343" s="30">
        <v>5975.0</v>
      </c>
      <c r="K2343" s="30" t="s">
        <v>7676</v>
      </c>
      <c r="L2343" s="30">
        <v>33.0</v>
      </c>
      <c r="M2343" s="30" t="s">
        <v>1553</v>
      </c>
      <c r="N2343" s="30" t="s">
        <v>25</v>
      </c>
      <c r="O2343" s="31">
        <v>5000000.0</v>
      </c>
      <c r="P2343" s="10">
        <f t="shared" si="2"/>
        <v>12382982</v>
      </c>
      <c r="Q2343" s="12">
        <f t="shared" si="3"/>
        <v>0</v>
      </c>
      <c r="R2343" s="30">
        <v>2014.0</v>
      </c>
      <c r="S2343" s="30">
        <v>5.2</v>
      </c>
    </row>
    <row r="2344" ht="15.75" customHeight="1">
      <c r="A2344" s="7" t="s">
        <v>1350</v>
      </c>
      <c r="B2344" s="8" t="str">
        <f>IFERROR(__xludf.DUMMYFUNCTION("REGEXREPLACE(A2344, ""[^0-9a-zA-Z .'Ã]"","""")"),"Christopher Nolan")</f>
        <v>Christopher Nolan</v>
      </c>
      <c r="C2344" s="9">
        <v>185.0</v>
      </c>
      <c r="D2344" s="10">
        <v>6.7263182E7</v>
      </c>
      <c r="E2344" s="9" t="s">
        <v>311</v>
      </c>
      <c r="F2344" s="9">
        <f t="shared" si="1"/>
        <v>3</v>
      </c>
      <c r="G2344" s="9" t="s">
        <v>317</v>
      </c>
      <c r="H2344" s="11" t="str">
        <f>IFERROR(__xludf.DUMMYFUNCTION("REGEXREPLACE(G2344, ""[^0-9a-zA-Z .'Ã]"","""")"),"Al Pacino")</f>
        <v>Al Pacino</v>
      </c>
      <c r="I2344" s="11" t="s">
        <v>7677</v>
      </c>
      <c r="J2344" s="9">
        <v>218771.0</v>
      </c>
      <c r="K2344" s="9" t="s">
        <v>7678</v>
      </c>
      <c r="L2344" s="9">
        <v>651.0</v>
      </c>
      <c r="M2344" s="9" t="s">
        <v>24</v>
      </c>
      <c r="N2344" s="9" t="s">
        <v>25</v>
      </c>
      <c r="O2344" s="10">
        <v>4.6E7</v>
      </c>
      <c r="P2344" s="10">
        <f t="shared" si="2"/>
        <v>21263182</v>
      </c>
      <c r="Q2344" s="12">
        <f t="shared" si="3"/>
        <v>0</v>
      </c>
      <c r="R2344" s="9">
        <v>2002.0</v>
      </c>
      <c r="S2344" s="9">
        <v>7.2</v>
      </c>
    </row>
    <row r="2345" ht="15.75" customHeight="1">
      <c r="A2345" s="29" t="s">
        <v>7679</v>
      </c>
      <c r="B2345" s="8" t="str">
        <f>IFERROR(__xludf.DUMMYFUNCTION("REGEXREPLACE(A2345, ""[^0-9a-zA-Z .'Ã]"","""")"),"Michael Dinner")</f>
        <v>Michael Dinner</v>
      </c>
      <c r="C2345" s="30">
        <v>53.0</v>
      </c>
      <c r="D2345" s="31">
        <v>1.3019253E7</v>
      </c>
      <c r="E2345" s="30" t="s">
        <v>440</v>
      </c>
      <c r="F2345" s="9">
        <f t="shared" si="1"/>
        <v>2</v>
      </c>
      <c r="G2345" s="30" t="s">
        <v>893</v>
      </c>
      <c r="H2345" s="11" t="str">
        <f>IFERROR(__xludf.DUMMYFUNCTION("REGEXREPLACE(G2345, ""[^0-9a-zA-Z .'Ã]"","""")"),"Seymour Cassel")</f>
        <v>Seymour Cassel</v>
      </c>
      <c r="I2345" s="32" t="s">
        <v>7680</v>
      </c>
      <c r="J2345" s="30">
        <v>3914.0</v>
      </c>
      <c r="K2345" s="30" t="s">
        <v>7681</v>
      </c>
      <c r="L2345" s="30">
        <v>47.0</v>
      </c>
      <c r="M2345" s="30" t="s">
        <v>24</v>
      </c>
      <c r="N2345" s="30" t="s">
        <v>25</v>
      </c>
      <c r="O2345" s="31">
        <v>2.3E7</v>
      </c>
      <c r="P2345" s="10">
        <f t="shared" si="2"/>
        <v>0</v>
      </c>
      <c r="Q2345" s="12">
        <f t="shared" si="3"/>
        <v>9980747</v>
      </c>
      <c r="R2345" s="30">
        <v>2000.0</v>
      </c>
      <c r="S2345" s="30">
        <v>5.6</v>
      </c>
    </row>
    <row r="2346" ht="15.75" customHeight="1">
      <c r="A2346" s="17" t="s">
        <v>491</v>
      </c>
      <c r="B2346" s="8" t="str">
        <f>IFERROR(__xludf.DUMMYFUNCTION("REGEXREPLACE(A2346, ""[^0-9a-zA-Z .'Ã]"","""")"),"Chuck Russell")</f>
        <v>Chuck Russell</v>
      </c>
      <c r="C2346" s="18">
        <v>167.0</v>
      </c>
      <c r="D2346" s="19">
        <v>9.034167E7</v>
      </c>
      <c r="E2346" s="18" t="s">
        <v>3652</v>
      </c>
      <c r="F2346" s="9">
        <f t="shared" si="1"/>
        <v>4</v>
      </c>
      <c r="G2346" s="18" t="s">
        <v>50</v>
      </c>
      <c r="H2346" s="11" t="str">
        <f>IFERROR(__xludf.DUMMYFUNCTION("REGEXREPLACE(G2346, ""[^0-9a-zA-Z .'Ã]"","""")"),"Dwayne Johnson")</f>
        <v>Dwayne Johnson</v>
      </c>
      <c r="I2346" s="20" t="s">
        <v>7682</v>
      </c>
      <c r="J2346" s="18">
        <v>102129.0</v>
      </c>
      <c r="K2346" s="18" t="s">
        <v>7683</v>
      </c>
      <c r="L2346" s="18">
        <v>432.0</v>
      </c>
      <c r="M2346" s="18" t="s">
        <v>24</v>
      </c>
      <c r="N2346" s="18" t="s">
        <v>25</v>
      </c>
      <c r="O2346" s="19">
        <v>6.0E7</v>
      </c>
      <c r="P2346" s="10">
        <f t="shared" si="2"/>
        <v>30341670</v>
      </c>
      <c r="Q2346" s="12">
        <f t="shared" si="3"/>
        <v>0</v>
      </c>
      <c r="R2346" s="18">
        <v>2002.0</v>
      </c>
      <c r="S2346" s="18">
        <v>5.5</v>
      </c>
    </row>
    <row r="2347" ht="15.75" customHeight="1">
      <c r="A2347" s="7" t="s">
        <v>2824</v>
      </c>
      <c r="B2347" s="8" t="str">
        <f>IFERROR(__xludf.DUMMYFUNCTION("REGEXREPLACE(A2347, ""[^0-9a-zA-Z .'Ã]"","""")"),"Michael Ritchie")</f>
        <v>Michael Ritchie</v>
      </c>
      <c r="C2347" s="9">
        <v>29.0</v>
      </c>
      <c r="D2347" s="10">
        <v>7.9817937E7</v>
      </c>
      <c r="E2347" s="9" t="s">
        <v>7684</v>
      </c>
      <c r="F2347" s="9">
        <f t="shared" si="1"/>
        <v>5</v>
      </c>
      <c r="G2347" s="9" t="s">
        <v>3374</v>
      </c>
      <c r="H2347" s="11" t="str">
        <f>IFERROR(__xludf.DUMMYFUNCTION("REGEXREPLACE(G2347, ""[^0-9a-zA-Z .'Ã]"","""")"),"Victor Wong")</f>
        <v>Victor Wong</v>
      </c>
      <c r="I2347" s="11" t="s">
        <v>7685</v>
      </c>
      <c r="J2347" s="9">
        <v>39798.0</v>
      </c>
      <c r="K2347" s="9" t="s">
        <v>7686</v>
      </c>
      <c r="L2347" s="9">
        <v>69.0</v>
      </c>
      <c r="M2347" s="9" t="s">
        <v>24</v>
      </c>
      <c r="N2347" s="9" t="s">
        <v>25</v>
      </c>
      <c r="O2347" s="10">
        <v>2.5E7</v>
      </c>
      <c r="P2347" s="10">
        <f t="shared" si="2"/>
        <v>54817937</v>
      </c>
      <c r="Q2347" s="12">
        <f t="shared" si="3"/>
        <v>0</v>
      </c>
      <c r="R2347" s="9">
        <v>1986.0</v>
      </c>
      <c r="S2347" s="9">
        <v>5.9</v>
      </c>
    </row>
    <row r="2348" ht="15.75" customHeight="1">
      <c r="A2348" s="21" t="s">
        <v>710</v>
      </c>
      <c r="B2348" s="8" t="str">
        <f>IFERROR(__xludf.DUMMYFUNCTION("REGEXREPLACE(A2348, ""[^0-9a-zA-Z .'Ã]"","""")"),"Christian Duguay")</f>
        <v>Christian Duguay</v>
      </c>
      <c r="C2348" s="22">
        <v>53.0</v>
      </c>
      <c r="D2348" s="23">
        <v>4835968.0</v>
      </c>
      <c r="E2348" s="22" t="s">
        <v>474</v>
      </c>
      <c r="F2348" s="9">
        <f t="shared" si="1"/>
        <v>3</v>
      </c>
      <c r="G2348" s="22" t="s">
        <v>7687</v>
      </c>
      <c r="H2348" s="11" t="str">
        <f>IFERROR(__xludf.DUMMYFUNCTION("REGEXREPLACE(G2348, ""[^0-9a-zA-Z .'Ã]"","""")"),"Rufus Sewell")</f>
        <v>Rufus Sewell</v>
      </c>
      <c r="I2348" s="24" t="s">
        <v>7688</v>
      </c>
      <c r="J2348" s="22">
        <v>4821.0</v>
      </c>
      <c r="K2348" s="22" t="s">
        <v>7689</v>
      </c>
      <c r="L2348" s="22">
        <v>82.0</v>
      </c>
      <c r="M2348" s="22" t="s">
        <v>24</v>
      </c>
      <c r="N2348" s="22" t="s">
        <v>130</v>
      </c>
      <c r="O2348" s="23">
        <v>4.0E7</v>
      </c>
      <c r="P2348" s="10">
        <f t="shared" si="2"/>
        <v>0</v>
      </c>
      <c r="Q2348" s="12">
        <f t="shared" si="3"/>
        <v>35164032</v>
      </c>
      <c r="R2348" s="22">
        <v>2002.0</v>
      </c>
      <c r="S2348" s="22">
        <v>4.5</v>
      </c>
    </row>
    <row r="2349" ht="15.75" customHeight="1">
      <c r="A2349" s="25" t="s">
        <v>7690</v>
      </c>
      <c r="B2349" s="8" t="str">
        <f>IFERROR(__xludf.DUMMYFUNCTION("REGEXREPLACE(A2349, ""[^0-9a-zA-Z .'Ã]"","""")"),"Bibo Bergeron")</f>
        <v>Bibo Bergeron</v>
      </c>
      <c r="C2349" s="26">
        <v>143.0</v>
      </c>
      <c r="D2349" s="27">
        <v>1.60762022E8</v>
      </c>
      <c r="E2349" s="26" t="s">
        <v>1813</v>
      </c>
      <c r="F2349" s="9">
        <f t="shared" si="1"/>
        <v>4</v>
      </c>
      <c r="G2349" s="26" t="s">
        <v>883</v>
      </c>
      <c r="H2349" s="11" t="str">
        <f>IFERROR(__xludf.DUMMYFUNCTION("REGEXREPLACE(G2349, ""[^0-9a-zA-Z .'Ã]"","""")"),"Robert De Niro")</f>
        <v>Robert De Niro</v>
      </c>
      <c r="I2349" s="28" t="s">
        <v>7691</v>
      </c>
      <c r="J2349" s="26">
        <v>132415.0</v>
      </c>
      <c r="K2349" s="26" t="s">
        <v>7692</v>
      </c>
      <c r="L2349" s="26">
        <v>288.0</v>
      </c>
      <c r="M2349" s="26" t="s">
        <v>24</v>
      </c>
      <c r="N2349" s="26" t="s">
        <v>25</v>
      </c>
      <c r="O2349" s="27">
        <v>7.5E7</v>
      </c>
      <c r="P2349" s="10">
        <f t="shared" si="2"/>
        <v>85762022</v>
      </c>
      <c r="Q2349" s="12">
        <f t="shared" si="3"/>
        <v>0</v>
      </c>
      <c r="R2349" s="26">
        <v>2004.0</v>
      </c>
      <c r="S2349" s="26">
        <v>6.0</v>
      </c>
    </row>
    <row r="2350" ht="15.75" customHeight="1">
      <c r="A2350" s="7" t="s">
        <v>640</v>
      </c>
      <c r="B2350" s="8" t="str">
        <f>IFERROR(__xludf.DUMMYFUNCTION("REGEXREPLACE(A2350, ""[^0-9a-zA-Z .'Ã]"","""")"),"David O. Russell")</f>
        <v>David O. Russell</v>
      </c>
      <c r="C2350" s="9">
        <v>538.0</v>
      </c>
      <c r="D2350" s="10">
        <v>1.50117807E8</v>
      </c>
      <c r="E2350" s="9" t="s">
        <v>54</v>
      </c>
      <c r="F2350" s="9">
        <f t="shared" si="1"/>
        <v>2</v>
      </c>
      <c r="G2350" s="9" t="s">
        <v>1494</v>
      </c>
      <c r="H2350" s="11" t="str">
        <f>IFERROR(__xludf.DUMMYFUNCTION("REGEXREPLACE(G2350, ""[^0-9a-zA-Z .'Ã]"","""")"),"Jennifer Lawrence")</f>
        <v>Jennifer Lawrence</v>
      </c>
      <c r="I2350" s="11" t="s">
        <v>7693</v>
      </c>
      <c r="J2350" s="9">
        <v>358416.0</v>
      </c>
      <c r="K2350" s="9" t="s">
        <v>7694</v>
      </c>
      <c r="L2350" s="9">
        <v>751.0</v>
      </c>
      <c r="M2350" s="9" t="s">
        <v>24</v>
      </c>
      <c r="N2350" s="9" t="s">
        <v>25</v>
      </c>
      <c r="O2350" s="10">
        <v>4.0E7</v>
      </c>
      <c r="P2350" s="10">
        <f t="shared" si="2"/>
        <v>110117807</v>
      </c>
      <c r="Q2350" s="12">
        <f t="shared" si="3"/>
        <v>0</v>
      </c>
      <c r="R2350" s="9">
        <v>2013.0</v>
      </c>
      <c r="S2350" s="9">
        <v>7.3</v>
      </c>
    </row>
    <row r="2351" ht="15.75" customHeight="1">
      <c r="A2351" s="13" t="s">
        <v>847</v>
      </c>
      <c r="B2351" s="8" t="str">
        <f>IFERROR(__xludf.DUMMYFUNCTION("REGEXREPLACE(A2351, ""[^0-9a-zA-Z .'Ã]"","""")"),"Lana Wachowski")</f>
        <v>Lana Wachowski</v>
      </c>
      <c r="C2351" s="14">
        <v>120.0</v>
      </c>
      <c r="D2351" s="15">
        <v>3798532.0</v>
      </c>
      <c r="E2351" s="14" t="s">
        <v>810</v>
      </c>
      <c r="F2351" s="9">
        <f t="shared" si="1"/>
        <v>4</v>
      </c>
      <c r="G2351" s="14" t="s">
        <v>7695</v>
      </c>
      <c r="H2351" s="11" t="str">
        <f>IFERROR(__xludf.DUMMYFUNCTION("REGEXREPLACE(G2351, ""[^0-9a-zA-Z .'Ã]"","""")"),"Christopher Meloni")</f>
        <v>Christopher Meloni</v>
      </c>
      <c r="I2351" s="16" t="s">
        <v>7696</v>
      </c>
      <c r="J2351" s="14">
        <v>41138.0</v>
      </c>
      <c r="K2351" s="14" t="s">
        <v>7697</v>
      </c>
      <c r="L2351" s="14">
        <v>208.0</v>
      </c>
      <c r="M2351" s="14" t="s">
        <v>24</v>
      </c>
      <c r="N2351" s="14" t="s">
        <v>25</v>
      </c>
      <c r="O2351" s="15">
        <v>4500000.0</v>
      </c>
      <c r="P2351" s="10">
        <f t="shared" si="2"/>
        <v>0</v>
      </c>
      <c r="Q2351" s="12">
        <f t="shared" si="3"/>
        <v>701468</v>
      </c>
      <c r="R2351" s="14">
        <v>1996.0</v>
      </c>
      <c r="S2351" s="14">
        <v>7.4</v>
      </c>
    </row>
    <row r="2352" ht="15.75" customHeight="1">
      <c r="A2352" s="29" t="s">
        <v>7392</v>
      </c>
      <c r="B2352" s="8" t="str">
        <f>IFERROR(__xludf.DUMMYFUNCTION("REGEXREPLACE(A2352, ""[^0-9a-zA-Z .'Ã]"","""")"),"Peter Howitt")</f>
        <v>Peter Howitt</v>
      </c>
      <c r="C2352" s="30">
        <v>88.0</v>
      </c>
      <c r="D2352" s="31">
        <v>1.1883495E7</v>
      </c>
      <c r="E2352" s="30" t="s">
        <v>59</v>
      </c>
      <c r="F2352" s="9">
        <f t="shared" si="1"/>
        <v>4</v>
      </c>
      <c r="G2352" s="30" t="s">
        <v>1392</v>
      </c>
      <c r="H2352" s="11" t="str">
        <f>IFERROR(__xludf.DUMMYFUNCTION("REGEXREPLACE(G2352, ""[^0-9a-zA-Z .'Ã]"","""")"),"Jeanne Tripplehorn")</f>
        <v>Jeanne Tripplehorn</v>
      </c>
      <c r="I2352" s="32" t="s">
        <v>7698</v>
      </c>
      <c r="J2352" s="30">
        <v>52805.0</v>
      </c>
      <c r="K2352" s="30" t="s">
        <v>7699</v>
      </c>
      <c r="L2352" s="30">
        <v>278.0</v>
      </c>
      <c r="M2352" s="30" t="s">
        <v>24</v>
      </c>
      <c r="N2352" s="30" t="s">
        <v>130</v>
      </c>
      <c r="O2352" s="31">
        <v>9000000.0</v>
      </c>
      <c r="P2352" s="10">
        <f t="shared" si="2"/>
        <v>2883495</v>
      </c>
      <c r="Q2352" s="12">
        <f t="shared" si="3"/>
        <v>0</v>
      </c>
      <c r="R2352" s="30">
        <v>1998.0</v>
      </c>
      <c r="S2352" s="30">
        <v>6.8</v>
      </c>
    </row>
    <row r="2353" ht="15.75" customHeight="1">
      <c r="A2353" s="25" t="s">
        <v>4968</v>
      </c>
      <c r="B2353" s="8" t="str">
        <f>IFERROR(__xludf.DUMMYFUNCTION("REGEXREPLACE(A2353, ""[^0-9a-zA-Z .'Ã]"","""")"),"Justin Lin")</f>
        <v>Justin Lin</v>
      </c>
      <c r="C2353" s="26">
        <v>322.0</v>
      </c>
      <c r="D2353" s="27">
        <v>1.30468626E8</v>
      </c>
      <c r="E2353" s="26" t="s">
        <v>794</v>
      </c>
      <c r="F2353" s="9">
        <f t="shared" si="1"/>
        <v>4</v>
      </c>
      <c r="G2353" s="26" t="s">
        <v>7700</v>
      </c>
      <c r="H2353" s="11" t="str">
        <f>IFERROR(__xludf.DUMMYFUNCTION("REGEXREPLACE(G2353, ""[^0-9a-zA-Z .'Ã]"","""")"),"Sofia Boutella")</f>
        <v>Sofia Boutella</v>
      </c>
      <c r="I2353" s="28" t="s">
        <v>7701</v>
      </c>
      <c r="J2353" s="26">
        <v>53607.0</v>
      </c>
      <c r="K2353" s="26" t="s">
        <v>7702</v>
      </c>
      <c r="L2353" s="26">
        <v>432.0</v>
      </c>
      <c r="M2353" s="26" t="s">
        <v>24</v>
      </c>
      <c r="N2353" s="26" t="s">
        <v>25</v>
      </c>
      <c r="O2353" s="27">
        <v>1.85E8</v>
      </c>
      <c r="P2353" s="10">
        <f t="shared" si="2"/>
        <v>0</v>
      </c>
      <c r="Q2353" s="12">
        <f t="shared" si="3"/>
        <v>54531374</v>
      </c>
      <c r="R2353" s="26">
        <v>2016.0</v>
      </c>
      <c r="S2353" s="26">
        <v>7.5</v>
      </c>
    </row>
    <row r="2354" ht="15.75" customHeight="1">
      <c r="A2354" s="17" t="s">
        <v>7703</v>
      </c>
      <c r="B2354" s="8" t="str">
        <f>IFERROR(__xludf.DUMMYFUNCTION("REGEXREPLACE(A2354, ""[^0-9a-zA-Z .'Ã]"","""")"),"Elizabeth Allen Rosenbaum")</f>
        <v>Elizabeth Allen Rosenbaum</v>
      </c>
      <c r="C2354" s="18">
        <v>66.0</v>
      </c>
      <c r="D2354" s="19">
        <v>1.8595716E7</v>
      </c>
      <c r="E2354" s="18" t="s">
        <v>4725</v>
      </c>
      <c r="F2354" s="9">
        <f t="shared" si="1"/>
        <v>4</v>
      </c>
      <c r="G2354" s="18" t="s">
        <v>7704</v>
      </c>
      <c r="H2354" s="11" t="str">
        <f>IFERROR(__xludf.DUMMYFUNCTION("REGEXREPLACE(G2354, ""[^0-9a-zA-Z .'Ã]"","""")"),"Tammin Sursok")</f>
        <v>Tammin Sursok</v>
      </c>
      <c r="I2354" s="20" t="s">
        <v>7705</v>
      </c>
      <c r="J2354" s="18">
        <v>30462.0</v>
      </c>
      <c r="K2354" s="18" t="s">
        <v>7706</v>
      </c>
      <c r="L2354" s="18">
        <v>150.0</v>
      </c>
      <c r="M2354" s="18" t="s">
        <v>24</v>
      </c>
      <c r="N2354" s="18" t="s">
        <v>25</v>
      </c>
      <c r="O2354" s="19">
        <v>1.2E7</v>
      </c>
      <c r="P2354" s="10">
        <f t="shared" si="2"/>
        <v>6595716</v>
      </c>
      <c r="Q2354" s="12">
        <f t="shared" si="3"/>
        <v>0</v>
      </c>
      <c r="R2354" s="18">
        <v>2006.0</v>
      </c>
      <c r="S2354" s="18">
        <v>5.3</v>
      </c>
    </row>
    <row r="2355" ht="15.75" customHeight="1">
      <c r="A2355" s="7" t="s">
        <v>1371</v>
      </c>
      <c r="B2355" s="8" t="str">
        <f>IFERROR(__xludf.DUMMYFUNCTION("REGEXREPLACE(A2355, ""[^0-9a-zA-Z .'Ã]"","""")"),"J.J. Abrams")</f>
        <v>J.J. Abrams</v>
      </c>
      <c r="C2355" s="9">
        <v>590.0</v>
      </c>
      <c r="D2355" s="10">
        <v>2.28756232E8</v>
      </c>
      <c r="E2355" s="9" t="s">
        <v>185</v>
      </c>
      <c r="F2355" s="9">
        <f t="shared" si="1"/>
        <v>3</v>
      </c>
      <c r="G2355" s="9" t="s">
        <v>558</v>
      </c>
      <c r="H2355" s="11" t="str">
        <f>IFERROR(__xludf.DUMMYFUNCTION("REGEXREPLACE(G2355, ""[^0-9a-zA-Z .'Ã]"","""")"),"Benedict Cumberbatch")</f>
        <v>Benedict Cumberbatch</v>
      </c>
      <c r="I2355" s="11" t="s">
        <v>7707</v>
      </c>
      <c r="J2355" s="9">
        <v>395573.0</v>
      </c>
      <c r="K2355" s="9" t="s">
        <v>7708</v>
      </c>
      <c r="L2355" s="9">
        <v>1171.0</v>
      </c>
      <c r="M2355" s="9" t="s">
        <v>24</v>
      </c>
      <c r="N2355" s="9" t="s">
        <v>25</v>
      </c>
      <c r="O2355" s="10">
        <v>1.9E8</v>
      </c>
      <c r="P2355" s="10">
        <f t="shared" si="2"/>
        <v>38756232</v>
      </c>
      <c r="Q2355" s="12">
        <f t="shared" si="3"/>
        <v>0</v>
      </c>
      <c r="R2355" s="9">
        <v>2013.0</v>
      </c>
      <c r="S2355" s="9">
        <v>7.8</v>
      </c>
    </row>
    <row r="2356" ht="15.75" customHeight="1">
      <c r="A2356" s="17" t="s">
        <v>473</v>
      </c>
      <c r="B2356" s="8" t="str">
        <f>IFERROR(__xludf.DUMMYFUNCTION("REGEXREPLACE(A2356, ""[^0-9a-zA-Z .'Ã]"","""")"),"John McTiernan")</f>
        <v>John McTiernan</v>
      </c>
      <c r="C2356" s="18">
        <v>25.0</v>
      </c>
      <c r="D2356" s="19">
        <v>4.5500797E7</v>
      </c>
      <c r="E2356" s="18" t="s">
        <v>1989</v>
      </c>
      <c r="F2356" s="9">
        <f t="shared" si="1"/>
        <v>3</v>
      </c>
      <c r="G2356" s="18" t="s">
        <v>7709</v>
      </c>
      <c r="H2356" s="11" t="str">
        <f>IFERROR(__xludf.DUMMYFUNCTION("REGEXREPLACE(G2356, ""[^0-9a-zA-Z .'Ã]"","""")"),"Lorraine Bracco")</f>
        <v>Lorraine Bracco</v>
      </c>
      <c r="I2356" s="20" t="s">
        <v>7710</v>
      </c>
      <c r="J2356" s="18">
        <v>17443.0</v>
      </c>
      <c r="K2356" s="18" t="s">
        <v>7711</v>
      </c>
      <c r="L2356" s="18">
        <v>56.0</v>
      </c>
      <c r="M2356" s="18" t="s">
        <v>24</v>
      </c>
      <c r="N2356" s="18" t="s">
        <v>25</v>
      </c>
      <c r="O2356" s="19">
        <v>4.0E7</v>
      </c>
      <c r="P2356" s="10">
        <f t="shared" si="2"/>
        <v>5500797</v>
      </c>
      <c r="Q2356" s="12">
        <f t="shared" si="3"/>
        <v>0</v>
      </c>
      <c r="R2356" s="18">
        <v>1992.0</v>
      </c>
      <c r="S2356" s="18">
        <v>6.0</v>
      </c>
    </row>
    <row r="2357" ht="15.75" customHeight="1">
      <c r="A2357" s="25" t="s">
        <v>7712</v>
      </c>
      <c r="B2357" s="8" t="str">
        <f>IFERROR(__xludf.DUMMYFUNCTION("REGEXREPLACE(A2357, ""[^0-9a-zA-Z .'Ã]"","""")"),"Michael Dougherty")</f>
        <v>Michael Dougherty</v>
      </c>
      <c r="C2357" s="26">
        <v>198.0</v>
      </c>
      <c r="D2357" s="27">
        <v>4.259253E7</v>
      </c>
      <c r="E2357" s="26" t="s">
        <v>1099</v>
      </c>
      <c r="F2357" s="9">
        <f t="shared" si="1"/>
        <v>3</v>
      </c>
      <c r="G2357" s="26" t="s">
        <v>2667</v>
      </c>
      <c r="H2357" s="11" t="str">
        <f>IFERROR(__xludf.DUMMYFUNCTION("REGEXREPLACE(G2357, ""[^0-9a-zA-Z .'Ã]"","""")"),"Adam Scott")</f>
        <v>Adam Scott</v>
      </c>
      <c r="I2357" s="28" t="s">
        <v>7713</v>
      </c>
      <c r="J2357" s="26">
        <v>29867.0</v>
      </c>
      <c r="K2357" s="26" t="s">
        <v>7714</v>
      </c>
      <c r="L2357" s="26">
        <v>181.0</v>
      </c>
      <c r="M2357" s="26" t="s">
        <v>24</v>
      </c>
      <c r="N2357" s="26" t="s">
        <v>25</v>
      </c>
      <c r="O2357" s="27">
        <v>1.5E7</v>
      </c>
      <c r="P2357" s="10">
        <f t="shared" si="2"/>
        <v>27592530</v>
      </c>
      <c r="Q2357" s="12">
        <f t="shared" si="3"/>
        <v>0</v>
      </c>
      <c r="R2357" s="26">
        <v>2015.0</v>
      </c>
      <c r="S2357" s="26">
        <v>6.2</v>
      </c>
    </row>
    <row r="2358" ht="15.75" customHeight="1">
      <c r="A2358" s="7" t="s">
        <v>3968</v>
      </c>
      <c r="B2358" s="8" t="str">
        <f>IFERROR(__xludf.DUMMYFUNCTION("REGEXREPLACE(A2358, ""[^0-9a-zA-Z .'Ã]"","""")"),"Richard E. Grant")</f>
        <v>Richard E. Grant</v>
      </c>
      <c r="C2358" s="9">
        <v>49.0</v>
      </c>
      <c r="D2358" s="10">
        <v>233103.0</v>
      </c>
      <c r="E2358" s="9" t="s">
        <v>103</v>
      </c>
      <c r="F2358" s="9">
        <f t="shared" si="1"/>
        <v>1</v>
      </c>
      <c r="G2358" s="9" t="s">
        <v>6817</v>
      </c>
      <c r="H2358" s="11" t="str">
        <f>IFERROR(__xludf.DUMMYFUNCTION("REGEXREPLACE(G2358, ""[^0-9a-zA-Z .'Ã]"","""")"),"Emily Watson")</f>
        <v>Emily Watson</v>
      </c>
      <c r="I2358" s="11" t="s">
        <v>7715</v>
      </c>
      <c r="J2358" s="9">
        <v>2670.0</v>
      </c>
      <c r="K2358" s="9" t="s">
        <v>7716</v>
      </c>
      <c r="L2358" s="9">
        <v>50.0</v>
      </c>
      <c r="M2358" s="9" t="s">
        <v>24</v>
      </c>
      <c r="N2358" s="9" t="s">
        <v>130</v>
      </c>
      <c r="O2358" s="10">
        <v>7000000.0</v>
      </c>
      <c r="P2358" s="10">
        <f t="shared" si="2"/>
        <v>0</v>
      </c>
      <c r="Q2358" s="12">
        <f t="shared" si="3"/>
        <v>6766897</v>
      </c>
      <c r="R2358" s="9">
        <v>2005.0</v>
      </c>
      <c r="S2358" s="9">
        <v>6.9</v>
      </c>
    </row>
    <row r="2359" ht="15.75" customHeight="1">
      <c r="A2359" s="25" t="s">
        <v>4393</v>
      </c>
      <c r="B2359" s="8" t="str">
        <f>IFERROR(__xludf.DUMMYFUNCTION("REGEXREPLACE(A2359, ""[^0-9a-zA-Z .'Ã]"","""")"),"Pierre Morel")</f>
        <v>Pierre Morel</v>
      </c>
      <c r="C2359" s="26">
        <v>141.0</v>
      </c>
      <c r="D2359" s="27">
        <v>1197786.0</v>
      </c>
      <c r="E2359" s="26" t="s">
        <v>152</v>
      </c>
      <c r="F2359" s="9">
        <f t="shared" si="1"/>
        <v>3</v>
      </c>
      <c r="G2359" s="26" t="s">
        <v>7717</v>
      </c>
      <c r="H2359" s="11" t="str">
        <f>IFERROR(__xludf.DUMMYFUNCTION("REGEXREPLACE(G2359, ""[^0-9a-zA-Z .'Ã]"","""")"),"David Belle")</f>
        <v>David Belle</v>
      </c>
      <c r="I2359" s="28" t="s">
        <v>7718</v>
      </c>
      <c r="J2359" s="26">
        <v>55928.0</v>
      </c>
      <c r="K2359" s="26" t="s">
        <v>7719</v>
      </c>
      <c r="L2359" s="26">
        <v>157.0</v>
      </c>
      <c r="M2359" s="26" t="s">
        <v>658</v>
      </c>
      <c r="N2359" s="26" t="s">
        <v>608</v>
      </c>
      <c r="O2359" s="27">
        <v>1.2E7</v>
      </c>
      <c r="P2359" s="10">
        <f t="shared" si="2"/>
        <v>0</v>
      </c>
      <c r="Q2359" s="12">
        <f t="shared" si="3"/>
        <v>10802214</v>
      </c>
      <c r="R2359" s="26">
        <v>2004.0</v>
      </c>
      <c r="S2359" s="26">
        <v>7.2</v>
      </c>
    </row>
    <row r="2360" ht="15.75" customHeight="1">
      <c r="A2360" s="7" t="s">
        <v>3283</v>
      </c>
      <c r="B2360" s="8" t="str">
        <f>IFERROR(__xludf.DUMMYFUNCTION("REGEXREPLACE(A2360, ""[^0-9a-zA-Z .'Ã]"","""")"),"Peter Lord")</f>
        <v>Peter Lord</v>
      </c>
      <c r="C2360" s="9">
        <v>238.0</v>
      </c>
      <c r="D2360" s="10">
        <v>3.1051126E7</v>
      </c>
      <c r="E2360" s="9" t="s">
        <v>1813</v>
      </c>
      <c r="F2360" s="9">
        <f t="shared" si="1"/>
        <v>4</v>
      </c>
      <c r="G2360" s="9" t="s">
        <v>4843</v>
      </c>
      <c r="H2360" s="11" t="str">
        <f>IFERROR(__xludf.DUMMYFUNCTION("REGEXREPLACE(G2360, ""[^0-9a-zA-Z .'Ã]"","""")"),"Salma Hayek")</f>
        <v>Salma Hayek</v>
      </c>
      <c r="I2360" s="11" t="s">
        <v>7720</v>
      </c>
      <c r="J2360" s="9">
        <v>36877.0</v>
      </c>
      <c r="K2360" s="9" t="s">
        <v>7721</v>
      </c>
      <c r="L2360" s="9">
        <v>101.0</v>
      </c>
      <c r="M2360" s="9" t="s">
        <v>24</v>
      </c>
      <c r="N2360" s="9" t="s">
        <v>130</v>
      </c>
      <c r="O2360" s="10">
        <v>5.5E7</v>
      </c>
      <c r="P2360" s="10">
        <f t="shared" si="2"/>
        <v>0</v>
      </c>
      <c r="Q2360" s="12">
        <f t="shared" si="3"/>
        <v>23948874</v>
      </c>
      <c r="R2360" s="9">
        <v>2012.0</v>
      </c>
      <c r="S2360" s="9">
        <v>6.7</v>
      </c>
    </row>
    <row r="2361" ht="15.75" customHeight="1">
      <c r="A2361" s="17" t="s">
        <v>7722</v>
      </c>
      <c r="B2361" s="8" t="str">
        <f>IFERROR(__xludf.DUMMYFUNCTION("REGEXREPLACE(A2361, ""[^0-9a-zA-Z .'Ã]"","""")"),"Mary McGuckian")</f>
        <v>Mary McGuckian</v>
      </c>
      <c r="C2361" s="18">
        <v>16.0</v>
      </c>
      <c r="D2361" s="19">
        <v>42880.0</v>
      </c>
      <c r="E2361" s="18" t="s">
        <v>232</v>
      </c>
      <c r="F2361" s="9">
        <f t="shared" si="1"/>
        <v>2</v>
      </c>
      <c r="G2361" s="18" t="s">
        <v>883</v>
      </c>
      <c r="H2361" s="11" t="str">
        <f>IFERROR(__xludf.DUMMYFUNCTION("REGEXREPLACE(G2361, ""[^0-9a-zA-Z .'Ã]"","""")"),"Robert De Niro")</f>
        <v>Robert De Niro</v>
      </c>
      <c r="I2361" s="20" t="s">
        <v>7723</v>
      </c>
      <c r="J2361" s="18">
        <v>2919.0</v>
      </c>
      <c r="K2361" s="18" t="s">
        <v>7724</v>
      </c>
      <c r="L2361" s="18">
        <v>50.0</v>
      </c>
      <c r="M2361" s="18" t="s">
        <v>24</v>
      </c>
      <c r="N2361" s="18" t="s">
        <v>130</v>
      </c>
      <c r="O2361" s="19">
        <v>2.4E7</v>
      </c>
      <c r="P2361" s="10">
        <f t="shared" si="2"/>
        <v>0</v>
      </c>
      <c r="Q2361" s="12">
        <f t="shared" si="3"/>
        <v>23957120</v>
      </c>
      <c r="R2361" s="18">
        <v>2004.0</v>
      </c>
      <c r="S2361" s="18">
        <v>5.1</v>
      </c>
    </row>
    <row r="2362" ht="15.75" customHeight="1">
      <c r="A2362" s="21" t="s">
        <v>3404</v>
      </c>
      <c r="B2362" s="8" t="str">
        <f>IFERROR(__xludf.DUMMYFUNCTION("REGEXREPLACE(A2362, ""[^0-9a-zA-Z .'Ã]"","""")"),"Neil Jordan")</f>
        <v>Neil Jordan</v>
      </c>
      <c r="C2362" s="22">
        <v>62.0</v>
      </c>
      <c r="D2362" s="23">
        <v>1.19E7</v>
      </c>
      <c r="E2362" s="22" t="s">
        <v>1173</v>
      </c>
      <c r="F2362" s="9">
        <f t="shared" si="1"/>
        <v>3</v>
      </c>
      <c r="G2362" s="22" t="s">
        <v>327</v>
      </c>
      <c r="H2362" s="11" t="str">
        <f>IFERROR(__xludf.DUMMYFUNCTION("REGEXREPLACE(G2362, ""[^0-9a-zA-Z .'Ã]"","""")"),"Robert Downey Jr.")</f>
        <v>Robert Downey Jr.</v>
      </c>
      <c r="I2362" s="24" t="s">
        <v>7725</v>
      </c>
      <c r="J2362" s="22">
        <v>11003.0</v>
      </c>
      <c r="K2362" s="22" t="s">
        <v>7726</v>
      </c>
      <c r="L2362" s="22">
        <v>148.0</v>
      </c>
      <c r="M2362" s="22" t="s">
        <v>24</v>
      </c>
      <c r="N2362" s="22" t="s">
        <v>25</v>
      </c>
      <c r="O2362" s="23">
        <v>3.0E7</v>
      </c>
      <c r="P2362" s="10">
        <f t="shared" si="2"/>
        <v>0</v>
      </c>
      <c r="Q2362" s="12">
        <f t="shared" si="3"/>
        <v>18100000</v>
      </c>
      <c r="R2362" s="22">
        <v>1999.0</v>
      </c>
      <c r="S2362" s="22">
        <v>5.5</v>
      </c>
    </row>
    <row r="2363" ht="15.75" customHeight="1">
      <c r="A2363" s="29" t="s">
        <v>7727</v>
      </c>
      <c r="B2363" s="8" t="str">
        <f>IFERROR(__xludf.DUMMYFUNCTION("REGEXREPLACE(A2363, ""[^0-9a-zA-Z .'Ã]"","""")"),"Andrew Morahan")</f>
        <v>Andrew Morahan</v>
      </c>
      <c r="C2363" s="30">
        <v>32.0</v>
      </c>
      <c r="D2363" s="31">
        <v>1.3829734E7</v>
      </c>
      <c r="E2363" s="30" t="s">
        <v>7728</v>
      </c>
      <c r="F2363" s="9">
        <f t="shared" si="1"/>
        <v>4</v>
      </c>
      <c r="G2363" s="30" t="s">
        <v>3473</v>
      </c>
      <c r="H2363" s="11" t="str">
        <f>IFERROR(__xludf.DUMMYFUNCTION("REGEXREPLACE(G2363, ""[^0-9a-zA-Z .'Ã]"","""")"),"Christopher Lambert")</f>
        <v>Christopher Lambert</v>
      </c>
      <c r="I2363" s="32" t="s">
        <v>7729</v>
      </c>
      <c r="J2363" s="30">
        <v>16194.0</v>
      </c>
      <c r="K2363" s="30" t="s">
        <v>7730</v>
      </c>
      <c r="L2363" s="30">
        <v>79.0</v>
      </c>
      <c r="M2363" s="30" t="s">
        <v>24</v>
      </c>
      <c r="N2363" s="30" t="s">
        <v>624</v>
      </c>
      <c r="O2363" s="31">
        <v>2.6E7</v>
      </c>
      <c r="P2363" s="10">
        <f t="shared" si="2"/>
        <v>0</v>
      </c>
      <c r="Q2363" s="12">
        <f t="shared" si="3"/>
        <v>12170266</v>
      </c>
      <c r="R2363" s="30">
        <v>1994.0</v>
      </c>
      <c r="S2363" s="30">
        <v>4.3</v>
      </c>
    </row>
    <row r="2364" ht="15.75" customHeight="1">
      <c r="A2364" s="7" t="s">
        <v>505</v>
      </c>
      <c r="B2364" s="8" t="str">
        <f>IFERROR(__xludf.DUMMYFUNCTION("REGEXREPLACE(A2364, ""[^0-9a-zA-Z .'Ã]"","""")"),"Jon Favreau")</f>
        <v>Jon Favreau</v>
      </c>
      <c r="C2364" s="9">
        <v>453.0</v>
      </c>
      <c r="D2364" s="10">
        <v>3.12057433E8</v>
      </c>
      <c r="E2364" s="9" t="s">
        <v>185</v>
      </c>
      <c r="F2364" s="9">
        <f t="shared" si="1"/>
        <v>3</v>
      </c>
      <c r="G2364" s="9" t="s">
        <v>327</v>
      </c>
      <c r="H2364" s="11" t="str">
        <f>IFERROR(__xludf.DUMMYFUNCTION("REGEXREPLACE(G2364, ""[^0-9a-zA-Z .'Ã]"","""")"),"Robert Downey Jr.")</f>
        <v>Robert Downey Jr.</v>
      </c>
      <c r="I2364" s="11" t="s">
        <v>7731</v>
      </c>
      <c r="J2364" s="9">
        <v>522371.0</v>
      </c>
      <c r="K2364" s="9" t="s">
        <v>7732</v>
      </c>
      <c r="L2364" s="9">
        <v>723.0</v>
      </c>
      <c r="M2364" s="9" t="s">
        <v>24</v>
      </c>
      <c r="N2364" s="9" t="s">
        <v>25</v>
      </c>
      <c r="O2364" s="10">
        <v>2.0E8</v>
      </c>
      <c r="P2364" s="10">
        <f t="shared" si="2"/>
        <v>112057433</v>
      </c>
      <c r="Q2364" s="12">
        <f t="shared" si="3"/>
        <v>0</v>
      </c>
      <c r="R2364" s="9">
        <v>2010.0</v>
      </c>
      <c r="S2364" s="9">
        <v>7.0</v>
      </c>
    </row>
    <row r="2365" ht="15.75" customHeight="1">
      <c r="A2365" s="21" t="s">
        <v>7374</v>
      </c>
      <c r="B2365" s="8" t="str">
        <f>IFERROR(__xludf.DUMMYFUNCTION("REGEXREPLACE(A2365, ""[^0-9a-zA-Z .'Ã]"","""")"),"George P. Cosmatos")</f>
        <v>George P. Cosmatos</v>
      </c>
      <c r="C2365" s="22">
        <v>84.0</v>
      </c>
      <c r="D2365" s="23">
        <v>5.6505065E7</v>
      </c>
      <c r="E2365" s="22" t="s">
        <v>7733</v>
      </c>
      <c r="F2365" s="9">
        <f t="shared" si="1"/>
        <v>6</v>
      </c>
      <c r="G2365" s="22" t="s">
        <v>186</v>
      </c>
      <c r="H2365" s="11" t="str">
        <f>IFERROR(__xludf.DUMMYFUNCTION("REGEXREPLACE(G2365, ""[^0-9a-zA-Z .'Ã]"","""")"),"Michael Biehn")</f>
        <v>Michael Biehn</v>
      </c>
      <c r="I2365" s="24" t="s">
        <v>7734</v>
      </c>
      <c r="J2365" s="22">
        <v>95241.0</v>
      </c>
      <c r="K2365" s="22" t="s">
        <v>7735</v>
      </c>
      <c r="L2365" s="22">
        <v>439.0</v>
      </c>
      <c r="M2365" s="22" t="s">
        <v>24</v>
      </c>
      <c r="N2365" s="22" t="s">
        <v>25</v>
      </c>
      <c r="O2365" s="23">
        <v>2.5E7</v>
      </c>
      <c r="P2365" s="10">
        <f t="shared" si="2"/>
        <v>31505065</v>
      </c>
      <c r="Q2365" s="12">
        <f t="shared" si="3"/>
        <v>0</v>
      </c>
      <c r="R2365" s="22">
        <v>1993.0</v>
      </c>
      <c r="S2365" s="22">
        <v>7.8</v>
      </c>
    </row>
    <row r="2366" ht="15.75" customHeight="1">
      <c r="A2366" s="7" t="s">
        <v>4370</v>
      </c>
      <c r="B2366" s="8" t="str">
        <f>IFERROR(__xludf.DUMMYFUNCTION("REGEXREPLACE(A2366, ""[^0-9a-zA-Z .'Ã]"","""")"),"Jonathan Lynn")</f>
        <v>Jonathan Lynn</v>
      </c>
      <c r="C2366" s="9">
        <v>54.0</v>
      </c>
      <c r="D2366" s="10">
        <v>5.2929168E7</v>
      </c>
      <c r="E2366" s="9" t="s">
        <v>440</v>
      </c>
      <c r="F2366" s="9">
        <f t="shared" si="1"/>
        <v>2</v>
      </c>
      <c r="G2366" s="9" t="s">
        <v>7736</v>
      </c>
      <c r="H2366" s="11" t="str">
        <f>IFERROR(__xludf.DUMMYFUNCTION("REGEXREPLACE(G2366, ""[^0-9a-zA-Z .'Ã]"","""")"),"Fred Gwynne")</f>
        <v>Fred Gwynne</v>
      </c>
      <c r="I2366" s="11" t="s">
        <v>7737</v>
      </c>
      <c r="J2366" s="9">
        <v>82743.0</v>
      </c>
      <c r="K2366" s="9" t="s">
        <v>7738</v>
      </c>
      <c r="L2366" s="9">
        <v>201.0</v>
      </c>
      <c r="M2366" s="9" t="s">
        <v>24</v>
      </c>
      <c r="N2366" s="9" t="s">
        <v>25</v>
      </c>
      <c r="O2366" s="10">
        <v>1.1E7</v>
      </c>
      <c r="P2366" s="10">
        <f t="shared" si="2"/>
        <v>41929168</v>
      </c>
      <c r="Q2366" s="12">
        <f t="shared" si="3"/>
        <v>0</v>
      </c>
      <c r="R2366" s="9">
        <v>1992.0</v>
      </c>
      <c r="S2366" s="9">
        <v>7.5</v>
      </c>
    </row>
    <row r="2367" ht="15.75" customHeight="1">
      <c r="A2367" s="21" t="s">
        <v>7739</v>
      </c>
      <c r="B2367" s="8" t="str">
        <f>IFERROR(__xludf.DUMMYFUNCTION("REGEXREPLACE(A2367, ""[^0-9a-zA-Z .'Ã]"","""")"),"Emile Ardolino")</f>
        <v>Emile Ardolino</v>
      </c>
      <c r="C2367" s="22">
        <v>10.0</v>
      </c>
      <c r="D2367" s="23">
        <v>2119994.0</v>
      </c>
      <c r="E2367" s="22" t="s">
        <v>7740</v>
      </c>
      <c r="F2367" s="9">
        <f t="shared" si="1"/>
        <v>3</v>
      </c>
      <c r="G2367" s="22" t="s">
        <v>7741</v>
      </c>
      <c r="H2367" s="11" t="str">
        <f>IFERROR(__xludf.DUMMYFUNCTION("REGEXREPLACE(G2367, ""[^0-9a-zA-Z .'Ã]"","""")"),"Darci Kistler")</f>
        <v>Darci Kistler</v>
      </c>
      <c r="I2367" s="24" t="s">
        <v>7742</v>
      </c>
      <c r="J2367" s="22">
        <v>1153.0</v>
      </c>
      <c r="K2367" s="22" t="s">
        <v>7743</v>
      </c>
      <c r="L2367" s="22">
        <v>15.0</v>
      </c>
      <c r="M2367" s="22" t="s">
        <v>24</v>
      </c>
      <c r="N2367" s="22" t="s">
        <v>25</v>
      </c>
      <c r="O2367" s="23">
        <v>1.9E7</v>
      </c>
      <c r="P2367" s="10">
        <f t="shared" si="2"/>
        <v>0</v>
      </c>
      <c r="Q2367" s="12">
        <f t="shared" si="3"/>
        <v>16880006</v>
      </c>
      <c r="R2367" s="22">
        <v>1993.0</v>
      </c>
      <c r="S2367" s="22">
        <v>5.7</v>
      </c>
    </row>
    <row r="2368" ht="15.75" customHeight="1">
      <c r="A2368" s="21" t="s">
        <v>7744</v>
      </c>
      <c r="B2368" s="8" t="str">
        <f>IFERROR(__xludf.DUMMYFUNCTION("REGEXREPLACE(A2368, ""[^0-9a-zA-Z .'Ã]"","""")"),"Gregory Jacobs")</f>
        <v>Gregory Jacobs</v>
      </c>
      <c r="C2368" s="22">
        <v>222.0</v>
      </c>
      <c r="D2368" s="23">
        <v>6.6009973E7</v>
      </c>
      <c r="E2368" s="22" t="s">
        <v>462</v>
      </c>
      <c r="F2368" s="9">
        <f t="shared" si="1"/>
        <v>3</v>
      </c>
      <c r="G2368" s="22" t="s">
        <v>1585</v>
      </c>
      <c r="H2368" s="11" t="str">
        <f>IFERROR(__xludf.DUMMYFUNCTION("REGEXREPLACE(G2368, ""[^0-9a-zA-Z .'Ã]"","""")"),"Matt Bomer")</f>
        <v>Matt Bomer</v>
      </c>
      <c r="I2368" s="24" t="s">
        <v>7745</v>
      </c>
      <c r="J2368" s="22">
        <v>38202.0</v>
      </c>
      <c r="K2368" s="22" t="s">
        <v>7746</v>
      </c>
      <c r="L2368" s="22">
        <v>135.0</v>
      </c>
      <c r="M2368" s="22" t="s">
        <v>24</v>
      </c>
      <c r="N2368" s="22" t="s">
        <v>25</v>
      </c>
      <c r="O2368" s="23">
        <v>1.48E7</v>
      </c>
      <c r="P2368" s="10">
        <f t="shared" si="2"/>
        <v>51209973</v>
      </c>
      <c r="Q2368" s="12">
        <f t="shared" si="3"/>
        <v>0</v>
      </c>
      <c r="R2368" s="22">
        <v>2015.0</v>
      </c>
      <c r="S2368" s="22">
        <v>5.7</v>
      </c>
    </row>
    <row r="2369" ht="15.75" customHeight="1">
      <c r="A2369" s="17" t="s">
        <v>7747</v>
      </c>
      <c r="B2369" s="8" t="str">
        <f>IFERROR(__xludf.DUMMYFUNCTION("REGEXREPLACE(A2369, ""[^0-9a-zA-Z .'Ã]"","""")"),"George Ratliff")</f>
        <v>George Ratliff</v>
      </c>
      <c r="C2369" s="18">
        <v>48.0</v>
      </c>
      <c r="D2369" s="19">
        <v>27445.0</v>
      </c>
      <c r="E2369" s="18" t="s">
        <v>7748</v>
      </c>
      <c r="F2369" s="9">
        <f t="shared" si="1"/>
        <v>4</v>
      </c>
      <c r="G2369" s="18" t="s">
        <v>995</v>
      </c>
      <c r="H2369" s="11" t="str">
        <f>IFERROR(__xludf.DUMMYFUNCTION("REGEXREPLACE(G2369, ""[^0-9a-zA-Z .'Ã]"","""")"),"Jim Gaffigan")</f>
        <v>Jim Gaffigan</v>
      </c>
      <c r="I2369" s="20" t="s">
        <v>7749</v>
      </c>
      <c r="J2369" s="18">
        <v>3788.0</v>
      </c>
      <c r="K2369" s="18" t="s">
        <v>7750</v>
      </c>
      <c r="L2369" s="18">
        <v>31.0</v>
      </c>
      <c r="M2369" s="18" t="s">
        <v>24</v>
      </c>
      <c r="N2369" s="18" t="s">
        <v>25</v>
      </c>
      <c r="O2369" s="19">
        <v>9000000.0</v>
      </c>
      <c r="P2369" s="10">
        <f t="shared" si="2"/>
        <v>0</v>
      </c>
      <c r="Q2369" s="12">
        <f t="shared" si="3"/>
        <v>8972555</v>
      </c>
      <c r="R2369" s="18">
        <v>2011.0</v>
      </c>
      <c r="S2369" s="18">
        <v>5.3</v>
      </c>
    </row>
    <row r="2370" ht="15.75" customHeight="1">
      <c r="A2370" s="7" t="s">
        <v>7751</v>
      </c>
      <c r="B2370" s="8" t="str">
        <f>IFERROR(__xludf.DUMMYFUNCTION("REGEXREPLACE(A2370, ""[^0-9a-zA-Z .'Ã]"","""")"),"Jeremy Leven")</f>
        <v>Jeremy Leven</v>
      </c>
      <c r="C2370" s="9">
        <v>44.0</v>
      </c>
      <c r="D2370" s="10">
        <v>2.22E7</v>
      </c>
      <c r="E2370" s="9" t="s">
        <v>159</v>
      </c>
      <c r="F2370" s="9">
        <f t="shared" si="1"/>
        <v>3</v>
      </c>
      <c r="G2370" s="9" t="s">
        <v>85</v>
      </c>
      <c r="H2370" s="11" t="str">
        <f>IFERROR(__xludf.DUMMYFUNCTION("REGEXREPLACE(G2370, ""[^0-9a-zA-Z .'Ã]"","""")"),"Johnny Depp")</f>
        <v>Johnny Depp</v>
      </c>
      <c r="I2370" s="11" t="s">
        <v>7752</v>
      </c>
      <c r="J2370" s="9">
        <v>41310.0</v>
      </c>
      <c r="K2370" s="9" t="s">
        <v>7753</v>
      </c>
      <c r="L2370" s="9">
        <v>117.0</v>
      </c>
      <c r="M2370" s="9" t="s">
        <v>24</v>
      </c>
      <c r="N2370" s="9" t="s">
        <v>25</v>
      </c>
      <c r="O2370" s="10">
        <v>2.5E7</v>
      </c>
      <c r="P2370" s="10">
        <f t="shared" si="2"/>
        <v>0</v>
      </c>
      <c r="Q2370" s="12">
        <f t="shared" si="3"/>
        <v>2800000</v>
      </c>
      <c r="R2370" s="9">
        <v>1994.0</v>
      </c>
      <c r="S2370" s="9">
        <v>6.8</v>
      </c>
    </row>
    <row r="2371" ht="15.75" customHeight="1">
      <c r="A2371" s="7" t="s">
        <v>1682</v>
      </c>
      <c r="B2371" s="8" t="str">
        <f>IFERROR(__xludf.DUMMYFUNCTION("REGEXREPLACE(A2371, ""[^0-9a-zA-Z .'Ã]"","""")"),"Paul W.S. Anderson")</f>
        <v>Paul W.S. Anderson</v>
      </c>
      <c r="C2371" s="9">
        <v>253.0</v>
      </c>
      <c r="D2371" s="10">
        <v>6.0128566E7</v>
      </c>
      <c r="E2371" s="9" t="s">
        <v>4528</v>
      </c>
      <c r="F2371" s="9">
        <f t="shared" si="1"/>
        <v>4</v>
      </c>
      <c r="G2371" s="9" t="s">
        <v>65</v>
      </c>
      <c r="H2371" s="11" t="str">
        <f>IFERROR(__xludf.DUMMYFUNCTION("REGEXREPLACE(G2371, ""[^0-9a-zA-Z .'Ã]"","""")"),"Milla Jovovich")</f>
        <v>Milla Jovovich</v>
      </c>
      <c r="I2371" s="11" t="s">
        <v>7754</v>
      </c>
      <c r="J2371" s="9">
        <v>131447.0</v>
      </c>
      <c r="K2371" s="9" t="s">
        <v>7755</v>
      </c>
      <c r="L2371" s="9">
        <v>410.0</v>
      </c>
      <c r="M2371" s="9" t="s">
        <v>24</v>
      </c>
      <c r="N2371" s="9" t="s">
        <v>173</v>
      </c>
      <c r="O2371" s="10">
        <v>6.0E7</v>
      </c>
      <c r="P2371" s="10">
        <f t="shared" si="2"/>
        <v>128566</v>
      </c>
      <c r="Q2371" s="12">
        <f t="shared" si="3"/>
        <v>0</v>
      </c>
      <c r="R2371" s="9">
        <v>2010.0</v>
      </c>
      <c r="S2371" s="9">
        <v>5.9</v>
      </c>
    </row>
    <row r="2372" ht="15.75" customHeight="1">
      <c r="A2372" s="29" t="s">
        <v>5849</v>
      </c>
      <c r="B2372" s="8" t="str">
        <f>IFERROR(__xludf.DUMMYFUNCTION("REGEXREPLACE(A2372, ""[^0-9a-zA-Z .'Ã]"","""")"),"Terrence Malick")</f>
        <v>Terrence Malick</v>
      </c>
      <c r="C2372" s="30">
        <v>222.0</v>
      </c>
      <c r="D2372" s="31">
        <v>1.2712093E7</v>
      </c>
      <c r="E2372" s="30" t="s">
        <v>69</v>
      </c>
      <c r="F2372" s="9">
        <f t="shared" si="1"/>
        <v>4</v>
      </c>
      <c r="G2372" s="30" t="s">
        <v>1579</v>
      </c>
      <c r="H2372" s="11" t="str">
        <f>IFERROR(__xludf.DUMMYFUNCTION("REGEXREPLACE(G2372, ""[^0-9a-zA-Z .'Ã]"","""")"),"Christian Bale")</f>
        <v>Christian Bale</v>
      </c>
      <c r="I2372" s="32" t="s">
        <v>7756</v>
      </c>
      <c r="J2372" s="30">
        <v>70771.0</v>
      </c>
      <c r="K2372" s="30" t="s">
        <v>7757</v>
      </c>
      <c r="L2372" s="30">
        <v>671.0</v>
      </c>
      <c r="M2372" s="30" t="s">
        <v>24</v>
      </c>
      <c r="N2372" s="30" t="s">
        <v>25</v>
      </c>
      <c r="O2372" s="31">
        <v>3.0E7</v>
      </c>
      <c r="P2372" s="10">
        <f t="shared" si="2"/>
        <v>0</v>
      </c>
      <c r="Q2372" s="12">
        <f t="shared" si="3"/>
        <v>17287907</v>
      </c>
      <c r="R2372" s="30">
        <v>2005.0</v>
      </c>
      <c r="S2372" s="30">
        <v>6.7</v>
      </c>
    </row>
    <row r="2373" ht="15.75" customHeight="1">
      <c r="A2373" s="17" t="s">
        <v>2020</v>
      </c>
      <c r="B2373" s="8" t="str">
        <f>IFERROR(__xludf.DUMMYFUNCTION("REGEXREPLACE(A2373, ""[^0-9a-zA-Z .'Ã]"","""")"),"Darren Aronofsky")</f>
        <v>Darren Aronofsky</v>
      </c>
      <c r="C2373" s="18">
        <v>434.0</v>
      </c>
      <c r="D2373" s="19">
        <v>1.01160529E8</v>
      </c>
      <c r="E2373" s="18" t="s">
        <v>3860</v>
      </c>
      <c r="F2373" s="9">
        <f t="shared" si="1"/>
        <v>3</v>
      </c>
      <c r="G2373" s="18" t="s">
        <v>237</v>
      </c>
      <c r="H2373" s="11" t="str">
        <f>IFERROR(__xludf.DUMMYFUNCTION("REGEXREPLACE(G2373, ""[^0-9a-zA-Z .'Ã]"","""")"),"Anthony Hopkins")</f>
        <v>Anthony Hopkins</v>
      </c>
      <c r="I2373" s="20" t="s">
        <v>7758</v>
      </c>
      <c r="J2373" s="18">
        <v>200022.0</v>
      </c>
      <c r="K2373" s="18" t="s">
        <v>7759</v>
      </c>
      <c r="L2373" s="18">
        <v>1240.0</v>
      </c>
      <c r="M2373" s="18" t="s">
        <v>24</v>
      </c>
      <c r="N2373" s="18" t="s">
        <v>25</v>
      </c>
      <c r="O2373" s="19">
        <v>1.25E8</v>
      </c>
      <c r="P2373" s="10">
        <f t="shared" si="2"/>
        <v>0</v>
      </c>
      <c r="Q2373" s="12">
        <f t="shared" si="3"/>
        <v>23839471</v>
      </c>
      <c r="R2373" s="18">
        <v>2014.0</v>
      </c>
      <c r="S2373" s="18">
        <v>5.8</v>
      </c>
    </row>
    <row r="2374" ht="15.75" customHeight="1">
      <c r="A2374" s="7" t="s">
        <v>7760</v>
      </c>
      <c r="B2374" s="8" t="str">
        <f>IFERROR(__xludf.DUMMYFUNCTION("REGEXREPLACE(A2374, ""[^0-9a-zA-Z .'Ã]"","""")"),"Rachel Perkins")</f>
        <v>Rachel Perkins</v>
      </c>
      <c r="C2374" s="9">
        <v>33.0</v>
      </c>
      <c r="D2374" s="10">
        <v>110029.0</v>
      </c>
      <c r="E2374" s="9" t="s">
        <v>6064</v>
      </c>
      <c r="F2374" s="9">
        <f t="shared" si="1"/>
        <v>3</v>
      </c>
      <c r="G2374" s="9" t="s">
        <v>7761</v>
      </c>
      <c r="H2374" s="11" t="str">
        <f>IFERROR(__xludf.DUMMYFUNCTION("REGEXREPLACE(G2374, ""[^0-9a-zA-Z .'Ã]"","""")"),"Deborah Mailman")</f>
        <v>Deborah Mailman</v>
      </c>
      <c r="I2374" s="11" t="s">
        <v>7762</v>
      </c>
      <c r="J2374" s="9">
        <v>1388.0</v>
      </c>
      <c r="K2374" s="9" t="s">
        <v>7763</v>
      </c>
      <c r="L2374" s="9">
        <v>31.0</v>
      </c>
      <c r="M2374" s="9" t="s">
        <v>24</v>
      </c>
      <c r="N2374" s="9" t="s">
        <v>146</v>
      </c>
      <c r="O2374" s="10">
        <v>6500000.0</v>
      </c>
      <c r="P2374" s="10">
        <f t="shared" si="2"/>
        <v>0</v>
      </c>
      <c r="Q2374" s="12">
        <f t="shared" si="3"/>
        <v>6389971</v>
      </c>
      <c r="R2374" s="9">
        <v>2009.0</v>
      </c>
      <c r="S2374" s="9">
        <v>6.3</v>
      </c>
    </row>
    <row r="2375" ht="15.75" customHeight="1">
      <c r="A2375" s="29" t="s">
        <v>959</v>
      </c>
      <c r="B2375" s="8" t="str">
        <f>IFERROR(__xludf.DUMMYFUNCTION("REGEXREPLACE(A2375, ""[^0-9a-zA-Z .'Ã]"","""")"),"Oliver Stone")</f>
        <v>Oliver Stone</v>
      </c>
      <c r="C2375" s="30">
        <v>171.0</v>
      </c>
      <c r="D2375" s="31">
        <v>7.5530832E7</v>
      </c>
      <c r="E2375" s="30" t="s">
        <v>132</v>
      </c>
      <c r="F2375" s="9">
        <f t="shared" si="1"/>
        <v>2</v>
      </c>
      <c r="G2375" s="30" t="s">
        <v>317</v>
      </c>
      <c r="H2375" s="11" t="str">
        <f>IFERROR(__xludf.DUMMYFUNCTION("REGEXREPLACE(G2375, ""[^0-9a-zA-Z .'Ã]"","""")"),"Al Pacino")</f>
        <v>Al Pacino</v>
      </c>
      <c r="I2375" s="32" t="s">
        <v>7764</v>
      </c>
      <c r="J2375" s="30">
        <v>97047.0</v>
      </c>
      <c r="K2375" s="30" t="s">
        <v>7765</v>
      </c>
      <c r="L2375" s="30">
        <v>452.0</v>
      </c>
      <c r="M2375" s="30" t="s">
        <v>24</v>
      </c>
      <c r="N2375" s="30" t="s">
        <v>25</v>
      </c>
      <c r="O2375" s="31">
        <v>5.5E7</v>
      </c>
      <c r="P2375" s="10">
        <f t="shared" si="2"/>
        <v>20530832</v>
      </c>
      <c r="Q2375" s="12">
        <f t="shared" si="3"/>
        <v>0</v>
      </c>
      <c r="R2375" s="30">
        <v>1999.0</v>
      </c>
      <c r="S2375" s="30">
        <v>6.8</v>
      </c>
    </row>
    <row r="2376" ht="15.75" customHeight="1">
      <c r="A2376" s="7" t="s">
        <v>1095</v>
      </c>
      <c r="B2376" s="8" t="str">
        <f>IFERROR(__xludf.DUMMYFUNCTION("REGEXREPLACE(A2376, ""[^0-9a-zA-Z .'Ã]"","""")"),"Renny Harlin")</f>
        <v>Renny Harlin</v>
      </c>
      <c r="C2376" s="9">
        <v>68.0</v>
      </c>
      <c r="D2376" s="10">
        <v>354704.0</v>
      </c>
      <c r="E2376" s="9" t="s">
        <v>873</v>
      </c>
      <c r="F2376" s="9">
        <f t="shared" si="1"/>
        <v>4</v>
      </c>
      <c r="G2376" s="9" t="s">
        <v>484</v>
      </c>
      <c r="H2376" s="11" t="str">
        <f>IFERROR(__xludf.DUMMYFUNCTION("REGEXREPLACE(G2376, ""[^0-9a-zA-Z .'Ã]"","""")"),"Viggo Mortensen")</f>
        <v>Viggo Mortensen</v>
      </c>
      <c r="I2376" s="11" t="s">
        <v>7766</v>
      </c>
      <c r="J2376" s="9">
        <v>2705.0</v>
      </c>
      <c r="K2376" s="9" t="s">
        <v>7767</v>
      </c>
      <c r="L2376" s="9">
        <v>38.0</v>
      </c>
      <c r="M2376" s="9" t="s">
        <v>24</v>
      </c>
      <c r="N2376" s="9" t="s">
        <v>25</v>
      </c>
      <c r="O2376" s="10">
        <v>1300000.0</v>
      </c>
      <c r="P2376" s="10">
        <f t="shared" si="2"/>
        <v>0</v>
      </c>
      <c r="Q2376" s="12">
        <f t="shared" si="3"/>
        <v>945296</v>
      </c>
      <c r="R2376" s="9">
        <v>1987.0</v>
      </c>
      <c r="S2376" s="9">
        <v>5.9</v>
      </c>
    </row>
    <row r="2377" ht="15.75" customHeight="1">
      <c r="A2377" s="7" t="s">
        <v>7410</v>
      </c>
      <c r="B2377" s="8" t="str">
        <f>IFERROR(__xludf.DUMMYFUNCTION("REGEXREPLACE(A2377, ""[^0-9a-zA-Z .'Ã]"","""")"),"Noah Baumbach")</f>
        <v>Noah Baumbach</v>
      </c>
      <c r="C2377" s="9">
        <v>270.0</v>
      </c>
      <c r="D2377" s="10">
        <v>7574066.0</v>
      </c>
      <c r="E2377" s="9" t="s">
        <v>454</v>
      </c>
      <c r="F2377" s="9">
        <f t="shared" si="1"/>
        <v>2</v>
      </c>
      <c r="G2377" s="9" t="s">
        <v>874</v>
      </c>
      <c r="H2377" s="11" t="str">
        <f>IFERROR(__xludf.DUMMYFUNCTION("REGEXREPLACE(G2377, ""[^0-9a-zA-Z .'Ã]"","""")"),"Naomi Watts")</f>
        <v>Naomi Watts</v>
      </c>
      <c r="I2377" s="11" t="s">
        <v>7768</v>
      </c>
      <c r="J2377" s="9">
        <v>30325.0</v>
      </c>
      <c r="K2377" s="9" t="s">
        <v>7769</v>
      </c>
      <c r="L2377" s="9">
        <v>96.0</v>
      </c>
      <c r="M2377" s="9" t="s">
        <v>24</v>
      </c>
      <c r="N2377" s="9" t="s">
        <v>25</v>
      </c>
      <c r="O2377" s="10">
        <v>1.0E7</v>
      </c>
      <c r="P2377" s="10">
        <f t="shared" si="2"/>
        <v>0</v>
      </c>
      <c r="Q2377" s="12">
        <f t="shared" si="3"/>
        <v>2425934</v>
      </c>
      <c r="R2377" s="9">
        <v>2014.0</v>
      </c>
      <c r="S2377" s="9">
        <v>6.3</v>
      </c>
    </row>
    <row r="2378" ht="15.75" customHeight="1">
      <c r="A2378" s="7" t="s">
        <v>2943</v>
      </c>
      <c r="B2378" s="8" t="str">
        <f>IFERROR(__xludf.DUMMYFUNCTION("REGEXREPLACE(A2378, ""[^0-9a-zA-Z .'Ã]"","""")"),"Gary Ross")</f>
        <v>Gary Ross</v>
      </c>
      <c r="C2378" s="9">
        <v>79.0</v>
      </c>
      <c r="D2378" s="10">
        <v>2.0389967E7</v>
      </c>
      <c r="E2378" s="9" t="s">
        <v>7770</v>
      </c>
      <c r="F2378" s="9">
        <f t="shared" si="1"/>
        <v>5</v>
      </c>
      <c r="G2378" s="9" t="s">
        <v>80</v>
      </c>
      <c r="H2378" s="11" t="str">
        <f>IFERROR(__xludf.DUMMYFUNCTION("REGEXREPLACE(G2378, ""[^0-9a-zA-Z .'Ã]"","""")"),"Matthew McConaughey")</f>
        <v>Matthew McConaughey</v>
      </c>
      <c r="I2378" s="11" t="s">
        <v>7771</v>
      </c>
      <c r="J2378" s="9">
        <v>3077.0</v>
      </c>
      <c r="K2378" s="9" t="s">
        <v>7772</v>
      </c>
      <c r="L2378" s="9">
        <v>47.0</v>
      </c>
      <c r="M2378" s="9" t="s">
        <v>24</v>
      </c>
      <c r="N2378" s="9" t="s">
        <v>25</v>
      </c>
      <c r="O2378" s="10">
        <v>5.0E7</v>
      </c>
      <c r="P2378" s="10">
        <f t="shared" si="2"/>
        <v>0</v>
      </c>
      <c r="Q2378" s="12">
        <f t="shared" si="3"/>
        <v>29610033</v>
      </c>
      <c r="R2378" s="9">
        <v>2016.0</v>
      </c>
      <c r="S2378" s="9">
        <v>6.7</v>
      </c>
    </row>
    <row r="2379" ht="15.75" customHeight="1">
      <c r="A2379" s="7" t="s">
        <v>7773</v>
      </c>
      <c r="B2379" s="8" t="str">
        <f>IFERROR(__xludf.DUMMYFUNCTION("REGEXREPLACE(A2379, ""[^0-9a-zA-Z .'Ã]"","""")"),"Courtney Hunt")</f>
        <v>Courtney Hunt</v>
      </c>
      <c r="C2379" s="9">
        <v>181.0</v>
      </c>
      <c r="D2379" s="10">
        <v>2508841.0</v>
      </c>
      <c r="E2379" s="9" t="s">
        <v>54</v>
      </c>
      <c r="F2379" s="9">
        <f t="shared" si="1"/>
        <v>2</v>
      </c>
      <c r="G2379" s="9" t="s">
        <v>6357</v>
      </c>
      <c r="H2379" s="11" t="str">
        <f>IFERROR(__xludf.DUMMYFUNCTION("REGEXREPLACE(G2379, ""[^0-9a-zA-Z .'Ã]"","""")"),"Charlie McDermott")</f>
        <v>Charlie McDermott</v>
      </c>
      <c r="I2379" s="11" t="s">
        <v>7774</v>
      </c>
      <c r="J2379" s="9">
        <v>21746.0</v>
      </c>
      <c r="K2379" s="9" t="s">
        <v>7775</v>
      </c>
      <c r="L2379" s="9">
        <v>93.0</v>
      </c>
      <c r="M2379" s="9" t="s">
        <v>24</v>
      </c>
      <c r="N2379" s="9" t="s">
        <v>25</v>
      </c>
      <c r="O2379" s="10">
        <v>1000000.0</v>
      </c>
      <c r="P2379" s="10">
        <f t="shared" si="2"/>
        <v>1508841</v>
      </c>
      <c r="Q2379" s="12">
        <f t="shared" si="3"/>
        <v>0</v>
      </c>
      <c r="R2379" s="9">
        <v>2008.0</v>
      </c>
      <c r="S2379" s="9">
        <v>7.2</v>
      </c>
    </row>
    <row r="2380" ht="15.75" customHeight="1">
      <c r="A2380" s="7" t="s">
        <v>227</v>
      </c>
      <c r="B2380" s="8" t="str">
        <f>IFERROR(__xludf.DUMMYFUNCTION("REGEXREPLACE(A2380, ""[^0-9a-zA-Z -.'Ã]"","""")"),"Jaume BalaguerÃ")</f>
        <v>Jaume BalaguerÃ</v>
      </c>
      <c r="C2380" s="9">
        <v>222.0</v>
      </c>
      <c r="D2380" s="10">
        <v>27024.0</v>
      </c>
      <c r="E2380" s="9" t="s">
        <v>148</v>
      </c>
      <c r="F2380" s="9">
        <f t="shared" si="1"/>
        <v>1</v>
      </c>
      <c r="G2380" s="9" t="s">
        <v>7776</v>
      </c>
      <c r="H2380" s="11" t="str">
        <f>IFERROR(__xludf.DUMMYFUNCTION("REGEXREPLACE(G2380, ""[^0-9a-zA-Z .'Ã]"","""")"),"Jonathan D. Mellor")</f>
        <v>Jonathan D. Mellor</v>
      </c>
      <c r="I2380" s="11" t="s">
        <v>7777</v>
      </c>
      <c r="J2380" s="9">
        <v>55597.0</v>
      </c>
      <c r="K2380" s="9" t="s">
        <v>7778</v>
      </c>
      <c r="L2380" s="9">
        <v>148.0</v>
      </c>
      <c r="M2380" s="9" t="s">
        <v>1553</v>
      </c>
      <c r="N2380" s="9" t="s">
        <v>1108</v>
      </c>
      <c r="O2380" s="10">
        <v>5600000.0</v>
      </c>
      <c r="P2380" s="10">
        <f t="shared" si="2"/>
        <v>0</v>
      </c>
      <c r="Q2380" s="12">
        <f t="shared" si="3"/>
        <v>5572976</v>
      </c>
      <c r="R2380" s="9">
        <v>2009.0</v>
      </c>
      <c r="S2380" s="9">
        <v>6.6</v>
      </c>
    </row>
    <row r="2381" ht="15.75" customHeight="1">
      <c r="A2381" s="7" t="s">
        <v>7779</v>
      </c>
      <c r="B2381" s="8" t="str">
        <f>IFERROR(__xludf.DUMMYFUNCTION("REGEXREPLACE(A2381, ""[^0-9a-zA-Z .'Ã]"","""")"),"Rawson Marshall Thurber")</f>
        <v>Rawson Marshall Thurber</v>
      </c>
      <c r="C2381" s="9">
        <v>191.0</v>
      </c>
      <c r="D2381" s="10">
        <v>1.14324072E8</v>
      </c>
      <c r="E2381" s="9" t="s">
        <v>3398</v>
      </c>
      <c r="F2381" s="9">
        <f t="shared" si="1"/>
        <v>2</v>
      </c>
      <c r="G2381" s="9" t="s">
        <v>3688</v>
      </c>
      <c r="H2381" s="11" t="str">
        <f>IFERROR(__xludf.DUMMYFUNCTION("REGEXREPLACE(G2381, ""[^0-9a-zA-Z .'Ã]"","""")"),"Gary Cole")</f>
        <v>Gary Cole</v>
      </c>
      <c r="I2381" s="11" t="s">
        <v>7780</v>
      </c>
      <c r="J2381" s="9">
        <v>185345.0</v>
      </c>
      <c r="K2381" s="9" t="s">
        <v>7781</v>
      </c>
      <c r="L2381" s="9">
        <v>392.0</v>
      </c>
      <c r="M2381" s="9" t="s">
        <v>24</v>
      </c>
      <c r="N2381" s="9" t="s">
        <v>25</v>
      </c>
      <c r="O2381" s="10">
        <v>2.0E7</v>
      </c>
      <c r="P2381" s="10">
        <f t="shared" si="2"/>
        <v>94324072</v>
      </c>
      <c r="Q2381" s="12">
        <f t="shared" si="3"/>
        <v>0</v>
      </c>
      <c r="R2381" s="9">
        <v>2004.0</v>
      </c>
      <c r="S2381" s="9">
        <v>6.7</v>
      </c>
    </row>
    <row r="2382" ht="15.75" customHeight="1">
      <c r="A2382" s="21" t="s">
        <v>990</v>
      </c>
      <c r="B2382" s="8" t="str">
        <f>IFERROR(__xludf.DUMMYFUNCTION("REGEXREPLACE(A2382, ""[^0-9a-zA-Z .'Ã]"","""")"),"Malcolm D. Lee")</f>
        <v>Malcolm D. Lee</v>
      </c>
      <c r="C2382" s="22">
        <v>32.0</v>
      </c>
      <c r="D2382" s="23">
        <v>3.4074895E7</v>
      </c>
      <c r="E2382" s="22" t="s">
        <v>454</v>
      </c>
      <c r="F2382" s="9">
        <f t="shared" si="1"/>
        <v>2</v>
      </c>
      <c r="G2382" s="22" t="s">
        <v>3242</v>
      </c>
      <c r="H2382" s="11" t="str">
        <f>IFERROR(__xludf.DUMMYFUNCTION("REGEXREPLACE(G2382, ""[^0-9a-zA-Z .'Ã]"","""")"),"Harold Perrineau")</f>
        <v>Harold Perrineau</v>
      </c>
      <c r="I2382" s="24" t="s">
        <v>7782</v>
      </c>
      <c r="J2382" s="22">
        <v>6525.0</v>
      </c>
      <c r="K2382" s="22" t="s">
        <v>7783</v>
      </c>
      <c r="L2382" s="22">
        <v>79.0</v>
      </c>
      <c r="M2382" s="22" t="s">
        <v>24</v>
      </c>
      <c r="N2382" s="22" t="s">
        <v>25</v>
      </c>
      <c r="O2382" s="23">
        <v>9000000.0</v>
      </c>
      <c r="P2382" s="10">
        <f t="shared" si="2"/>
        <v>25074895</v>
      </c>
      <c r="Q2382" s="12">
        <f t="shared" si="3"/>
        <v>0</v>
      </c>
      <c r="R2382" s="22">
        <v>1999.0</v>
      </c>
      <c r="S2382" s="22">
        <v>6.7</v>
      </c>
    </row>
    <row r="2383" ht="15.75" customHeight="1">
      <c r="A2383" s="21" t="s">
        <v>355</v>
      </c>
      <c r="B2383" s="8" t="str">
        <f>IFERROR(__xludf.DUMMYFUNCTION("REGEXREPLACE(A2383, ""[^0-9a-zA-Z .'Ã]"","""")"),"Antoine Fuqua")</f>
        <v>Antoine Fuqua</v>
      </c>
      <c r="C2383" s="22">
        <v>198.0</v>
      </c>
      <c r="D2383" s="23">
        <v>4.6975183E7</v>
      </c>
      <c r="E2383" s="22" t="s">
        <v>610</v>
      </c>
      <c r="F2383" s="9">
        <f t="shared" si="1"/>
        <v>5</v>
      </c>
      <c r="G2383" s="22" t="s">
        <v>7784</v>
      </c>
      <c r="H2383" s="11" t="str">
        <f>IFERROR(__xludf.DUMMYFUNCTION("REGEXREPLACE(G2383, ""[^0-9a-zA-Z .'Ã]"","""")"),"Tate Donovan")</f>
        <v>Tate Donovan</v>
      </c>
      <c r="I2383" s="24" t="s">
        <v>7785</v>
      </c>
      <c r="J2383" s="22">
        <v>256213.0</v>
      </c>
      <c r="K2383" s="22" t="s">
        <v>7786</v>
      </c>
      <c r="L2383" s="22">
        <v>338.0</v>
      </c>
      <c r="M2383" s="22" t="s">
        <v>24</v>
      </c>
      <c r="N2383" s="22" t="s">
        <v>25</v>
      </c>
      <c r="O2383" s="23">
        <v>6.1E7</v>
      </c>
      <c r="P2383" s="10">
        <f t="shared" si="2"/>
        <v>0</v>
      </c>
      <c r="Q2383" s="12">
        <f t="shared" si="3"/>
        <v>14024817</v>
      </c>
      <c r="R2383" s="22">
        <v>2007.0</v>
      </c>
      <c r="S2383" s="22">
        <v>7.2</v>
      </c>
    </row>
    <row r="2384" ht="15.75" customHeight="1">
      <c r="A2384" s="7" t="s">
        <v>7787</v>
      </c>
      <c r="B2384" s="8" t="str">
        <f>IFERROR(__xludf.DUMMYFUNCTION("REGEXREPLACE(A2384, ""[^0-9a-zA-Z .'Ã]"","""")"),"Catherine Gund")</f>
        <v>Catherine Gund</v>
      </c>
      <c r="C2384" s="9">
        <v>10.0</v>
      </c>
      <c r="D2384" s="10">
        <v>21199.0</v>
      </c>
      <c r="E2384" s="9" t="s">
        <v>7788</v>
      </c>
      <c r="F2384" s="9">
        <f t="shared" si="1"/>
        <v>4</v>
      </c>
      <c r="G2384" s="9" t="s">
        <v>7789</v>
      </c>
      <c r="H2384" s="11" t="str">
        <f>IFERROR(__xludf.DUMMYFUNCTION("REGEXREPLACE(G2384, ""[^0-9a-zA-Z .'Ã]"","""")"),"Elizabeth Streb")</f>
        <v>Elizabeth Streb</v>
      </c>
      <c r="I2384" s="11" t="s">
        <v>7790</v>
      </c>
      <c r="J2384" s="9">
        <v>40.0</v>
      </c>
      <c r="K2384" s="9" t="s">
        <v>7791</v>
      </c>
      <c r="L2384" s="9">
        <v>10.0</v>
      </c>
      <c r="M2384" s="9" t="s">
        <v>24</v>
      </c>
      <c r="N2384" s="9" t="s">
        <v>25</v>
      </c>
      <c r="O2384" s="10">
        <v>500000.0</v>
      </c>
      <c r="P2384" s="10">
        <f t="shared" si="2"/>
        <v>0</v>
      </c>
      <c r="Q2384" s="12">
        <f t="shared" si="3"/>
        <v>478801</v>
      </c>
      <c r="R2384" s="9">
        <v>2014.0</v>
      </c>
      <c r="S2384" s="9">
        <v>6.8</v>
      </c>
    </row>
    <row r="2385" ht="15.75" customHeight="1">
      <c r="A2385" s="17" t="s">
        <v>7792</v>
      </c>
      <c r="B2385" s="8" t="str">
        <f>IFERROR(__xludf.DUMMYFUNCTION("REGEXREPLACE(A2385, ""[^0-9a-zA-Z .'Ã]"","""")"),"Bonnie Hunt")</f>
        <v>Bonnie Hunt</v>
      </c>
      <c r="C2385" s="18">
        <v>106.0</v>
      </c>
      <c r="D2385" s="19">
        <v>3.2662299E7</v>
      </c>
      <c r="E2385" s="18" t="s">
        <v>159</v>
      </c>
      <c r="F2385" s="9">
        <f t="shared" si="1"/>
        <v>3</v>
      </c>
      <c r="G2385" s="18" t="s">
        <v>1397</v>
      </c>
      <c r="H2385" s="11" t="str">
        <f>IFERROR(__xludf.DUMMYFUNCTION("REGEXREPLACE(G2385, ""[^0-9a-zA-Z .'Ã]"","""")"),"Minnie Driver")</f>
        <v>Minnie Driver</v>
      </c>
      <c r="I2385" s="20" t="s">
        <v>7793</v>
      </c>
      <c r="J2385" s="18">
        <v>16469.0</v>
      </c>
      <c r="K2385" s="18" t="s">
        <v>7794</v>
      </c>
      <c r="L2385" s="18">
        <v>275.0</v>
      </c>
      <c r="M2385" s="18" t="s">
        <v>24</v>
      </c>
      <c r="N2385" s="18" t="s">
        <v>25</v>
      </c>
      <c r="O2385" s="19">
        <v>2.4E7</v>
      </c>
      <c r="P2385" s="10">
        <f t="shared" si="2"/>
        <v>8662299</v>
      </c>
      <c r="Q2385" s="12">
        <f t="shared" si="3"/>
        <v>0</v>
      </c>
      <c r="R2385" s="18">
        <v>2000.0</v>
      </c>
      <c r="S2385" s="18">
        <v>6.9</v>
      </c>
    </row>
    <row r="2386" ht="15.75" customHeight="1">
      <c r="A2386" s="25" t="s">
        <v>7795</v>
      </c>
      <c r="B2386" s="8" t="str">
        <f>IFERROR(__xludf.DUMMYFUNCTION("REGEXREPLACE(A2386, ""[^0-9a-zA-Z .'Ã]"","""")"),"Arthur Hiller")</f>
        <v>Arthur Hiller</v>
      </c>
      <c r="C2386" s="26">
        <v>29.0</v>
      </c>
      <c r="D2386" s="27">
        <v>15447.0</v>
      </c>
      <c r="E2386" s="26" t="s">
        <v>137</v>
      </c>
      <c r="F2386" s="9">
        <f t="shared" si="1"/>
        <v>1</v>
      </c>
      <c r="G2386" s="26" t="s">
        <v>2241</v>
      </c>
      <c r="H2386" s="11" t="str">
        <f>IFERROR(__xludf.DUMMYFUNCTION("REGEXREPLACE(G2386, ""[^0-9a-zA-Z .'Ã]"","""")"),"Eric Idle")</f>
        <v>Eric Idle</v>
      </c>
      <c r="I2386" s="28" t="s">
        <v>7796</v>
      </c>
      <c r="J2386" s="26">
        <v>2971.0</v>
      </c>
      <c r="K2386" s="26" t="s">
        <v>7797</v>
      </c>
      <c r="L2386" s="26">
        <v>85.0</v>
      </c>
      <c r="M2386" s="26" t="s">
        <v>24</v>
      </c>
      <c r="N2386" s="26" t="s">
        <v>25</v>
      </c>
      <c r="O2386" s="27">
        <v>1.0E7</v>
      </c>
      <c r="P2386" s="10">
        <f t="shared" si="2"/>
        <v>0</v>
      </c>
      <c r="Q2386" s="12">
        <f t="shared" si="3"/>
        <v>9984553</v>
      </c>
      <c r="R2386" s="26">
        <v>1997.0</v>
      </c>
      <c r="S2386" s="26">
        <v>3.5</v>
      </c>
    </row>
    <row r="2387" ht="15.75" customHeight="1">
      <c r="A2387" s="7" t="s">
        <v>473</v>
      </c>
      <c r="B2387" s="8" t="str">
        <f>IFERROR(__xludf.DUMMYFUNCTION("REGEXREPLACE(A2387, ""[^0-9a-zA-Z .'Ã]"","""")"),"John McTiernan")</f>
        <v>John McTiernan</v>
      </c>
      <c r="C2387" s="9">
        <v>151.0</v>
      </c>
      <c r="D2387" s="10">
        <v>1.8990542E7</v>
      </c>
      <c r="E2387" s="9" t="s">
        <v>7798</v>
      </c>
      <c r="F2387" s="9">
        <f t="shared" si="1"/>
        <v>3</v>
      </c>
      <c r="G2387" s="9" t="s">
        <v>1329</v>
      </c>
      <c r="H2387" s="11" t="str">
        <f>IFERROR(__xludf.DUMMYFUNCTION("REGEXREPLACE(G2387, ""[^0-9a-zA-Z .'Ã]"","""")"),"LL Cool J")</f>
        <v>LL Cool J</v>
      </c>
      <c r="I2387" s="11" t="s">
        <v>7799</v>
      </c>
      <c r="J2387" s="9">
        <v>22264.0</v>
      </c>
      <c r="K2387" s="9" t="s">
        <v>7800</v>
      </c>
      <c r="L2387" s="9">
        <v>289.0</v>
      </c>
      <c r="M2387" s="9" t="s">
        <v>24</v>
      </c>
      <c r="N2387" s="9" t="s">
        <v>25</v>
      </c>
      <c r="O2387" s="10">
        <v>7.0E7</v>
      </c>
      <c r="P2387" s="10">
        <f t="shared" si="2"/>
        <v>0</v>
      </c>
      <c r="Q2387" s="12">
        <f t="shared" si="3"/>
        <v>51009458</v>
      </c>
      <c r="R2387" s="9">
        <v>2002.0</v>
      </c>
      <c r="S2387" s="9">
        <v>3.0</v>
      </c>
    </row>
    <row r="2388" ht="15.75" customHeight="1">
      <c r="A2388" s="7" t="s">
        <v>1278</v>
      </c>
      <c r="B2388" s="8" t="str">
        <f>IFERROR(__xludf.DUMMYFUNCTION("REGEXREPLACE(A2388, ""[^0-9a-zA-Z .'Ã]"","""")"),"Guy Hamilton")</f>
        <v>Guy Hamilton</v>
      </c>
      <c r="C2388" s="9">
        <v>164.0</v>
      </c>
      <c r="D2388" s="10">
        <v>5.11E7</v>
      </c>
      <c r="E2388" s="9" t="s">
        <v>474</v>
      </c>
      <c r="F2388" s="9">
        <f t="shared" si="1"/>
        <v>3</v>
      </c>
      <c r="G2388" s="9" t="s">
        <v>7801</v>
      </c>
      <c r="H2388" s="11" t="str">
        <f>IFERROR(__xludf.DUMMYFUNCTION("REGEXREPLACE(G2388, ""[^0-9a-zA-Z .'Ã]"","""")"),"Honor Blackman")</f>
        <v>Honor Blackman</v>
      </c>
      <c r="I2388" s="11" t="s">
        <v>7802</v>
      </c>
      <c r="J2388" s="9">
        <v>139432.0</v>
      </c>
      <c r="K2388" s="9" t="s">
        <v>7803</v>
      </c>
      <c r="L2388" s="9">
        <v>418.0</v>
      </c>
      <c r="M2388" s="9" t="s">
        <v>24</v>
      </c>
      <c r="N2388" s="9" t="s">
        <v>130</v>
      </c>
      <c r="O2388" s="10">
        <v>3000000.0</v>
      </c>
      <c r="P2388" s="10">
        <f t="shared" si="2"/>
        <v>48100000</v>
      </c>
      <c r="Q2388" s="12">
        <f t="shared" si="3"/>
        <v>0</v>
      </c>
      <c r="R2388" s="9">
        <v>1964.0</v>
      </c>
      <c r="S2388" s="9">
        <v>7.8</v>
      </c>
    </row>
    <row r="2389" ht="15.75" customHeight="1">
      <c r="A2389" s="29" t="s">
        <v>7804</v>
      </c>
      <c r="B2389" s="8" t="str">
        <f>IFERROR(__xludf.DUMMYFUNCTION("REGEXREPLACE(A2389, ""[^0-9a-zA-Z .'Ã]"","""")"),"Kris Isacsson")</f>
        <v>Kris Isacsson</v>
      </c>
      <c r="C2389" s="30">
        <v>64.0</v>
      </c>
      <c r="D2389" s="31">
        <v>2.003531E7</v>
      </c>
      <c r="E2389" s="30" t="s">
        <v>159</v>
      </c>
      <c r="F2389" s="9">
        <f t="shared" si="1"/>
        <v>3</v>
      </c>
      <c r="G2389" s="30" t="s">
        <v>3571</v>
      </c>
      <c r="H2389" s="11" t="str">
        <f>IFERROR(__xludf.DUMMYFUNCTION("REGEXREPLACE(G2389, ""[^0-9a-zA-Z .'Ã]"","""")"),"Rosario Dawson")</f>
        <v>Rosario Dawson</v>
      </c>
      <c r="I2389" s="32" t="s">
        <v>7805</v>
      </c>
      <c r="J2389" s="30">
        <v>12324.0</v>
      </c>
      <c r="K2389" s="30" t="s">
        <v>7806</v>
      </c>
      <c r="L2389" s="30">
        <v>173.0</v>
      </c>
      <c r="M2389" s="30" t="s">
        <v>24</v>
      </c>
      <c r="N2389" s="30" t="s">
        <v>25</v>
      </c>
      <c r="O2389" s="31">
        <v>9000000.0</v>
      </c>
      <c r="P2389" s="10">
        <f t="shared" si="2"/>
        <v>11035310</v>
      </c>
      <c r="Q2389" s="12">
        <f t="shared" si="3"/>
        <v>0</v>
      </c>
      <c r="R2389" s="30">
        <v>2000.0</v>
      </c>
      <c r="S2389" s="30">
        <v>4.9</v>
      </c>
    </row>
    <row r="2390" ht="15.75" customHeight="1">
      <c r="A2390" s="7" t="s">
        <v>7807</v>
      </c>
      <c r="B2390" s="8" t="str">
        <f>IFERROR(__xludf.DUMMYFUNCTION("REGEXREPLACE(A2390, ""[^0-9a-zA-Z .'Ã]"","""")"),"Julian Jarrold")</f>
        <v>Julian Jarrold</v>
      </c>
      <c r="C2390" s="9">
        <v>150.0</v>
      </c>
      <c r="D2390" s="10">
        <v>1.8663911E7</v>
      </c>
      <c r="E2390" s="9" t="s">
        <v>887</v>
      </c>
      <c r="F2390" s="9">
        <f t="shared" si="1"/>
        <v>3</v>
      </c>
      <c r="G2390" s="9" t="s">
        <v>419</v>
      </c>
      <c r="H2390" s="11" t="str">
        <f>IFERROR(__xludf.DUMMYFUNCTION("REGEXREPLACE(G2390, ""[^0-9a-zA-Z .'Ã]"","""")"),"Anne Hathaway")</f>
        <v>Anne Hathaway</v>
      </c>
      <c r="I2390" s="11" t="s">
        <v>7808</v>
      </c>
      <c r="J2390" s="9">
        <v>46204.0</v>
      </c>
      <c r="K2390" s="9" t="s">
        <v>7809</v>
      </c>
      <c r="L2390" s="9">
        <v>151.0</v>
      </c>
      <c r="M2390" s="9" t="s">
        <v>24</v>
      </c>
      <c r="N2390" s="9" t="s">
        <v>130</v>
      </c>
      <c r="O2390" s="10">
        <v>1.65E7</v>
      </c>
      <c r="P2390" s="10">
        <f t="shared" si="2"/>
        <v>2163911</v>
      </c>
      <c r="Q2390" s="12">
        <f t="shared" si="3"/>
        <v>0</v>
      </c>
      <c r="R2390" s="9">
        <v>2007.0</v>
      </c>
      <c r="S2390" s="9">
        <v>7.1</v>
      </c>
    </row>
    <row r="2391" ht="15.75" customHeight="1">
      <c r="A2391" s="29" t="s">
        <v>7810</v>
      </c>
      <c r="B2391" s="8" t="str">
        <f>IFERROR(__xludf.DUMMYFUNCTION("REGEXREPLACE(A2391, ""[^0-9a-zA-Z .'Ã]"","""")"),"Robinson Devor")</f>
        <v>Robinson Devor</v>
      </c>
      <c r="C2391" s="30">
        <v>18.0</v>
      </c>
      <c r="D2391" s="31">
        <v>110720.0</v>
      </c>
      <c r="E2391" s="30" t="s">
        <v>137</v>
      </c>
      <c r="F2391" s="9">
        <f t="shared" si="1"/>
        <v>1</v>
      </c>
      <c r="G2391" s="30" t="s">
        <v>7811</v>
      </c>
      <c r="H2391" s="11" t="str">
        <f>IFERROR(__xludf.DUMMYFUNCTION("REGEXREPLACE(G2391, ""[^0-9a-zA-Z .'Ã]"","""")"),"Marilyn Rising")</f>
        <v>Marilyn Rising</v>
      </c>
      <c r="I2391" s="32" t="s">
        <v>7812</v>
      </c>
      <c r="J2391" s="30">
        <v>524.0</v>
      </c>
      <c r="K2391" s="30" t="s">
        <v>7813</v>
      </c>
      <c r="L2391" s="30">
        <v>22.0</v>
      </c>
      <c r="M2391" s="30" t="s">
        <v>24</v>
      </c>
      <c r="N2391" s="30" t="s">
        <v>25</v>
      </c>
      <c r="O2391" s="31">
        <v>1200000.0</v>
      </c>
      <c r="P2391" s="10">
        <f t="shared" si="2"/>
        <v>0</v>
      </c>
      <c r="Q2391" s="12">
        <f t="shared" si="3"/>
        <v>1089280</v>
      </c>
      <c r="R2391" s="30">
        <v>1999.0</v>
      </c>
      <c r="S2391" s="30">
        <v>7.3</v>
      </c>
    </row>
    <row r="2392" ht="15.75" customHeight="1">
      <c r="A2392" s="25" t="s">
        <v>5884</v>
      </c>
      <c r="B2392" s="8" t="str">
        <f>IFERROR(__xludf.DUMMYFUNCTION("REGEXREPLACE(A2392, ""[^0-9a-zA-Z .'Ã]"","""")"),"Nicole Holofcener")</f>
        <v>Nicole Holofcener</v>
      </c>
      <c r="C2392" s="26">
        <v>111.0</v>
      </c>
      <c r="D2392" s="27">
        <v>1.3367101E7</v>
      </c>
      <c r="E2392" s="26" t="s">
        <v>159</v>
      </c>
      <c r="F2392" s="9">
        <f t="shared" si="1"/>
        <v>3</v>
      </c>
      <c r="G2392" s="26" t="s">
        <v>7814</v>
      </c>
      <c r="H2392" s="11" t="str">
        <f>IFERROR(__xludf.DUMMYFUNCTION("REGEXREPLACE(G2392, ""[^0-9a-zA-Z .'Ã]"","""")"),"Greg Germann")</f>
        <v>Greg Germann</v>
      </c>
      <c r="I2392" s="28" t="s">
        <v>7815</v>
      </c>
      <c r="J2392" s="26">
        <v>19715.0</v>
      </c>
      <c r="K2392" s="26" t="s">
        <v>7816</v>
      </c>
      <c r="L2392" s="26">
        <v>166.0</v>
      </c>
      <c r="M2392" s="26" t="s">
        <v>24</v>
      </c>
      <c r="N2392" s="26" t="s">
        <v>25</v>
      </c>
      <c r="O2392" s="27">
        <v>6500000.0</v>
      </c>
      <c r="P2392" s="10">
        <f t="shared" si="2"/>
        <v>6867101</v>
      </c>
      <c r="Q2392" s="12">
        <f t="shared" si="3"/>
        <v>0</v>
      </c>
      <c r="R2392" s="26">
        <v>2006.0</v>
      </c>
      <c r="S2392" s="26">
        <v>5.9</v>
      </c>
    </row>
    <row r="2393" ht="15.75" customHeight="1">
      <c r="A2393" s="7" t="s">
        <v>4451</v>
      </c>
      <c r="B2393" s="8" t="str">
        <f>IFERROR(__xludf.DUMMYFUNCTION("REGEXREPLACE(A2393, ""[^0-9a-zA-Z .'Ã]"","""")"),"Nancy Meyers")</f>
        <v>Nancy Meyers</v>
      </c>
      <c r="C2393" s="9">
        <v>241.0</v>
      </c>
      <c r="D2393" s="10">
        <v>7.5274748E7</v>
      </c>
      <c r="E2393" s="9" t="s">
        <v>454</v>
      </c>
      <c r="F2393" s="9">
        <f t="shared" si="1"/>
        <v>2</v>
      </c>
      <c r="G2393" s="9" t="s">
        <v>883</v>
      </c>
      <c r="H2393" s="11" t="str">
        <f>IFERROR(__xludf.DUMMYFUNCTION("REGEXREPLACE(G2393, ""[^0-9a-zA-Z .'Ã]"","""")"),"Robert De Niro")</f>
        <v>Robert De Niro</v>
      </c>
      <c r="I2393" s="11" t="s">
        <v>7817</v>
      </c>
      <c r="J2393" s="9">
        <v>130661.0</v>
      </c>
      <c r="K2393" s="9" t="s">
        <v>7818</v>
      </c>
      <c r="L2393" s="9">
        <v>304.0</v>
      </c>
      <c r="M2393" s="9" t="s">
        <v>24</v>
      </c>
      <c r="N2393" s="9" t="s">
        <v>25</v>
      </c>
      <c r="O2393" s="10">
        <v>3.5E7</v>
      </c>
      <c r="P2393" s="10">
        <f t="shared" si="2"/>
        <v>40274748</v>
      </c>
      <c r="Q2393" s="12">
        <f t="shared" si="3"/>
        <v>0</v>
      </c>
      <c r="R2393" s="9">
        <v>2015.0</v>
      </c>
      <c r="S2393" s="9">
        <v>7.2</v>
      </c>
    </row>
    <row r="2394" ht="15.75" customHeight="1">
      <c r="A2394" s="17" t="s">
        <v>2054</v>
      </c>
      <c r="B2394" s="8" t="str">
        <f>IFERROR(__xludf.DUMMYFUNCTION("REGEXREPLACE(A2394, ""[^0-9a-zA-Z .'Ã]"","""")"),"Kevin Costner")</f>
        <v>Kevin Costner</v>
      </c>
      <c r="C2394" s="18">
        <v>153.0</v>
      </c>
      <c r="D2394" s="19">
        <v>5.832868E7</v>
      </c>
      <c r="E2394" s="18" t="s">
        <v>445</v>
      </c>
      <c r="F2394" s="9">
        <f t="shared" si="1"/>
        <v>3</v>
      </c>
      <c r="G2394" s="18" t="s">
        <v>410</v>
      </c>
      <c r="H2394" s="11" t="str">
        <f>IFERROR(__xludf.DUMMYFUNCTION("REGEXREPLACE(G2394, ""[^0-9a-zA-Z .'Ã]"","""")"),"Robert Duvall")</f>
        <v>Robert Duvall</v>
      </c>
      <c r="I2394" s="20" t="s">
        <v>7819</v>
      </c>
      <c r="J2394" s="18">
        <v>54096.0</v>
      </c>
      <c r="K2394" s="18" t="s">
        <v>7820</v>
      </c>
      <c r="L2394" s="18">
        <v>494.0</v>
      </c>
      <c r="M2394" s="18" t="s">
        <v>24</v>
      </c>
      <c r="N2394" s="18" t="s">
        <v>25</v>
      </c>
      <c r="O2394" s="19">
        <v>2.2E7</v>
      </c>
      <c r="P2394" s="10">
        <f t="shared" si="2"/>
        <v>36328680</v>
      </c>
      <c r="Q2394" s="12">
        <f t="shared" si="3"/>
        <v>0</v>
      </c>
      <c r="R2394" s="18">
        <v>2003.0</v>
      </c>
      <c r="S2394" s="18">
        <v>7.5</v>
      </c>
    </row>
    <row r="2395" ht="15.75" customHeight="1">
      <c r="A2395" s="7" t="s">
        <v>7821</v>
      </c>
      <c r="B2395" s="8" t="str">
        <f>IFERROR(__xludf.DUMMYFUNCTION("REGEXREPLACE(A2395, ""[^0-9a-zA-Z .'Ã]"","""")"),"Tony Bill")</f>
        <v>Tony Bill</v>
      </c>
      <c r="C2395" s="9">
        <v>123.0</v>
      </c>
      <c r="D2395" s="10">
        <v>1.3082288E7</v>
      </c>
      <c r="E2395" s="9" t="s">
        <v>7822</v>
      </c>
      <c r="F2395" s="9">
        <f t="shared" si="1"/>
        <v>6</v>
      </c>
      <c r="G2395" s="9" t="s">
        <v>404</v>
      </c>
      <c r="H2395" s="11" t="str">
        <f>IFERROR(__xludf.DUMMYFUNCTION("REGEXREPLACE(G2395, ""[^0-9a-zA-Z .'Ã]"","""")"),"James Franco")</f>
        <v>James Franco</v>
      </c>
      <c r="I2395" s="11" t="s">
        <v>7823</v>
      </c>
      <c r="J2395" s="9">
        <v>35565.0</v>
      </c>
      <c r="K2395" s="9" t="s">
        <v>7824</v>
      </c>
      <c r="L2395" s="9">
        <v>247.0</v>
      </c>
      <c r="M2395" s="9" t="s">
        <v>24</v>
      </c>
      <c r="N2395" s="9" t="s">
        <v>130</v>
      </c>
      <c r="O2395" s="10">
        <v>6.0E7</v>
      </c>
      <c r="P2395" s="10">
        <f t="shared" si="2"/>
        <v>0</v>
      </c>
      <c r="Q2395" s="12">
        <f t="shared" si="3"/>
        <v>46917712</v>
      </c>
      <c r="R2395" s="9">
        <v>2006.0</v>
      </c>
      <c r="S2395" s="9">
        <v>6.6</v>
      </c>
    </row>
    <row r="2396" ht="15.75" customHeight="1">
      <c r="A2396" s="7" t="s">
        <v>410</v>
      </c>
      <c r="B2396" s="8" t="str">
        <f>IFERROR(__xludf.DUMMYFUNCTION("REGEXREPLACE(A2396, ""[^0-9a-zA-Z .'Ã]"","""")"),"Robert Duvall")</f>
        <v>Robert Duvall</v>
      </c>
      <c r="C2396" s="9">
        <v>95.0</v>
      </c>
      <c r="D2396" s="10">
        <v>2.0733485E7</v>
      </c>
      <c r="E2396" s="9" t="s">
        <v>103</v>
      </c>
      <c r="F2396" s="9">
        <f t="shared" si="1"/>
        <v>1</v>
      </c>
      <c r="G2396" s="9" t="s">
        <v>7825</v>
      </c>
      <c r="H2396" s="11" t="str">
        <f>IFERROR(__xludf.DUMMYFUNCTION("REGEXREPLACE(G2396, ""[^0-9a-zA-Z .'Ã]"","""")"),"John Beasley")</f>
        <v>John Beasley</v>
      </c>
      <c r="I2396" s="11" t="s">
        <v>7826</v>
      </c>
      <c r="J2396" s="9">
        <v>11622.0</v>
      </c>
      <c r="K2396" s="9" t="s">
        <v>7827</v>
      </c>
      <c r="L2396" s="9">
        <v>157.0</v>
      </c>
      <c r="M2396" s="9" t="s">
        <v>24</v>
      </c>
      <c r="N2396" s="9" t="s">
        <v>25</v>
      </c>
      <c r="O2396" s="10">
        <v>5000000.0</v>
      </c>
      <c r="P2396" s="10">
        <f t="shared" si="2"/>
        <v>15733485</v>
      </c>
      <c r="Q2396" s="12">
        <f t="shared" si="3"/>
        <v>0</v>
      </c>
      <c r="R2396" s="9">
        <v>1997.0</v>
      </c>
      <c r="S2396" s="9">
        <v>7.2</v>
      </c>
    </row>
    <row r="2397" ht="15.75" customHeight="1">
      <c r="A2397" s="21" t="s">
        <v>7828</v>
      </c>
      <c r="B2397" s="8" t="str">
        <f>IFERROR(__xludf.DUMMYFUNCTION("REGEXREPLACE(A2397, ""[^0-9a-zA-Z .'Ã]"","""")"),"Eugenio Derbez")</f>
        <v>Eugenio Derbez</v>
      </c>
      <c r="C2397" s="22">
        <v>41.0</v>
      </c>
      <c r="D2397" s="23">
        <v>4.4456509E7</v>
      </c>
      <c r="E2397" s="22" t="s">
        <v>454</v>
      </c>
      <c r="F2397" s="9">
        <f t="shared" si="1"/>
        <v>2</v>
      </c>
      <c r="G2397" s="22" t="s">
        <v>7828</v>
      </c>
      <c r="H2397" s="11" t="str">
        <f>IFERROR(__xludf.DUMMYFUNCTION("REGEXREPLACE(G2397, ""[^0-9a-zA-Z .'Ã]"","""")"),"Eugenio Derbez")</f>
        <v>Eugenio Derbez</v>
      </c>
      <c r="I2397" s="24" t="s">
        <v>7829</v>
      </c>
      <c r="J2397" s="22">
        <v>22105.0</v>
      </c>
      <c r="K2397" s="22" t="s">
        <v>7830</v>
      </c>
      <c r="L2397" s="22">
        <v>81.0</v>
      </c>
      <c r="M2397" s="22" t="s">
        <v>1553</v>
      </c>
      <c r="N2397" s="22" t="s">
        <v>1893</v>
      </c>
      <c r="O2397" s="23">
        <v>5000000.0</v>
      </c>
      <c r="P2397" s="10">
        <f t="shared" si="2"/>
        <v>39456509</v>
      </c>
      <c r="Q2397" s="12">
        <f t="shared" si="3"/>
        <v>0</v>
      </c>
      <c r="R2397" s="22">
        <v>2013.0</v>
      </c>
      <c r="S2397" s="22">
        <v>7.6</v>
      </c>
    </row>
    <row r="2398" ht="15.75" customHeight="1">
      <c r="A2398" s="17" t="s">
        <v>6120</v>
      </c>
      <c r="B2398" s="8" t="str">
        <f>IFERROR(__xludf.DUMMYFUNCTION("REGEXREPLACE(A2398, ""[^0-9a-zA-Z .'Ã]"","""")"),"Reginald Hudlin")</f>
        <v>Reginald Hudlin</v>
      </c>
      <c r="C2398" s="18">
        <v>64.0</v>
      </c>
      <c r="D2398" s="19">
        <v>1.6930185E7</v>
      </c>
      <c r="E2398" s="18" t="s">
        <v>89</v>
      </c>
      <c r="F2398" s="9">
        <f t="shared" si="1"/>
        <v>2</v>
      </c>
      <c r="G2398" s="18" t="s">
        <v>5714</v>
      </c>
      <c r="H2398" s="11" t="str">
        <f>IFERROR(__xludf.DUMMYFUNCTION("REGEXREPLACE(G2398, ""[^0-9a-zA-Z .'Ã]"","""")"),"Matthew Perry")</f>
        <v>Matthew Perry</v>
      </c>
      <c r="I2398" s="20" t="s">
        <v>7831</v>
      </c>
      <c r="J2398" s="18">
        <v>14315.0</v>
      </c>
      <c r="K2398" s="18" t="s">
        <v>7832</v>
      </c>
      <c r="L2398" s="18">
        <v>101.0</v>
      </c>
      <c r="M2398" s="18" t="s">
        <v>24</v>
      </c>
      <c r="N2398" s="18" t="s">
        <v>173</v>
      </c>
      <c r="O2398" s="19">
        <v>2.9E7</v>
      </c>
      <c r="P2398" s="10">
        <f t="shared" si="2"/>
        <v>0</v>
      </c>
      <c r="Q2398" s="12">
        <f t="shared" si="3"/>
        <v>12069815</v>
      </c>
      <c r="R2398" s="18">
        <v>2002.0</v>
      </c>
      <c r="S2398" s="18">
        <v>5.3</v>
      </c>
    </row>
    <row r="2399" ht="15.75" customHeight="1">
      <c r="A2399" s="21" t="s">
        <v>7833</v>
      </c>
      <c r="B2399" s="8" t="str">
        <f>IFERROR(__xludf.DUMMYFUNCTION("REGEXREPLACE(A2399, ""[^0-9a-zA-Z .'Ã]"","""")"),"Greg Coolidge")</f>
        <v>Greg Coolidge</v>
      </c>
      <c r="C2399" s="22">
        <v>85.0</v>
      </c>
      <c r="D2399" s="23">
        <v>2.8435406E7</v>
      </c>
      <c r="E2399" s="22" t="s">
        <v>89</v>
      </c>
      <c r="F2399" s="9">
        <f t="shared" si="1"/>
        <v>2</v>
      </c>
      <c r="G2399" s="22" t="s">
        <v>2962</v>
      </c>
      <c r="H2399" s="11" t="str">
        <f>IFERROR(__xludf.DUMMYFUNCTION("REGEXREPLACE(G2399, ""[^0-9a-zA-Z .'Ã]"","""")"),"Dane Cook")</f>
        <v>Dane Cook</v>
      </c>
      <c r="I2399" s="24" t="s">
        <v>7834</v>
      </c>
      <c r="J2399" s="22">
        <v>37681.0</v>
      </c>
      <c r="K2399" s="22" t="s">
        <v>7835</v>
      </c>
      <c r="L2399" s="22">
        <v>151.0</v>
      </c>
      <c r="M2399" s="22" t="s">
        <v>24</v>
      </c>
      <c r="N2399" s="22" t="s">
        <v>25</v>
      </c>
      <c r="O2399" s="23">
        <v>1.2E7</v>
      </c>
      <c r="P2399" s="10">
        <f t="shared" si="2"/>
        <v>16435406</v>
      </c>
      <c r="Q2399" s="12">
        <f t="shared" si="3"/>
        <v>0</v>
      </c>
      <c r="R2399" s="22">
        <v>2006.0</v>
      </c>
      <c r="S2399" s="22">
        <v>5.5</v>
      </c>
    </row>
    <row r="2400" ht="15.75" customHeight="1">
      <c r="A2400" s="17" t="s">
        <v>7836</v>
      </c>
      <c r="B2400" s="8" t="str">
        <f>IFERROR(__xludf.DUMMYFUNCTION("REGEXREPLACE(A2400, ""[^0-9a-zA-Z -.'Ã]"","""")"),"Je-kyu Kang")</f>
        <v>Je-kyu Kang</v>
      </c>
      <c r="C2400" s="18">
        <v>86.0</v>
      </c>
      <c r="D2400" s="19">
        <v>1110186.0</v>
      </c>
      <c r="E2400" s="18" t="s">
        <v>403</v>
      </c>
      <c r="F2400" s="9">
        <f t="shared" si="1"/>
        <v>3</v>
      </c>
      <c r="G2400" s="18" t="s">
        <v>7837</v>
      </c>
      <c r="H2400" s="11" t="str">
        <f>IFERROR(__xludf.DUMMYFUNCTION("REGEXREPLACE(G2400, ""[^0-9a-zA-Z .'Ã]"","""")"),"Minsik Choi")</f>
        <v>Minsik Choi</v>
      </c>
      <c r="I2400" s="20" t="s">
        <v>7838</v>
      </c>
      <c r="J2400" s="18">
        <v>31943.0</v>
      </c>
      <c r="K2400" s="18" t="s">
        <v>7839</v>
      </c>
      <c r="L2400" s="18">
        <v>224.0</v>
      </c>
      <c r="M2400" s="18" t="s">
        <v>1765</v>
      </c>
      <c r="N2400" s="18" t="s">
        <v>1766</v>
      </c>
      <c r="O2400" s="19">
        <v>1.28E7</v>
      </c>
      <c r="P2400" s="10">
        <f t="shared" si="2"/>
        <v>0</v>
      </c>
      <c r="Q2400" s="12">
        <f t="shared" si="3"/>
        <v>11689814</v>
      </c>
      <c r="R2400" s="18">
        <v>2004.0</v>
      </c>
      <c r="S2400" s="18">
        <v>8.1</v>
      </c>
    </row>
    <row r="2401" ht="15.75" customHeight="1">
      <c r="A2401" s="7" t="s">
        <v>68</v>
      </c>
      <c r="B2401" s="8" t="str">
        <f>IFERROR(__xludf.DUMMYFUNCTION("REGEXREPLACE(A2401, ""[^0-9a-zA-Z .'Ã]"","""")"),"Spike Lee")</f>
        <v>Spike Lee</v>
      </c>
      <c r="C2401" s="9">
        <v>230.0</v>
      </c>
      <c r="D2401" s="10">
        <v>8.850464E7</v>
      </c>
      <c r="E2401" s="9" t="s">
        <v>435</v>
      </c>
      <c r="F2401" s="9">
        <f t="shared" si="1"/>
        <v>4</v>
      </c>
      <c r="G2401" s="9" t="s">
        <v>70</v>
      </c>
      <c r="H2401" s="11" t="str">
        <f>IFERROR(__xludf.DUMMYFUNCTION("REGEXREPLACE(G2401, ""[^0-9a-zA-Z .'Ã]"","""")"),"Denzel Washington")</f>
        <v>Denzel Washington</v>
      </c>
      <c r="I2401" s="11" t="s">
        <v>7840</v>
      </c>
      <c r="J2401" s="9">
        <v>273108.0</v>
      </c>
      <c r="K2401" s="9" t="s">
        <v>7841</v>
      </c>
      <c r="L2401" s="9">
        <v>646.0</v>
      </c>
      <c r="M2401" s="9" t="s">
        <v>24</v>
      </c>
      <c r="N2401" s="9" t="s">
        <v>25</v>
      </c>
      <c r="O2401" s="10">
        <v>4.5E7</v>
      </c>
      <c r="P2401" s="10">
        <f t="shared" si="2"/>
        <v>43504640</v>
      </c>
      <c r="Q2401" s="12">
        <f t="shared" si="3"/>
        <v>0</v>
      </c>
      <c r="R2401" s="9">
        <v>2006.0</v>
      </c>
      <c r="S2401" s="9">
        <v>7.6</v>
      </c>
    </row>
    <row r="2402" ht="15.75" customHeight="1">
      <c r="A2402" s="21" t="s">
        <v>7842</v>
      </c>
      <c r="B2402" s="8" t="str">
        <f>IFERROR(__xludf.DUMMYFUNCTION("REGEXREPLACE(A2402, ""[^0-9a-zA-Z .'Ã]"","""")"),"Ben Younger")</f>
        <v>Ben Younger</v>
      </c>
      <c r="C2402" s="22">
        <v>132.0</v>
      </c>
      <c r="D2402" s="23">
        <v>1.6938179E7</v>
      </c>
      <c r="E2402" s="22" t="s">
        <v>113</v>
      </c>
      <c r="F2402" s="9">
        <f t="shared" si="1"/>
        <v>3</v>
      </c>
      <c r="G2402" s="22" t="s">
        <v>917</v>
      </c>
      <c r="H2402" s="11" t="str">
        <f>IFERROR(__xludf.DUMMYFUNCTION("REGEXREPLACE(G2402, ""[^0-9a-zA-Z .'Ã]"","""")"),"Vin Diesel")</f>
        <v>Vin Diesel</v>
      </c>
      <c r="I2402" s="24" t="s">
        <v>7843</v>
      </c>
      <c r="J2402" s="22">
        <v>41313.0</v>
      </c>
      <c r="K2402" s="22" t="s">
        <v>7844</v>
      </c>
      <c r="L2402" s="22">
        <v>246.0</v>
      </c>
      <c r="M2402" s="22" t="s">
        <v>24</v>
      </c>
      <c r="N2402" s="22" t="s">
        <v>25</v>
      </c>
      <c r="O2402" s="23">
        <v>8000000.0</v>
      </c>
      <c r="P2402" s="10">
        <f t="shared" si="2"/>
        <v>8938179</v>
      </c>
      <c r="Q2402" s="12">
        <f t="shared" si="3"/>
        <v>0</v>
      </c>
      <c r="R2402" s="22">
        <v>2000.0</v>
      </c>
      <c r="S2402" s="22">
        <v>7.0</v>
      </c>
    </row>
    <row r="2403" ht="15.75" customHeight="1">
      <c r="A2403" s="17" t="s">
        <v>7845</v>
      </c>
      <c r="B2403" s="8" t="str">
        <f>IFERROR(__xludf.DUMMYFUNCTION("REGEXREPLACE(A2403, ""[^0-9a-zA-Z -.'Ã]"","""")"),"Michael Caton-Jones")</f>
        <v>Michael Caton-Jones</v>
      </c>
      <c r="C2403" s="18">
        <v>83.0</v>
      </c>
      <c r="D2403" s="19">
        <v>5.491056E7</v>
      </c>
      <c r="E2403" s="18" t="s">
        <v>711</v>
      </c>
      <c r="F2403" s="9">
        <f t="shared" si="1"/>
        <v>4</v>
      </c>
      <c r="G2403" s="18" t="s">
        <v>878</v>
      </c>
      <c r="H2403" s="11" t="str">
        <f>IFERROR(__xludf.DUMMYFUNCTION("REGEXREPLACE(G2403, ""[^0-9a-zA-Z .'Ã]"","""")"),"J.K. Simmons")</f>
        <v>J.K. Simmons</v>
      </c>
      <c r="I2403" s="20" t="s">
        <v>7846</v>
      </c>
      <c r="J2403" s="18">
        <v>88225.0</v>
      </c>
      <c r="K2403" s="18" t="s">
        <v>7847</v>
      </c>
      <c r="L2403" s="18">
        <v>227.0</v>
      </c>
      <c r="M2403" s="18" t="s">
        <v>24</v>
      </c>
      <c r="N2403" s="18" t="s">
        <v>25</v>
      </c>
      <c r="O2403" s="19">
        <v>6.0E7</v>
      </c>
      <c r="P2403" s="10">
        <f t="shared" si="2"/>
        <v>0</v>
      </c>
      <c r="Q2403" s="12">
        <f t="shared" si="3"/>
        <v>5089440</v>
      </c>
      <c r="R2403" s="18">
        <v>1997.0</v>
      </c>
      <c r="S2403" s="18">
        <v>6.3</v>
      </c>
    </row>
    <row r="2404" ht="15.75" customHeight="1">
      <c r="A2404" s="21" t="s">
        <v>7848</v>
      </c>
      <c r="B2404" s="8" t="str">
        <f>IFERROR(__xludf.DUMMYFUNCTION("REGEXREPLACE(A2404, ""[^0-9a-zA-Z .'Ã]"","""")"),"Steven Shainberg")</f>
        <v>Steven Shainberg</v>
      </c>
      <c r="C2404" s="22">
        <v>163.0</v>
      </c>
      <c r="D2404" s="23">
        <v>4046737.0</v>
      </c>
      <c r="E2404" s="22" t="s">
        <v>159</v>
      </c>
      <c r="F2404" s="9">
        <f t="shared" si="1"/>
        <v>3</v>
      </c>
      <c r="G2404" s="22" t="s">
        <v>7135</v>
      </c>
      <c r="H2404" s="11" t="str">
        <f>IFERROR(__xludf.DUMMYFUNCTION("REGEXREPLACE(G2404, ""[^0-9a-zA-Z .'Ã]"","""")"),"Jeremy Davies")</f>
        <v>Jeremy Davies</v>
      </c>
      <c r="I2404" s="24" t="s">
        <v>7849</v>
      </c>
      <c r="J2404" s="22">
        <v>67949.0</v>
      </c>
      <c r="K2404" s="22" t="s">
        <v>7850</v>
      </c>
      <c r="L2404" s="22">
        <v>390.0</v>
      </c>
      <c r="M2404" s="22" t="s">
        <v>24</v>
      </c>
      <c r="N2404" s="22" t="s">
        <v>25</v>
      </c>
      <c r="O2404" s="23">
        <v>4000000.0</v>
      </c>
      <c r="P2404" s="10">
        <f t="shared" si="2"/>
        <v>46737</v>
      </c>
      <c r="Q2404" s="12">
        <f t="shared" si="3"/>
        <v>0</v>
      </c>
      <c r="R2404" s="22">
        <v>2002.0</v>
      </c>
      <c r="S2404" s="22">
        <v>7.1</v>
      </c>
    </row>
    <row r="2405" ht="15.75" customHeight="1">
      <c r="A2405" s="7" t="s">
        <v>7851</v>
      </c>
      <c r="B2405" s="8" t="str">
        <f>IFERROR(__xludf.DUMMYFUNCTION("REGEXREPLACE(A2405, ""[^0-9a-zA-Z .'Ã]"","""")"),"Spencer Susser")</f>
        <v>Spencer Susser</v>
      </c>
      <c r="C2405" s="9">
        <v>134.0</v>
      </c>
      <c r="D2405" s="10">
        <v>382946.0</v>
      </c>
      <c r="E2405" s="9" t="s">
        <v>103</v>
      </c>
      <c r="F2405" s="9">
        <f t="shared" si="1"/>
        <v>1</v>
      </c>
      <c r="G2405" s="9" t="s">
        <v>764</v>
      </c>
      <c r="H2405" s="11" t="str">
        <f>IFERROR(__xludf.DUMMYFUNCTION("REGEXREPLACE(G2405, ""[^0-9a-zA-Z .'Ã]"","""")"),"Joseph GordonLevitt")</f>
        <v>Joseph GordonLevitt</v>
      </c>
      <c r="I2405" s="11" t="s">
        <v>7852</v>
      </c>
      <c r="J2405" s="9">
        <v>43965.0</v>
      </c>
      <c r="K2405" s="9" t="s">
        <v>7853</v>
      </c>
      <c r="L2405" s="9">
        <v>99.0</v>
      </c>
      <c r="M2405" s="9" t="s">
        <v>24</v>
      </c>
      <c r="N2405" s="9" t="s">
        <v>25</v>
      </c>
      <c r="O2405" s="10">
        <v>7000000.0</v>
      </c>
      <c r="P2405" s="10">
        <f t="shared" si="2"/>
        <v>0</v>
      </c>
      <c r="Q2405" s="12">
        <f t="shared" si="3"/>
        <v>6617054</v>
      </c>
      <c r="R2405" s="9">
        <v>2010.0</v>
      </c>
      <c r="S2405" s="9">
        <v>7.1</v>
      </c>
    </row>
    <row r="2406" ht="15.75" customHeight="1">
      <c r="A2406" s="13" t="s">
        <v>7854</v>
      </c>
      <c r="B2406" s="8" t="str">
        <f>IFERROR(__xludf.DUMMYFUNCTION("REGEXREPLACE(A2406, ""[^0-9a-zA-Z .'Ã]"","""")"),"Sarah Smith")</f>
        <v>Sarah Smith</v>
      </c>
      <c r="C2406" s="14">
        <v>190.0</v>
      </c>
      <c r="D2406" s="15">
        <v>4.6440491E7</v>
      </c>
      <c r="E2406" s="14" t="s">
        <v>301</v>
      </c>
      <c r="F2406" s="9">
        <f t="shared" si="1"/>
        <v>5</v>
      </c>
      <c r="G2406" s="14" t="s">
        <v>1846</v>
      </c>
      <c r="H2406" s="11" t="str">
        <f>IFERROR(__xludf.DUMMYFUNCTION("REGEXREPLACE(G2406, ""[^0-9a-zA-Z .'Ã]"","""")"),"Jim Broadbent")</f>
        <v>Jim Broadbent</v>
      </c>
      <c r="I2406" s="16" t="s">
        <v>7855</v>
      </c>
      <c r="J2406" s="14">
        <v>35446.0</v>
      </c>
      <c r="K2406" s="14" t="s">
        <v>7856</v>
      </c>
      <c r="L2406" s="14">
        <v>78.0</v>
      </c>
      <c r="M2406" s="14" t="s">
        <v>24</v>
      </c>
      <c r="N2406" s="14" t="s">
        <v>130</v>
      </c>
      <c r="O2406" s="15">
        <v>1.0E8</v>
      </c>
      <c r="P2406" s="10">
        <f t="shared" si="2"/>
        <v>0</v>
      </c>
      <c r="Q2406" s="12">
        <f t="shared" si="3"/>
        <v>53559509</v>
      </c>
      <c r="R2406" s="14">
        <v>2011.0</v>
      </c>
      <c r="S2406" s="14">
        <v>7.1</v>
      </c>
    </row>
    <row r="2407" ht="15.75" customHeight="1">
      <c r="A2407" s="13" t="s">
        <v>760</v>
      </c>
      <c r="B2407" s="8" t="str">
        <f>IFERROR(__xludf.DUMMYFUNCTION("REGEXREPLACE(A2407, ""[^0-9a-zA-Z .'Ã]"","""")"),"Martin Scorsese")</f>
        <v>Martin Scorsese</v>
      </c>
      <c r="C2407" s="14">
        <v>133.0</v>
      </c>
      <c r="D2407" s="15">
        <v>4.24383E7</v>
      </c>
      <c r="E2407" s="14" t="s">
        <v>1774</v>
      </c>
      <c r="F2407" s="9">
        <f t="shared" si="1"/>
        <v>3</v>
      </c>
      <c r="G2407" s="14" t="s">
        <v>883</v>
      </c>
      <c r="H2407" s="11" t="str">
        <f>IFERROR(__xludf.DUMMYFUNCTION("REGEXREPLACE(G2407, ""[^0-9a-zA-Z .'Ã]"","""")"),"Robert De Niro")</f>
        <v>Robert De Niro</v>
      </c>
      <c r="I2407" s="16" t="s">
        <v>7857</v>
      </c>
      <c r="J2407" s="14">
        <v>333542.0</v>
      </c>
      <c r="K2407" s="14" t="s">
        <v>7858</v>
      </c>
      <c r="L2407" s="14">
        <v>533.0</v>
      </c>
      <c r="M2407" s="14" t="s">
        <v>24</v>
      </c>
      <c r="N2407" s="14" t="s">
        <v>25</v>
      </c>
      <c r="O2407" s="15">
        <v>5.2E7</v>
      </c>
      <c r="P2407" s="10">
        <f t="shared" si="2"/>
        <v>0</v>
      </c>
      <c r="Q2407" s="12">
        <f t="shared" si="3"/>
        <v>9561700</v>
      </c>
      <c r="R2407" s="14">
        <v>1995.0</v>
      </c>
      <c r="S2407" s="14">
        <v>8.2</v>
      </c>
    </row>
    <row r="2408" ht="15.75" customHeight="1">
      <c r="A2408" s="17" t="s">
        <v>7859</v>
      </c>
      <c r="B2408" s="8" t="str">
        <f>IFERROR(__xludf.DUMMYFUNCTION("REGEXREPLACE(A2408, ""[^0-9a-zA-Z .'Ã]"","""")"),"Timur Bekmambetov")</f>
        <v>Timur Bekmambetov</v>
      </c>
      <c r="C2408" s="18">
        <v>232.0</v>
      </c>
      <c r="D2408" s="19">
        <v>1487477.0</v>
      </c>
      <c r="E2408" s="18" t="s">
        <v>7860</v>
      </c>
      <c r="F2408" s="9">
        <f t="shared" si="1"/>
        <v>2</v>
      </c>
      <c r="G2408" s="18" t="s">
        <v>7861</v>
      </c>
      <c r="H2408" s="11" t="str">
        <f>IFERROR(__xludf.DUMMYFUNCTION("REGEXREPLACE(G2408, ""[^0-9a-zA-Z .'Ã]"","""")"),"Konstantin Khabenskiy")</f>
        <v>Konstantin Khabenskiy</v>
      </c>
      <c r="I2408" s="20" t="s">
        <v>7862</v>
      </c>
      <c r="J2408" s="18">
        <v>47097.0</v>
      </c>
      <c r="K2408" s="18" t="s">
        <v>7863</v>
      </c>
      <c r="L2408" s="18">
        <v>310.0</v>
      </c>
      <c r="M2408" s="18" t="s">
        <v>7864</v>
      </c>
      <c r="N2408" s="18" t="s">
        <v>7865</v>
      </c>
      <c r="O2408" s="19">
        <v>4200000.0</v>
      </c>
      <c r="P2408" s="10">
        <f t="shared" si="2"/>
        <v>0</v>
      </c>
      <c r="Q2408" s="12">
        <f t="shared" si="3"/>
        <v>2712523</v>
      </c>
      <c r="R2408" s="18">
        <v>2004.0</v>
      </c>
      <c r="S2408" s="18">
        <v>6.5</v>
      </c>
    </row>
    <row r="2409" ht="15.75" customHeight="1">
      <c r="A2409" s="21" t="s">
        <v>2371</v>
      </c>
      <c r="B2409" s="8" t="str">
        <f>IFERROR(__xludf.DUMMYFUNCTION("REGEXREPLACE(A2409, ""[^0-9a-zA-Z .'Ã]"","""")"),"Sydney Pollack")</f>
        <v>Sydney Pollack</v>
      </c>
      <c r="C2409" s="22">
        <v>66.0</v>
      </c>
      <c r="D2409" s="23">
        <v>8.71E7</v>
      </c>
      <c r="E2409" s="22" t="s">
        <v>887</v>
      </c>
      <c r="F2409" s="9">
        <f t="shared" si="1"/>
        <v>3</v>
      </c>
      <c r="G2409" s="22" t="s">
        <v>1941</v>
      </c>
      <c r="H2409" s="11" t="str">
        <f>IFERROR(__xludf.DUMMYFUNCTION("REGEXREPLACE(G2409, ""[^0-9a-zA-Z .'Ã]"","""")"),"Meryl Streep")</f>
        <v>Meryl Streep</v>
      </c>
      <c r="I2409" s="24" t="s">
        <v>7866</v>
      </c>
      <c r="J2409" s="22">
        <v>52339.0</v>
      </c>
      <c r="K2409" s="22" t="s">
        <v>7867</v>
      </c>
      <c r="L2409" s="22">
        <v>200.0</v>
      </c>
      <c r="M2409" s="22" t="s">
        <v>24</v>
      </c>
      <c r="N2409" s="22" t="s">
        <v>25</v>
      </c>
      <c r="O2409" s="23">
        <v>3.1E7</v>
      </c>
      <c r="P2409" s="10">
        <f t="shared" si="2"/>
        <v>56100000</v>
      </c>
      <c r="Q2409" s="12">
        <f t="shared" si="3"/>
        <v>0</v>
      </c>
      <c r="R2409" s="22">
        <v>1985.0</v>
      </c>
      <c r="S2409" s="22">
        <v>7.2</v>
      </c>
    </row>
    <row r="2410" ht="15.75" customHeight="1">
      <c r="A2410" s="7" t="s">
        <v>7868</v>
      </c>
      <c r="B2410" s="8" t="str">
        <f>IFERROR(__xludf.DUMMYFUNCTION("REGEXREPLACE(A2410, ""[^0-9a-zA-Z .'Ã]"","""")"),"David Webb Peoples")</f>
        <v>David Webb Peoples</v>
      </c>
      <c r="C2410" s="9">
        <v>21.0</v>
      </c>
      <c r="D2410" s="10">
        <v>882290.0</v>
      </c>
      <c r="E2410" s="9" t="s">
        <v>7798</v>
      </c>
      <c r="F2410" s="9">
        <f t="shared" si="1"/>
        <v>3</v>
      </c>
      <c r="G2410" s="9" t="s">
        <v>869</v>
      </c>
      <c r="H2410" s="11" t="str">
        <f>IFERROR(__xludf.DUMMYFUNCTION("REGEXREPLACE(G2410, ""[^0-9a-zA-Z .'Ã]"","""")"),"Delroy Lindo")</f>
        <v>Delroy Lindo</v>
      </c>
      <c r="I2410" s="11" t="s">
        <v>7869</v>
      </c>
      <c r="J2410" s="9">
        <v>4792.0</v>
      </c>
      <c r="K2410" s="9" t="s">
        <v>7870</v>
      </c>
      <c r="L2410" s="9">
        <v>43.0</v>
      </c>
      <c r="M2410" s="9" t="s">
        <v>24</v>
      </c>
      <c r="N2410" s="9" t="s">
        <v>146</v>
      </c>
      <c r="O2410" s="10">
        <v>1.0E7</v>
      </c>
      <c r="P2410" s="10">
        <f t="shared" si="2"/>
        <v>0</v>
      </c>
      <c r="Q2410" s="12">
        <f t="shared" si="3"/>
        <v>9117710</v>
      </c>
      <c r="R2410" s="9">
        <v>1989.0</v>
      </c>
      <c r="S2410" s="9">
        <v>6.5</v>
      </c>
    </row>
    <row r="2411" ht="15.75" customHeight="1">
      <c r="A2411" s="17" t="s">
        <v>7871</v>
      </c>
      <c r="B2411" s="8" t="str">
        <f>IFERROR(__xludf.DUMMYFUNCTION("REGEXREPLACE(A2411, ""[^0-9a-zA-Z .'Ã]"","""")"),"Alan Parker")</f>
        <v>Alan Parker</v>
      </c>
      <c r="C2411" s="18">
        <v>99.0</v>
      </c>
      <c r="D2411" s="19">
        <v>1.303866E7</v>
      </c>
      <c r="E2411" s="18" t="s">
        <v>103</v>
      </c>
      <c r="F2411" s="9">
        <f t="shared" si="1"/>
        <v>1</v>
      </c>
      <c r="G2411" s="18" t="s">
        <v>6817</v>
      </c>
      <c r="H2411" s="11" t="str">
        <f>IFERROR(__xludf.DUMMYFUNCTION("REGEXREPLACE(G2411, ""[^0-9a-zA-Z .'Ã]"","""")"),"Emily Watson")</f>
        <v>Emily Watson</v>
      </c>
      <c r="I2411" s="20" t="s">
        <v>7872</v>
      </c>
      <c r="J2411" s="18">
        <v>16995.0</v>
      </c>
      <c r="K2411" s="18" t="s">
        <v>7873</v>
      </c>
      <c r="L2411" s="18">
        <v>163.0</v>
      </c>
      <c r="M2411" s="18" t="s">
        <v>24</v>
      </c>
      <c r="N2411" s="18" t="s">
        <v>25</v>
      </c>
      <c r="O2411" s="19">
        <v>2.5E7</v>
      </c>
      <c r="P2411" s="10">
        <f t="shared" si="2"/>
        <v>0</v>
      </c>
      <c r="Q2411" s="12">
        <f t="shared" si="3"/>
        <v>11961340</v>
      </c>
      <c r="R2411" s="18">
        <v>1999.0</v>
      </c>
      <c r="S2411" s="18">
        <v>7.3</v>
      </c>
    </row>
    <row r="2412" ht="15.75" customHeight="1">
      <c r="A2412" s="7" t="s">
        <v>7874</v>
      </c>
      <c r="B2412" s="8" t="str">
        <f>IFERROR(__xludf.DUMMYFUNCTION("REGEXREPLACE(A2412, ""[^0-9a-zA-Z .'Ã]"","""")"),"Michael Tollin")</f>
        <v>Michael Tollin</v>
      </c>
      <c r="C2412" s="9">
        <v>74.0</v>
      </c>
      <c r="D2412" s="10">
        <v>5.2277485E7</v>
      </c>
      <c r="E2412" s="9" t="s">
        <v>1124</v>
      </c>
      <c r="F2412" s="9">
        <f t="shared" si="1"/>
        <v>3</v>
      </c>
      <c r="G2412" s="9" t="s">
        <v>3363</v>
      </c>
      <c r="H2412" s="11" t="str">
        <f>IFERROR(__xludf.DUMMYFUNCTION("REGEXREPLACE(G2412, ""[^0-9a-zA-Z .'Ã]"","""")"),"Alfre Woodard")</f>
        <v>Alfre Woodard</v>
      </c>
      <c r="I2412" s="11" t="s">
        <v>7875</v>
      </c>
      <c r="J2412" s="9">
        <v>32370.0</v>
      </c>
      <c r="K2412" s="9" t="s">
        <v>7876</v>
      </c>
      <c r="L2412" s="9">
        <v>196.0</v>
      </c>
      <c r="M2412" s="9" t="s">
        <v>24</v>
      </c>
      <c r="N2412" s="9" t="s">
        <v>25</v>
      </c>
      <c r="O2412" s="10">
        <v>3.5E7</v>
      </c>
      <c r="P2412" s="10">
        <f t="shared" si="2"/>
        <v>17277485</v>
      </c>
      <c r="Q2412" s="12">
        <f t="shared" si="3"/>
        <v>0</v>
      </c>
      <c r="R2412" s="9">
        <v>2003.0</v>
      </c>
      <c r="S2412" s="9">
        <v>6.9</v>
      </c>
    </row>
    <row r="2413" ht="15.75" customHeight="1">
      <c r="A2413" s="7" t="s">
        <v>125</v>
      </c>
      <c r="B2413" s="8" t="str">
        <f>IFERROR(__xludf.DUMMYFUNCTION("REGEXREPLACE(A2413, ""[^0-9a-zA-Z .'Ã]"","""")"),"Edgar Wright")</f>
        <v>Edgar Wright</v>
      </c>
      <c r="C2413" s="9">
        <v>246.0</v>
      </c>
      <c r="D2413" s="10">
        <v>1.3464388E7</v>
      </c>
      <c r="E2413" s="9" t="s">
        <v>364</v>
      </c>
      <c r="F2413" s="9">
        <f t="shared" si="1"/>
        <v>2</v>
      </c>
      <c r="G2413" s="9" t="s">
        <v>7877</v>
      </c>
      <c r="H2413" s="11" t="str">
        <f>IFERROR(__xludf.DUMMYFUNCTION("REGEXREPLACE(G2413, ""[^0-9a-zA-Z .'Ã]"","""")"),"Peter Serafinowicz")</f>
        <v>Peter Serafinowicz</v>
      </c>
      <c r="I2413" s="11" t="s">
        <v>7878</v>
      </c>
      <c r="J2413" s="9">
        <v>395921.0</v>
      </c>
      <c r="K2413" s="9" t="s">
        <v>7879</v>
      </c>
      <c r="L2413" s="9">
        <v>859.0</v>
      </c>
      <c r="M2413" s="9" t="s">
        <v>24</v>
      </c>
      <c r="N2413" s="9" t="s">
        <v>130</v>
      </c>
      <c r="O2413" s="10">
        <v>4000000.0</v>
      </c>
      <c r="P2413" s="10">
        <f t="shared" si="2"/>
        <v>9464388</v>
      </c>
      <c r="Q2413" s="12">
        <f t="shared" si="3"/>
        <v>0</v>
      </c>
      <c r="R2413" s="9">
        <v>2004.0</v>
      </c>
      <c r="S2413" s="9">
        <v>8.0</v>
      </c>
    </row>
    <row r="2414" ht="15.75" customHeight="1">
      <c r="A2414" s="7" t="s">
        <v>7880</v>
      </c>
      <c r="B2414" s="8" t="str">
        <f>IFERROR(__xludf.DUMMYFUNCTION("REGEXREPLACE(A2414, ""[^0-9a-zA-Z .'Ã]"","""")"),"Jeffrey W. Byrd")</f>
        <v>Jeffrey W. Byrd</v>
      </c>
      <c r="C2414" s="9">
        <v>23.0</v>
      </c>
      <c r="D2414" s="10">
        <v>4006906.0</v>
      </c>
      <c r="E2414" s="9" t="s">
        <v>440</v>
      </c>
      <c r="F2414" s="9">
        <f t="shared" si="1"/>
        <v>2</v>
      </c>
      <c r="G2414" s="9" t="s">
        <v>7881</v>
      </c>
      <c r="H2414" s="11" t="str">
        <f>IFERROR(__xludf.DUMMYFUNCTION("REGEXREPLACE(G2414, ""[^0-9a-zA-Z .'Ã]"","""")"),"Donald Faison")</f>
        <v>Donald Faison</v>
      </c>
      <c r="I2414" s="11" t="s">
        <v>7882</v>
      </c>
      <c r="J2414" s="9">
        <v>3229.0</v>
      </c>
      <c r="K2414" s="9" t="s">
        <v>7883</v>
      </c>
      <c r="L2414" s="9">
        <v>20.0</v>
      </c>
      <c r="M2414" s="9" t="s">
        <v>24</v>
      </c>
      <c r="N2414" s="9" t="s">
        <v>25</v>
      </c>
      <c r="O2414" s="10">
        <v>1.5E7</v>
      </c>
      <c r="P2414" s="10">
        <f t="shared" si="2"/>
        <v>0</v>
      </c>
      <c r="Q2414" s="12">
        <f t="shared" si="3"/>
        <v>10993094</v>
      </c>
      <c r="R2414" s="9">
        <v>2005.0</v>
      </c>
      <c r="S2414" s="9">
        <v>4.1</v>
      </c>
    </row>
    <row r="2415" ht="15.75" customHeight="1">
      <c r="A2415" s="7" t="s">
        <v>7884</v>
      </c>
      <c r="B2415" s="8" t="str">
        <f>IFERROR(__xludf.DUMMYFUNCTION("REGEXREPLACE(A2415, ""[^0-9a-zA-Z .'Ã]"","""")"),"Michael McGowan")</f>
        <v>Michael McGowan</v>
      </c>
      <c r="C2415" s="9">
        <v>47.0</v>
      </c>
      <c r="D2415" s="10">
        <v>795126.0</v>
      </c>
      <c r="E2415" s="9" t="s">
        <v>6923</v>
      </c>
      <c r="F2415" s="9">
        <f t="shared" si="1"/>
        <v>3</v>
      </c>
      <c r="G2415" s="9" t="s">
        <v>2309</v>
      </c>
      <c r="H2415" s="11" t="str">
        <f>IFERROR(__xludf.DUMMYFUNCTION("REGEXREPLACE(G2415, ""[^0-9a-zA-Z .'Ã]"","""")"),"Campbell Scott")</f>
        <v>Campbell Scott</v>
      </c>
      <c r="I2415" s="11" t="s">
        <v>7885</v>
      </c>
      <c r="J2415" s="9">
        <v>4976.0</v>
      </c>
      <c r="K2415" s="9" t="s">
        <v>7886</v>
      </c>
      <c r="L2415" s="9">
        <v>52.0</v>
      </c>
      <c r="M2415" s="9" t="s">
        <v>24</v>
      </c>
      <c r="N2415" s="9" t="s">
        <v>624</v>
      </c>
      <c r="O2415" s="10">
        <v>6000000.0</v>
      </c>
      <c r="P2415" s="10">
        <f t="shared" si="2"/>
        <v>0</v>
      </c>
      <c r="Q2415" s="12">
        <f t="shared" si="3"/>
        <v>5204874</v>
      </c>
      <c r="R2415" s="9">
        <v>2004.0</v>
      </c>
      <c r="S2415" s="9">
        <v>7.6</v>
      </c>
    </row>
    <row r="2416" ht="15.75" customHeight="1">
      <c r="A2416" s="7" t="s">
        <v>7887</v>
      </c>
      <c r="B2416" s="8" t="str">
        <f>IFERROR(__xludf.DUMMYFUNCTION("REGEXREPLACE(A2416, ""[^0-9a-zA-Z .'Ã]"","""")"),"Peter Kosminsky")</f>
        <v>Peter Kosminsky</v>
      </c>
      <c r="C2416" s="9">
        <v>103.0</v>
      </c>
      <c r="D2416" s="10">
        <v>1.6346122E7</v>
      </c>
      <c r="E2416" s="9" t="s">
        <v>103</v>
      </c>
      <c r="F2416" s="9">
        <f t="shared" si="1"/>
        <v>1</v>
      </c>
      <c r="G2416" s="9" t="s">
        <v>7888</v>
      </c>
      <c r="H2416" s="11" t="str">
        <f>IFERROR(__xludf.DUMMYFUNCTION("REGEXREPLACE(G2416, ""[^0-9a-zA-Z .'Ã]"","""")"),"Patrick Fugit")</f>
        <v>Patrick Fugit</v>
      </c>
      <c r="I2416" s="11" t="s">
        <v>7889</v>
      </c>
      <c r="J2416" s="9">
        <v>25549.0</v>
      </c>
      <c r="K2416" s="9" t="s">
        <v>7890</v>
      </c>
      <c r="L2416" s="9">
        <v>171.0</v>
      </c>
      <c r="M2416" s="9" t="s">
        <v>24</v>
      </c>
      <c r="N2416" s="9" t="s">
        <v>25</v>
      </c>
      <c r="O2416" s="10">
        <v>1.6E7</v>
      </c>
      <c r="P2416" s="10">
        <f t="shared" si="2"/>
        <v>346122</v>
      </c>
      <c r="Q2416" s="12">
        <f t="shared" si="3"/>
        <v>0</v>
      </c>
      <c r="R2416" s="9">
        <v>2002.0</v>
      </c>
      <c r="S2416" s="9">
        <v>7.2</v>
      </c>
    </row>
    <row r="2417" ht="15.75" customHeight="1">
      <c r="A2417" s="7" t="s">
        <v>3667</v>
      </c>
      <c r="B2417" s="8" t="str">
        <f>IFERROR(__xludf.DUMMYFUNCTION("REGEXREPLACE(A2417, ""[^0-9a-zA-Z .'Ã]"","""")"),"Fernando Meirelles")</f>
        <v>Fernando Meirelles</v>
      </c>
      <c r="C2417" s="9">
        <v>226.0</v>
      </c>
      <c r="D2417" s="10">
        <v>3.3565375E7</v>
      </c>
      <c r="E2417" s="9" t="s">
        <v>1025</v>
      </c>
      <c r="F2417" s="9">
        <f t="shared" si="1"/>
        <v>4</v>
      </c>
      <c r="G2417" s="9" t="s">
        <v>1596</v>
      </c>
      <c r="H2417" s="11" t="str">
        <f>IFERROR(__xludf.DUMMYFUNCTION("REGEXREPLACE(G2417, ""[^0-9a-zA-Z .'Ã]"","""")"),"Archie Panjabi")</f>
        <v>Archie Panjabi</v>
      </c>
      <c r="I2417" s="11" t="s">
        <v>7891</v>
      </c>
      <c r="J2417" s="9">
        <v>111351.0</v>
      </c>
      <c r="K2417" s="9" t="s">
        <v>7892</v>
      </c>
      <c r="L2417" s="9">
        <v>568.0</v>
      </c>
      <c r="M2417" s="9" t="s">
        <v>24</v>
      </c>
      <c r="N2417" s="9" t="s">
        <v>130</v>
      </c>
      <c r="O2417" s="10">
        <v>1.5E7</v>
      </c>
      <c r="P2417" s="10">
        <f t="shared" si="2"/>
        <v>18565375</v>
      </c>
      <c r="Q2417" s="12">
        <f t="shared" si="3"/>
        <v>0</v>
      </c>
      <c r="R2417" s="9">
        <v>2005.0</v>
      </c>
      <c r="S2417" s="9">
        <v>7.5</v>
      </c>
    </row>
    <row r="2418" ht="15.75" customHeight="1">
      <c r="A2418" s="7" t="s">
        <v>7893</v>
      </c>
      <c r="B2418" s="8" t="str">
        <f>IFERROR(__xludf.DUMMYFUNCTION("REGEXREPLACE(A2418, ""[^0-9a-zA-Z .'Ã]"","""")"),"Rick Friedberg")</f>
        <v>Rick Friedberg</v>
      </c>
      <c r="C2418" s="9">
        <v>27.0</v>
      </c>
      <c r="D2418" s="10">
        <v>2.6906039E7</v>
      </c>
      <c r="E2418" s="9" t="s">
        <v>968</v>
      </c>
      <c r="F2418" s="9">
        <f t="shared" si="1"/>
        <v>2</v>
      </c>
      <c r="G2418" s="9" t="s">
        <v>7894</v>
      </c>
      <c r="H2418" s="11" t="str">
        <f>IFERROR(__xludf.DUMMYFUNCTION("REGEXREPLACE(G2418, ""[^0-9a-zA-Z .'Ã]"","""")"),"Hulk Hogan")</f>
        <v>Hulk Hogan</v>
      </c>
      <c r="I2418" s="11" t="s">
        <v>7895</v>
      </c>
      <c r="J2418" s="9">
        <v>29621.0</v>
      </c>
      <c r="K2418" s="9" t="s">
        <v>7896</v>
      </c>
      <c r="L2418" s="9">
        <v>76.0</v>
      </c>
      <c r="M2418" s="9" t="s">
        <v>24</v>
      </c>
      <c r="N2418" s="9" t="s">
        <v>25</v>
      </c>
      <c r="O2418" s="10">
        <v>1.8E7</v>
      </c>
      <c r="P2418" s="10">
        <f t="shared" si="2"/>
        <v>8906039</v>
      </c>
      <c r="Q2418" s="12">
        <f t="shared" si="3"/>
        <v>0</v>
      </c>
      <c r="R2418" s="9">
        <v>1996.0</v>
      </c>
      <c r="S2418" s="9">
        <v>5.3</v>
      </c>
    </row>
    <row r="2419" ht="15.75" customHeight="1">
      <c r="A2419" s="7" t="s">
        <v>7897</v>
      </c>
      <c r="B2419" s="8" t="str">
        <f>IFERROR(__xludf.DUMMYFUNCTION("REGEXREPLACE(A2419, ""[^0-9a-zA-Z -.'Ã]"","""")"),"Chan-wook Park")</f>
        <v>Chan-wook Park</v>
      </c>
      <c r="C2419" s="9">
        <v>469.0</v>
      </c>
      <c r="D2419" s="10">
        <v>1702277.0</v>
      </c>
      <c r="E2419" s="9" t="s">
        <v>369</v>
      </c>
      <c r="F2419" s="9">
        <f t="shared" si="1"/>
        <v>2</v>
      </c>
      <c r="G2419" s="9" t="s">
        <v>7898</v>
      </c>
      <c r="H2419" s="11" t="str">
        <f>IFERROR(__xludf.DUMMYFUNCTION("REGEXREPLACE(G2419, ""[^0-9a-zA-Z .'Ã]"","""")"),"Mia Wasikowska")</f>
        <v>Mia Wasikowska</v>
      </c>
      <c r="I2419" s="11" t="s">
        <v>7899</v>
      </c>
      <c r="J2419" s="9">
        <v>84620.0</v>
      </c>
      <c r="K2419" s="9" t="s">
        <v>7900</v>
      </c>
      <c r="L2419" s="9">
        <v>235.0</v>
      </c>
      <c r="M2419" s="9" t="s">
        <v>24</v>
      </c>
      <c r="N2419" s="9" t="s">
        <v>130</v>
      </c>
      <c r="O2419" s="10">
        <v>1.2E7</v>
      </c>
      <c r="P2419" s="10">
        <f t="shared" si="2"/>
        <v>0</v>
      </c>
      <c r="Q2419" s="12">
        <f t="shared" si="3"/>
        <v>10297723</v>
      </c>
      <c r="R2419" s="9">
        <v>2013.0</v>
      </c>
      <c r="S2419" s="9">
        <v>6.8</v>
      </c>
    </row>
    <row r="2420" ht="15.75" customHeight="1">
      <c r="A2420" s="7" t="s">
        <v>7901</v>
      </c>
      <c r="B2420" s="8" t="str">
        <f>IFERROR(__xludf.DUMMYFUNCTION("REGEXREPLACE(A2420, ""[^0-9a-zA-Z .'Ã]"","""")"),"Luis Llosa")</f>
        <v>Luis Llosa</v>
      </c>
      <c r="C2420" s="9">
        <v>38.0</v>
      </c>
      <c r="D2420" s="10">
        <v>5.7362581E7</v>
      </c>
      <c r="E2420" s="9" t="s">
        <v>164</v>
      </c>
      <c r="F2420" s="9">
        <f t="shared" si="1"/>
        <v>5</v>
      </c>
      <c r="G2420" s="9" t="s">
        <v>2532</v>
      </c>
      <c r="H2420" s="11" t="str">
        <f>IFERROR(__xludf.DUMMYFUNCTION("REGEXREPLACE(G2420, ""[^0-9a-zA-Z .'Ã]"","""")"),"Sylvester Stallone")</f>
        <v>Sylvester Stallone</v>
      </c>
      <c r="I2420" s="11" t="s">
        <v>7902</v>
      </c>
      <c r="J2420" s="9">
        <v>50148.0</v>
      </c>
      <c r="K2420" s="9" t="s">
        <v>7903</v>
      </c>
      <c r="L2420" s="9">
        <v>116.0</v>
      </c>
      <c r="M2420" s="9" t="s">
        <v>24</v>
      </c>
      <c r="N2420" s="9" t="s">
        <v>7904</v>
      </c>
      <c r="O2420" s="10">
        <v>4.5E7</v>
      </c>
      <c r="P2420" s="10">
        <f t="shared" si="2"/>
        <v>12362581</v>
      </c>
      <c r="Q2420" s="12">
        <f t="shared" si="3"/>
        <v>0</v>
      </c>
      <c r="R2420" s="9">
        <v>1994.0</v>
      </c>
      <c r="S2420" s="9">
        <v>5.4</v>
      </c>
    </row>
    <row r="2421" ht="15.75" customHeight="1">
      <c r="A2421" s="25" t="s">
        <v>315</v>
      </c>
      <c r="B2421" s="8" t="str">
        <f>IFERROR(__xludf.DUMMYFUNCTION("REGEXREPLACE(A2421, ""[^0-9a-zA-Z .'Ã]"","""")"),"Steven Soderbergh")</f>
        <v>Steven Soderbergh</v>
      </c>
      <c r="C2421" s="26">
        <v>183.0</v>
      </c>
      <c r="D2421" s="27">
        <v>1304837.0</v>
      </c>
      <c r="E2421" s="26" t="s">
        <v>311</v>
      </c>
      <c r="F2421" s="9">
        <f t="shared" si="1"/>
        <v>3</v>
      </c>
      <c r="G2421" s="26" t="s">
        <v>3272</v>
      </c>
      <c r="H2421" s="11" t="str">
        <f>IFERROR(__xludf.DUMMYFUNCTION("REGEXREPLACE(G2421, ""[^0-9a-zA-Z .'Ã]"","""")"),"Tony Curran")</f>
        <v>Tony Curran</v>
      </c>
      <c r="I2421" s="28" t="s">
        <v>7905</v>
      </c>
      <c r="J2421" s="26">
        <v>21481.0</v>
      </c>
      <c r="K2421" s="26" t="s">
        <v>7906</v>
      </c>
      <c r="L2421" s="26">
        <v>175.0</v>
      </c>
      <c r="M2421" s="26" t="s">
        <v>24</v>
      </c>
      <c r="N2421" s="26" t="s">
        <v>25</v>
      </c>
      <c r="O2421" s="27">
        <v>3.2E7</v>
      </c>
      <c r="P2421" s="10">
        <f t="shared" si="2"/>
        <v>0</v>
      </c>
      <c r="Q2421" s="12">
        <f t="shared" si="3"/>
        <v>30695163</v>
      </c>
      <c r="R2421" s="26">
        <v>2006.0</v>
      </c>
      <c r="S2421" s="26">
        <v>6.1</v>
      </c>
    </row>
    <row r="2422" ht="15.75" customHeight="1">
      <c r="A2422" s="21" t="s">
        <v>1482</v>
      </c>
      <c r="B2422" s="8" t="str">
        <f>IFERROR(__xludf.DUMMYFUNCTION("REGEXREPLACE(A2422, ""[^0-9a-zA-Z .'Ã]"","""")"),"Roger Donaldson")</f>
        <v>Roger Donaldson</v>
      </c>
      <c r="C2422" s="22">
        <v>162.0</v>
      </c>
      <c r="D2422" s="23">
        <v>3.4566746E7</v>
      </c>
      <c r="E2422" s="22" t="s">
        <v>960</v>
      </c>
      <c r="F2422" s="9">
        <f t="shared" si="1"/>
        <v>3</v>
      </c>
      <c r="G2422" s="22" t="s">
        <v>3555</v>
      </c>
      <c r="H2422" s="11" t="str">
        <f>IFERROR(__xludf.DUMMYFUNCTION("REGEXREPLACE(G2422, ""[^0-9a-zA-Z .'Ã]"","""")"),"Bruce Greenwood")</f>
        <v>Bruce Greenwood</v>
      </c>
      <c r="I2422" s="24" t="s">
        <v>7907</v>
      </c>
      <c r="J2422" s="22">
        <v>45231.0</v>
      </c>
      <c r="K2422" s="22" t="s">
        <v>7908</v>
      </c>
      <c r="L2422" s="22">
        <v>315.0</v>
      </c>
      <c r="M2422" s="22" t="s">
        <v>24</v>
      </c>
      <c r="N2422" s="22" t="s">
        <v>25</v>
      </c>
      <c r="O2422" s="23">
        <v>8.0E7</v>
      </c>
      <c r="P2422" s="10">
        <f t="shared" si="2"/>
        <v>0</v>
      </c>
      <c r="Q2422" s="12">
        <f t="shared" si="3"/>
        <v>45433254</v>
      </c>
      <c r="R2422" s="22">
        <v>2000.0</v>
      </c>
      <c r="S2422" s="22">
        <v>7.3</v>
      </c>
    </row>
    <row r="2423" ht="15.75" customHeight="1">
      <c r="A2423" s="13" t="s">
        <v>1655</v>
      </c>
      <c r="B2423" s="8" t="str">
        <f>IFERROR(__xludf.DUMMYFUNCTION("REGEXREPLACE(A2423, ""[^0-9a-zA-Z .'Ã]"","""")"),"Francis Ford Coppola")</f>
        <v>Francis Ford Coppola</v>
      </c>
      <c r="C2423" s="14">
        <v>149.0</v>
      </c>
      <c r="D2423" s="15">
        <v>5.73E7</v>
      </c>
      <c r="E2423" s="14" t="s">
        <v>54</v>
      </c>
      <c r="F2423" s="9">
        <f t="shared" si="1"/>
        <v>2</v>
      </c>
      <c r="G2423" s="14" t="s">
        <v>883</v>
      </c>
      <c r="H2423" s="11" t="str">
        <f>IFERROR(__xludf.DUMMYFUNCTION("REGEXREPLACE(G2423, ""[^0-9a-zA-Z .'Ã]"","""")"),"Robert De Niro")</f>
        <v>Robert De Niro</v>
      </c>
      <c r="I2423" s="16" t="s">
        <v>7909</v>
      </c>
      <c r="J2423" s="14">
        <v>790926.0</v>
      </c>
      <c r="K2423" s="14" t="s">
        <v>7910</v>
      </c>
      <c r="L2423" s="14">
        <v>650.0</v>
      </c>
      <c r="M2423" s="14" t="s">
        <v>24</v>
      </c>
      <c r="N2423" s="14" t="s">
        <v>25</v>
      </c>
      <c r="O2423" s="15">
        <v>1.3E7</v>
      </c>
      <c r="P2423" s="10">
        <f t="shared" si="2"/>
        <v>44300000</v>
      </c>
      <c r="Q2423" s="12">
        <f t="shared" si="3"/>
        <v>0</v>
      </c>
      <c r="R2423" s="14">
        <v>1974.0</v>
      </c>
      <c r="S2423" s="14">
        <v>9.0</v>
      </c>
    </row>
    <row r="2424" ht="15.75" customHeight="1">
      <c r="A2424" s="7" t="s">
        <v>7911</v>
      </c>
      <c r="B2424" s="8" t="str">
        <f>IFERROR(__xludf.DUMMYFUNCTION("REGEXREPLACE(A2424, ""[^0-9a-zA-Z .'Ã]"","""")"),"Kay Pollak")</f>
        <v>Kay Pollak</v>
      </c>
      <c r="C2424" s="9">
        <v>34.0</v>
      </c>
      <c r="D2424" s="10">
        <v>9910.0</v>
      </c>
      <c r="E2424" s="9" t="s">
        <v>1009</v>
      </c>
      <c r="F2424" s="9">
        <f t="shared" si="1"/>
        <v>4</v>
      </c>
      <c r="G2424" s="9" t="s">
        <v>7912</v>
      </c>
      <c r="H2424" s="11" t="str">
        <f>IFERROR(__xludf.DUMMYFUNCTION("REGEXREPLACE(G2424, ""[^0-9a-zA-Z .'Ã]"","""")"),"Michael Nyqvist")</f>
        <v>Michael Nyqvist</v>
      </c>
      <c r="I2424" s="11" t="s">
        <v>7913</v>
      </c>
      <c r="J2424" s="9">
        <v>13543.0</v>
      </c>
      <c r="K2424" s="9" t="s">
        <v>7914</v>
      </c>
      <c r="L2424" s="9">
        <v>94.0</v>
      </c>
      <c r="M2424" s="9" t="s">
        <v>7915</v>
      </c>
      <c r="N2424" s="9" t="s">
        <v>7916</v>
      </c>
      <c r="O2424" s="10">
        <v>2.5E7</v>
      </c>
      <c r="P2424" s="10">
        <f t="shared" si="2"/>
        <v>0</v>
      </c>
      <c r="Q2424" s="12">
        <f t="shared" si="3"/>
        <v>24990090</v>
      </c>
      <c r="R2424" s="9">
        <v>2004.0</v>
      </c>
      <c r="S2424" s="9">
        <v>7.6</v>
      </c>
    </row>
    <row r="2425" ht="15.75" customHeight="1">
      <c r="A2425" s="7" t="s">
        <v>68</v>
      </c>
      <c r="B2425" s="8" t="str">
        <f>IFERROR(__xludf.DUMMYFUNCTION("REGEXREPLACE(A2425, ""[^0-9a-zA-Z .'Ã]"","""")"),"Spike Lee")</f>
        <v>Spike Lee</v>
      </c>
      <c r="C2425" s="9">
        <v>85.0</v>
      </c>
      <c r="D2425" s="10">
        <v>1.9283782E7</v>
      </c>
      <c r="E2425" s="9" t="s">
        <v>810</v>
      </c>
      <c r="F2425" s="9">
        <f t="shared" si="1"/>
        <v>4</v>
      </c>
      <c r="G2425" s="9" t="s">
        <v>1076</v>
      </c>
      <c r="H2425" s="11" t="str">
        <f>IFERROR(__xludf.DUMMYFUNCTION("REGEXREPLACE(G2425, ""[^0-9a-zA-Z .'Ã]"","""")"),"Mira Sorvino")</f>
        <v>Mira Sorvino</v>
      </c>
      <c r="I2425" s="11" t="s">
        <v>7917</v>
      </c>
      <c r="J2425" s="9">
        <v>31227.0</v>
      </c>
      <c r="K2425" s="9" t="s">
        <v>7918</v>
      </c>
      <c r="L2425" s="9">
        <v>354.0</v>
      </c>
      <c r="M2425" s="9" t="s">
        <v>24</v>
      </c>
      <c r="N2425" s="9" t="s">
        <v>25</v>
      </c>
      <c r="O2425" s="10">
        <v>2.2E7</v>
      </c>
      <c r="P2425" s="10">
        <f t="shared" si="2"/>
        <v>0</v>
      </c>
      <c r="Q2425" s="12">
        <f t="shared" si="3"/>
        <v>2716218</v>
      </c>
      <c r="R2425" s="9">
        <v>1999.0</v>
      </c>
      <c r="S2425" s="9">
        <v>6.6</v>
      </c>
    </row>
    <row r="2426" ht="15.75" customHeight="1">
      <c r="A2426" s="25" t="s">
        <v>7919</v>
      </c>
      <c r="B2426" s="8" t="str">
        <f>IFERROR(__xludf.DUMMYFUNCTION("REGEXREPLACE(A2426, ""[^0-9a-zA-Z .'Ã]"","""")"),"Bruce McDonald")</f>
        <v>Bruce McDonald</v>
      </c>
      <c r="C2426" s="26">
        <v>178.0</v>
      </c>
      <c r="D2426" s="27">
        <v>3478.0</v>
      </c>
      <c r="E2426" s="26" t="s">
        <v>1235</v>
      </c>
      <c r="F2426" s="9">
        <f t="shared" si="1"/>
        <v>2</v>
      </c>
      <c r="G2426" s="26" t="s">
        <v>7920</v>
      </c>
      <c r="H2426" s="11" t="str">
        <f>IFERROR(__xludf.DUMMYFUNCTION("REGEXREPLACE(G2426, ""[^0-9a-zA-Z .'Ã]"","""")"),"Stephen McHattie")</f>
        <v>Stephen McHattie</v>
      </c>
      <c r="I2426" s="28" t="s">
        <v>7921</v>
      </c>
      <c r="J2426" s="26">
        <v>22212.0</v>
      </c>
      <c r="K2426" s="26" t="s">
        <v>7922</v>
      </c>
      <c r="L2426" s="26">
        <v>142.0</v>
      </c>
      <c r="M2426" s="26" t="s">
        <v>24</v>
      </c>
      <c r="N2426" s="26" t="s">
        <v>624</v>
      </c>
      <c r="O2426" s="27">
        <v>1500000.0</v>
      </c>
      <c r="P2426" s="10">
        <f t="shared" si="2"/>
        <v>0</v>
      </c>
      <c r="Q2426" s="12">
        <f t="shared" si="3"/>
        <v>1496522</v>
      </c>
      <c r="R2426" s="26">
        <v>2008.0</v>
      </c>
      <c r="S2426" s="26">
        <v>6.7</v>
      </c>
    </row>
    <row r="2427" ht="15.75" customHeight="1">
      <c r="A2427" s="21" t="s">
        <v>723</v>
      </c>
      <c r="B2427" s="8" t="str">
        <f>IFERROR(__xludf.DUMMYFUNCTION("REGEXREPLACE(A2427, ""[^0-9a-zA-Z .'Ã]"","""")"),"Robert Rodriguez")</f>
        <v>Robert Rodriguez</v>
      </c>
      <c r="C2427" s="22">
        <v>260.0</v>
      </c>
      <c r="D2427" s="23">
        <v>7268659.0</v>
      </c>
      <c r="E2427" s="22" t="s">
        <v>790</v>
      </c>
      <c r="F2427" s="9">
        <f t="shared" si="1"/>
        <v>4</v>
      </c>
      <c r="G2427" s="22" t="s">
        <v>2380</v>
      </c>
      <c r="H2427" s="11" t="str">
        <f>IFERROR(__xludf.DUMMYFUNCTION("REGEXREPLACE(G2427, ""[^0-9a-zA-Z .'Ã]"","""")"),"Alexa PenaVega")</f>
        <v>Alexa PenaVega</v>
      </c>
      <c r="I2427" s="24" t="s">
        <v>7923</v>
      </c>
      <c r="J2427" s="22">
        <v>59248.0</v>
      </c>
      <c r="K2427" s="22" t="s">
        <v>7924</v>
      </c>
      <c r="L2427" s="22">
        <v>164.0</v>
      </c>
      <c r="M2427" s="22" t="s">
        <v>24</v>
      </c>
      <c r="N2427" s="22" t="s">
        <v>7865</v>
      </c>
      <c r="O2427" s="23">
        <v>2.0E7</v>
      </c>
      <c r="P2427" s="10">
        <f t="shared" si="2"/>
        <v>0</v>
      </c>
      <c r="Q2427" s="12">
        <f t="shared" si="3"/>
        <v>12731341</v>
      </c>
      <c r="R2427" s="22">
        <v>2013.0</v>
      </c>
      <c r="S2427" s="22">
        <v>5.6</v>
      </c>
    </row>
    <row r="2428" ht="15.75" customHeight="1">
      <c r="A2428" s="29" t="s">
        <v>7925</v>
      </c>
      <c r="B2428" s="8" t="str">
        <f>IFERROR(__xludf.DUMMYFUNCTION("REGEXREPLACE(A2428, ""[^0-9a-zA-Z .'Ã]"","""")"),"John Bonito")</f>
        <v>John Bonito</v>
      </c>
      <c r="C2428" s="30">
        <v>78.0</v>
      </c>
      <c r="D2428" s="31">
        <v>1.8843314E7</v>
      </c>
      <c r="E2428" s="30" t="s">
        <v>175</v>
      </c>
      <c r="F2428" s="9">
        <f t="shared" si="1"/>
        <v>3</v>
      </c>
      <c r="G2428" s="30" t="s">
        <v>7926</v>
      </c>
      <c r="H2428" s="11" t="str">
        <f>IFERROR(__xludf.DUMMYFUNCTION("REGEXREPLACE(G2428, ""[^0-9a-zA-Z .'Ã]"","""")"),"Kelly Carlson")</f>
        <v>Kelly Carlson</v>
      </c>
      <c r="I2428" s="32" t="s">
        <v>7927</v>
      </c>
      <c r="J2428" s="30">
        <v>27486.0</v>
      </c>
      <c r="K2428" s="30" t="s">
        <v>7928</v>
      </c>
      <c r="L2428" s="30">
        <v>284.0</v>
      </c>
      <c r="M2428" s="30" t="s">
        <v>24</v>
      </c>
      <c r="N2428" s="30" t="s">
        <v>25</v>
      </c>
      <c r="O2428" s="31">
        <v>2.0E7</v>
      </c>
      <c r="P2428" s="10">
        <f t="shared" si="2"/>
        <v>0</v>
      </c>
      <c r="Q2428" s="12">
        <f t="shared" si="3"/>
        <v>1156686</v>
      </c>
      <c r="R2428" s="30">
        <v>2006.0</v>
      </c>
      <c r="S2428" s="30">
        <v>4.7</v>
      </c>
    </row>
    <row r="2429" ht="15.75" customHeight="1">
      <c r="A2429" s="17" t="s">
        <v>838</v>
      </c>
      <c r="B2429" s="8" t="str">
        <f>IFERROR(__xludf.DUMMYFUNCTION("REGEXREPLACE(A2429, ""[^0-9a-zA-Z .'Ã]"","""")"),"John Glen")</f>
        <v>John Glen</v>
      </c>
      <c r="C2429" s="18">
        <v>106.0</v>
      </c>
      <c r="D2429" s="19">
        <v>6.79E7</v>
      </c>
      <c r="E2429" s="18" t="s">
        <v>474</v>
      </c>
      <c r="F2429" s="9">
        <f t="shared" si="1"/>
        <v>3</v>
      </c>
      <c r="G2429" s="18" t="s">
        <v>7929</v>
      </c>
      <c r="H2429" s="11" t="str">
        <f>IFERROR(__xludf.DUMMYFUNCTION("REGEXREPLACE(G2429, ""[^0-9a-zA-Z .'Ã]"","""")"),"Louis Jourdan")</f>
        <v>Louis Jourdan</v>
      </c>
      <c r="I2429" s="20" t="s">
        <v>7930</v>
      </c>
      <c r="J2429" s="18">
        <v>74374.0</v>
      </c>
      <c r="K2429" s="18" t="s">
        <v>7931</v>
      </c>
      <c r="L2429" s="18">
        <v>225.0</v>
      </c>
      <c r="M2429" s="18" t="s">
        <v>24</v>
      </c>
      <c r="N2429" s="18" t="s">
        <v>130</v>
      </c>
      <c r="O2429" s="19">
        <v>2.75E7</v>
      </c>
      <c r="P2429" s="10">
        <f t="shared" si="2"/>
        <v>40400000</v>
      </c>
      <c r="Q2429" s="12">
        <f t="shared" si="3"/>
        <v>0</v>
      </c>
      <c r="R2429" s="18">
        <v>1983.0</v>
      </c>
      <c r="S2429" s="18">
        <v>6.6</v>
      </c>
    </row>
    <row r="2430" ht="15.75" customHeight="1">
      <c r="A2430" s="29" t="s">
        <v>7932</v>
      </c>
      <c r="B2430" s="8" t="str">
        <f>IFERROR(__xludf.DUMMYFUNCTION("REGEXREPLACE(A2430, ""[^0-9a-zA-Z .'Ã]"","""")"),"Anthony Russo")</f>
        <v>Anthony Russo</v>
      </c>
      <c r="C2430" s="30">
        <v>576.0</v>
      </c>
      <c r="D2430" s="31">
        <v>2.59746958E8</v>
      </c>
      <c r="E2430" s="30" t="s">
        <v>185</v>
      </c>
      <c r="F2430" s="9">
        <f t="shared" si="1"/>
        <v>3</v>
      </c>
      <c r="G2430" s="30" t="s">
        <v>436</v>
      </c>
      <c r="H2430" s="11" t="str">
        <f>IFERROR(__xludf.DUMMYFUNCTION("REGEXREPLACE(G2430, ""[^0-9a-zA-Z .'Ã]"","""")"),"Scarlett Johansson")</f>
        <v>Scarlett Johansson</v>
      </c>
      <c r="I2430" s="32" t="s">
        <v>7933</v>
      </c>
      <c r="J2430" s="30">
        <v>496749.0</v>
      </c>
      <c r="K2430" s="30" t="s">
        <v>7934</v>
      </c>
      <c r="L2430" s="30">
        <v>742.0</v>
      </c>
      <c r="M2430" s="30" t="s">
        <v>24</v>
      </c>
      <c r="N2430" s="30" t="s">
        <v>25</v>
      </c>
      <c r="O2430" s="31">
        <v>1.7E8</v>
      </c>
      <c r="P2430" s="10">
        <f t="shared" si="2"/>
        <v>89746958</v>
      </c>
      <c r="Q2430" s="12">
        <f t="shared" si="3"/>
        <v>0</v>
      </c>
      <c r="R2430" s="30">
        <v>2014.0</v>
      </c>
      <c r="S2430" s="30">
        <v>7.8</v>
      </c>
    </row>
    <row r="2431" ht="15.75" customHeight="1">
      <c r="A2431" s="25" t="s">
        <v>7935</v>
      </c>
      <c r="B2431" s="8" t="str">
        <f>IFERROR(__xludf.DUMMYFUNCTION("REGEXREPLACE(A2431, ""[^0-9a-zA-Z .'Ã]"","""")"),"Noah Buschel")</f>
        <v>Noah Buschel</v>
      </c>
      <c r="C2431" s="26">
        <v>66.0</v>
      </c>
      <c r="D2431" s="27">
        <v>17580.0</v>
      </c>
      <c r="E2431" s="26" t="s">
        <v>103</v>
      </c>
      <c r="F2431" s="9">
        <f t="shared" si="1"/>
        <v>1</v>
      </c>
      <c r="G2431" s="26" t="s">
        <v>7936</v>
      </c>
      <c r="H2431" s="11" t="str">
        <f>IFERROR(__xludf.DUMMYFUNCTION("REGEXREPLACE(G2431, ""[^0-9a-zA-Z .'Ã]"","""")"),"Merritt Wever")</f>
        <v>Merritt Wever</v>
      </c>
      <c r="I2431" s="28" t="s">
        <v>7937</v>
      </c>
      <c r="J2431" s="26">
        <v>1268.0</v>
      </c>
      <c r="K2431" s="26" t="s">
        <v>7938</v>
      </c>
      <c r="L2431" s="26">
        <v>23.0</v>
      </c>
      <c r="M2431" s="26" t="s">
        <v>24</v>
      </c>
      <c r="N2431" s="26" t="s">
        <v>25</v>
      </c>
      <c r="O2431" s="27">
        <v>1500000.0</v>
      </c>
      <c r="P2431" s="10">
        <f t="shared" si="2"/>
        <v>0</v>
      </c>
      <c r="Q2431" s="12">
        <f t="shared" si="3"/>
        <v>1482420</v>
      </c>
      <c r="R2431" s="26">
        <v>2009.0</v>
      </c>
      <c r="S2431" s="26">
        <v>6.2</v>
      </c>
    </row>
    <row r="2432" ht="15.75" customHeight="1">
      <c r="A2432" s="7" t="s">
        <v>7939</v>
      </c>
      <c r="B2432" s="8" t="str">
        <f>IFERROR(__xludf.DUMMYFUNCTION("REGEXREPLACE(A2432, ""[^0-9a-zA-Z .'Ã]"","""")"),"Larry Blamire")</f>
        <v>Larry Blamire</v>
      </c>
      <c r="C2432" s="9">
        <v>88.0</v>
      </c>
      <c r="D2432" s="10">
        <v>110536.0</v>
      </c>
      <c r="E2432" s="9" t="s">
        <v>1430</v>
      </c>
      <c r="F2432" s="9">
        <f t="shared" si="1"/>
        <v>3</v>
      </c>
      <c r="G2432" s="9" t="s">
        <v>7940</v>
      </c>
      <c r="H2432" s="11" t="str">
        <f>IFERROR(__xludf.DUMMYFUNCTION("REGEXREPLACE(G2432, ""[^0-9a-zA-Z .'Ã]"","""")"),"Fay Masterson")</f>
        <v>Fay Masterson</v>
      </c>
      <c r="I2432" s="11" t="s">
        <v>7941</v>
      </c>
      <c r="J2432" s="9">
        <v>4117.0</v>
      </c>
      <c r="K2432" s="9" t="s">
        <v>7942</v>
      </c>
      <c r="L2432" s="9">
        <v>118.0</v>
      </c>
      <c r="M2432" s="9" t="s">
        <v>24</v>
      </c>
      <c r="N2432" s="9" t="s">
        <v>25</v>
      </c>
      <c r="O2432" s="10">
        <v>40000.0</v>
      </c>
      <c r="P2432" s="10">
        <f t="shared" si="2"/>
        <v>70536</v>
      </c>
      <c r="Q2432" s="12">
        <f t="shared" si="3"/>
        <v>0</v>
      </c>
      <c r="R2432" s="9">
        <v>2001.0</v>
      </c>
      <c r="S2432" s="9">
        <v>7.0</v>
      </c>
    </row>
    <row r="2433" ht="15.75" customHeight="1">
      <c r="A2433" s="13" t="s">
        <v>7943</v>
      </c>
      <c r="B2433" s="8" t="str">
        <f>IFERROR(__xludf.DUMMYFUNCTION("REGEXREPLACE(A2433, ""[^0-9a-zA-Z .'Ã]"","""")"),"David McNally")</f>
        <v>David McNally</v>
      </c>
      <c r="C2433" s="14">
        <v>73.0</v>
      </c>
      <c r="D2433" s="15">
        <v>6.6734992E7</v>
      </c>
      <c r="E2433" s="14" t="s">
        <v>1336</v>
      </c>
      <c r="F2433" s="9">
        <f t="shared" si="1"/>
        <v>4</v>
      </c>
      <c r="G2433" s="14" t="s">
        <v>7944</v>
      </c>
      <c r="H2433" s="11" t="str">
        <f>IFERROR(__xludf.DUMMYFUNCTION("REGEXREPLACE(G2433, ""[^0-9a-zA-Z .'Ã]"","""")"),"Estella Warren")</f>
        <v>Estella Warren</v>
      </c>
      <c r="I2433" s="16" t="s">
        <v>7945</v>
      </c>
      <c r="J2433" s="14">
        <v>23476.0</v>
      </c>
      <c r="K2433" s="14" t="s">
        <v>7946</v>
      </c>
      <c r="L2433" s="14">
        <v>181.0</v>
      </c>
      <c r="M2433" s="14" t="s">
        <v>24</v>
      </c>
      <c r="N2433" s="14" t="s">
        <v>25</v>
      </c>
      <c r="O2433" s="15">
        <v>6.0E7</v>
      </c>
      <c r="P2433" s="10">
        <f t="shared" si="2"/>
        <v>6734992</v>
      </c>
      <c r="Q2433" s="12">
        <f t="shared" si="3"/>
        <v>0</v>
      </c>
      <c r="R2433" s="14">
        <v>2003.0</v>
      </c>
      <c r="S2433" s="14">
        <v>4.4</v>
      </c>
    </row>
    <row r="2434" ht="15.75" customHeight="1">
      <c r="A2434" s="17" t="s">
        <v>2020</v>
      </c>
      <c r="B2434" s="8" t="str">
        <f>IFERROR(__xludf.DUMMYFUNCTION("REGEXREPLACE(A2434, ""[^0-9a-zA-Z .'Ã]"","""")"),"Darren Aronofsky")</f>
        <v>Darren Aronofsky</v>
      </c>
      <c r="C2434" s="18">
        <v>391.0</v>
      </c>
      <c r="D2434" s="19">
        <v>2.6236603E7</v>
      </c>
      <c r="E2434" s="18" t="s">
        <v>132</v>
      </c>
      <c r="F2434" s="9">
        <f t="shared" si="1"/>
        <v>2</v>
      </c>
      <c r="G2434" s="18" t="s">
        <v>5170</v>
      </c>
      <c r="H2434" s="11" t="str">
        <f>IFERROR(__xludf.DUMMYFUNCTION("REGEXREPLACE(G2434, ""[^0-9a-zA-Z .'Ã]"","""")"),"Mark Margolis")</f>
        <v>Mark Margolis</v>
      </c>
      <c r="I2434" s="20" t="s">
        <v>7947</v>
      </c>
      <c r="J2434" s="18">
        <v>251349.0</v>
      </c>
      <c r="K2434" s="18" t="s">
        <v>7948</v>
      </c>
      <c r="L2434" s="18">
        <v>547.0</v>
      </c>
      <c r="M2434" s="18" t="s">
        <v>24</v>
      </c>
      <c r="N2434" s="18" t="s">
        <v>25</v>
      </c>
      <c r="O2434" s="19">
        <v>6000000.0</v>
      </c>
      <c r="P2434" s="10">
        <f t="shared" si="2"/>
        <v>20236603</v>
      </c>
      <c r="Q2434" s="12">
        <f t="shared" si="3"/>
        <v>0</v>
      </c>
      <c r="R2434" s="18">
        <v>2008.0</v>
      </c>
      <c r="S2434" s="18">
        <v>7.9</v>
      </c>
    </row>
    <row r="2435" ht="15.75" customHeight="1">
      <c r="A2435" s="7" t="s">
        <v>3988</v>
      </c>
      <c r="B2435" s="8" t="str">
        <f>IFERROR(__xludf.DUMMYFUNCTION("REGEXREPLACE(A2435, ""[^0-9a-zA-Z .'Ã]"","""")"),"Rob Reiner")</f>
        <v>Rob Reiner</v>
      </c>
      <c r="C2435" s="9">
        <v>207.0</v>
      </c>
      <c r="D2435" s="10">
        <v>9.3452056E7</v>
      </c>
      <c r="E2435" s="9" t="s">
        <v>5184</v>
      </c>
      <c r="F2435" s="9">
        <f t="shared" si="1"/>
        <v>3</v>
      </c>
      <c r="G2435" s="9" t="s">
        <v>170</v>
      </c>
      <c r="H2435" s="11" t="str">
        <f>IFERROR(__xludf.DUMMYFUNCTION("REGEXREPLACE(G2435, ""[^0-9a-zA-Z .'Ã]"","""")"),"Morgan Freeman")</f>
        <v>Morgan Freeman</v>
      </c>
      <c r="I2435" s="11" t="s">
        <v>7949</v>
      </c>
      <c r="J2435" s="9">
        <v>184795.0</v>
      </c>
      <c r="K2435" s="9" t="s">
        <v>7950</v>
      </c>
      <c r="L2435" s="9">
        <v>310.0</v>
      </c>
      <c r="M2435" s="9" t="s">
        <v>24</v>
      </c>
      <c r="N2435" s="9" t="s">
        <v>25</v>
      </c>
      <c r="O2435" s="10">
        <v>4.5E7</v>
      </c>
      <c r="P2435" s="10">
        <f t="shared" si="2"/>
        <v>48452056</v>
      </c>
      <c r="Q2435" s="12">
        <f t="shared" si="3"/>
        <v>0</v>
      </c>
      <c r="R2435" s="9">
        <v>2007.0</v>
      </c>
      <c r="S2435" s="9">
        <v>7.4</v>
      </c>
    </row>
    <row r="2436" ht="15.75" customHeight="1">
      <c r="A2436" s="21" t="s">
        <v>896</v>
      </c>
      <c r="B2436" s="8" t="str">
        <f>IFERROR(__xludf.DUMMYFUNCTION("REGEXREPLACE(A2436, ""[^0-9a-zA-Z .'Ã]"","""")"),"Kevin Smith")</f>
        <v>Kevin Smith</v>
      </c>
      <c r="C2436" s="22">
        <v>147.0</v>
      </c>
      <c r="D2436" s="23">
        <v>1.2006514E7</v>
      </c>
      <c r="E2436" s="22" t="s">
        <v>159</v>
      </c>
      <c r="F2436" s="9">
        <f t="shared" si="1"/>
        <v>3</v>
      </c>
      <c r="G2436" s="22" t="s">
        <v>585</v>
      </c>
      <c r="H2436" s="11" t="str">
        <f>IFERROR(__xludf.DUMMYFUNCTION("REGEXREPLACE(G2436, ""[^0-9a-zA-Z .'Ã]"","""")"),"Matt Damon")</f>
        <v>Matt Damon</v>
      </c>
      <c r="I2436" s="24" t="s">
        <v>7951</v>
      </c>
      <c r="J2436" s="22">
        <v>114070.0</v>
      </c>
      <c r="K2436" s="22" t="s">
        <v>7952</v>
      </c>
      <c r="L2436" s="22">
        <v>500.0</v>
      </c>
      <c r="M2436" s="22" t="s">
        <v>24</v>
      </c>
      <c r="N2436" s="22" t="s">
        <v>25</v>
      </c>
      <c r="O2436" s="23">
        <v>250000.0</v>
      </c>
      <c r="P2436" s="10">
        <f t="shared" si="2"/>
        <v>11756514</v>
      </c>
      <c r="Q2436" s="12">
        <f t="shared" si="3"/>
        <v>0</v>
      </c>
      <c r="R2436" s="22">
        <v>1997.0</v>
      </c>
      <c r="S2436" s="22">
        <v>7.3</v>
      </c>
    </row>
    <row r="2437" ht="15.75" customHeight="1">
      <c r="A2437" s="7" t="s">
        <v>7953</v>
      </c>
      <c r="B2437" s="8" t="str">
        <f>IFERROR(__xludf.DUMMYFUNCTION("REGEXREPLACE(A2437, ""[^0-9a-zA-Z .'Ã]"","""")"),"Vadim Perelman")</f>
        <v>Vadim Perelman</v>
      </c>
      <c r="C2437" s="9">
        <v>158.0</v>
      </c>
      <c r="D2437" s="10">
        <v>1.3005485E7</v>
      </c>
      <c r="E2437" s="9" t="s">
        <v>103</v>
      </c>
      <c r="F2437" s="9">
        <f t="shared" si="1"/>
        <v>1</v>
      </c>
      <c r="G2437" s="9" t="s">
        <v>7954</v>
      </c>
      <c r="H2437" s="11" t="str">
        <f>IFERROR(__xludf.DUMMYFUNCTION("REGEXREPLACE(G2437, ""[^0-9a-zA-Z .'Ã]"","""")"),"Frances Fisher")</f>
        <v>Frances Fisher</v>
      </c>
      <c r="I2437" s="11" t="s">
        <v>7955</v>
      </c>
      <c r="J2437" s="9">
        <v>56665.0</v>
      </c>
      <c r="K2437" s="9" t="s">
        <v>7956</v>
      </c>
      <c r="L2437" s="9">
        <v>469.0</v>
      </c>
      <c r="M2437" s="9" t="s">
        <v>24</v>
      </c>
      <c r="N2437" s="9" t="s">
        <v>25</v>
      </c>
      <c r="O2437" s="10">
        <v>1.5E7</v>
      </c>
      <c r="P2437" s="10">
        <f t="shared" si="2"/>
        <v>0</v>
      </c>
      <c r="Q2437" s="12">
        <f t="shared" si="3"/>
        <v>1994515</v>
      </c>
      <c r="R2437" s="9">
        <v>2003.0</v>
      </c>
      <c r="S2437" s="9">
        <v>7.6</v>
      </c>
    </row>
    <row r="2438" ht="15.75" customHeight="1">
      <c r="A2438" s="21" t="s">
        <v>4700</v>
      </c>
      <c r="B2438" s="8" t="str">
        <f>IFERROR(__xludf.DUMMYFUNCTION("REGEXREPLACE(A2438, ""[^0-9a-zA-Z .'Ã]"","""")"),"Matt Reeves")</f>
        <v>Matt Reeves</v>
      </c>
      <c r="C2438" s="22">
        <v>521.0</v>
      </c>
      <c r="D2438" s="23">
        <v>2.08543795E8</v>
      </c>
      <c r="E2438" s="22" t="s">
        <v>7957</v>
      </c>
      <c r="F2438" s="9">
        <f t="shared" si="1"/>
        <v>4</v>
      </c>
      <c r="G2438" s="22" t="s">
        <v>772</v>
      </c>
      <c r="H2438" s="11" t="str">
        <f>IFERROR(__xludf.DUMMYFUNCTION("REGEXREPLACE(G2438, ""[^0-9a-zA-Z .'Ã]"","""")"),"Gary Oldman")</f>
        <v>Gary Oldman</v>
      </c>
      <c r="I2438" s="24" t="s">
        <v>7958</v>
      </c>
      <c r="J2438" s="22">
        <v>317542.0</v>
      </c>
      <c r="K2438" s="22" t="s">
        <v>7959</v>
      </c>
      <c r="L2438" s="22">
        <v>620.0</v>
      </c>
      <c r="M2438" s="22" t="s">
        <v>24</v>
      </c>
      <c r="N2438" s="22" t="s">
        <v>25</v>
      </c>
      <c r="O2438" s="23">
        <v>1.7E8</v>
      </c>
      <c r="P2438" s="10">
        <f t="shared" si="2"/>
        <v>38543795</v>
      </c>
      <c r="Q2438" s="12">
        <f t="shared" si="3"/>
        <v>0</v>
      </c>
      <c r="R2438" s="22">
        <v>2014.0</v>
      </c>
      <c r="S2438" s="22">
        <v>7.6</v>
      </c>
    </row>
    <row r="2439" ht="15.75" customHeight="1">
      <c r="A2439" s="7" t="s">
        <v>7960</v>
      </c>
      <c r="B2439" s="8" t="str">
        <f>IFERROR(__xludf.DUMMYFUNCTION("REGEXREPLACE(A2439, ""[^0-9a-zA-Z .'Ã]"","""")"),"Kaige Chen")</f>
        <v>Kaige Chen</v>
      </c>
      <c r="C2439" s="9">
        <v>90.0</v>
      </c>
      <c r="D2439" s="10">
        <v>668171.0</v>
      </c>
      <c r="E2439" s="9" t="s">
        <v>7101</v>
      </c>
      <c r="F2439" s="9">
        <f t="shared" si="1"/>
        <v>3</v>
      </c>
      <c r="G2439" s="9" t="s">
        <v>7961</v>
      </c>
      <c r="H2439" s="11" t="str">
        <f>IFERROR(__xludf.DUMMYFUNCTION("REGEXREPLACE(G2439, ""[^0-9a-zA-Z .'Ã]"","""")"),"Donggun Jang")</f>
        <v>Donggun Jang</v>
      </c>
      <c r="I2439" s="11" t="s">
        <v>7962</v>
      </c>
      <c r="J2439" s="9">
        <v>8215.0</v>
      </c>
      <c r="K2439" s="9" t="s">
        <v>7963</v>
      </c>
      <c r="L2439" s="9">
        <v>132.0</v>
      </c>
      <c r="M2439" s="9" t="s">
        <v>3260</v>
      </c>
      <c r="N2439" s="9" t="s">
        <v>217</v>
      </c>
      <c r="O2439" s="10">
        <v>6.0E7</v>
      </c>
      <c r="P2439" s="10">
        <f t="shared" si="2"/>
        <v>0</v>
      </c>
      <c r="Q2439" s="12">
        <f t="shared" si="3"/>
        <v>59331829</v>
      </c>
      <c r="R2439" s="9">
        <v>2005.0</v>
      </c>
      <c r="S2439" s="9">
        <v>5.6</v>
      </c>
    </row>
    <row r="2440" ht="15.75" customHeight="1">
      <c r="A2440" s="21" t="s">
        <v>2248</v>
      </c>
      <c r="B2440" s="8" t="str">
        <f>IFERROR(__xludf.DUMMYFUNCTION("REGEXREPLACE(A2440, ""[^0-9a-zA-Z .'Ã]"","""")"),"Andy Tennant")</f>
        <v>Andy Tennant</v>
      </c>
      <c r="C2440" s="22">
        <v>91.0</v>
      </c>
      <c r="D2440" s="23">
        <v>3.9251128E7</v>
      </c>
      <c r="E2440" s="22" t="s">
        <v>7964</v>
      </c>
      <c r="F2440" s="9">
        <f t="shared" si="1"/>
        <v>3</v>
      </c>
      <c r="G2440" s="22" t="s">
        <v>7965</v>
      </c>
      <c r="H2440" s="11" t="str">
        <f>IFERROR(__xludf.DUMMYFUNCTION("REGEXREPLACE(G2440, ""[^0-9a-zA-Z .'Ã]"","""")"),"Bai Ling")</f>
        <v>Bai Ling</v>
      </c>
      <c r="I2440" s="24" t="s">
        <v>7966</v>
      </c>
      <c r="J2440" s="22">
        <v>31080.0</v>
      </c>
      <c r="K2440" s="22" t="s">
        <v>7967</v>
      </c>
      <c r="L2440" s="22">
        <v>217.0</v>
      </c>
      <c r="M2440" s="22" t="s">
        <v>24</v>
      </c>
      <c r="N2440" s="22" t="s">
        <v>25</v>
      </c>
      <c r="O2440" s="23">
        <v>7.5E7</v>
      </c>
      <c r="P2440" s="10">
        <f t="shared" si="2"/>
        <v>0</v>
      </c>
      <c r="Q2440" s="12">
        <f t="shared" si="3"/>
        <v>35748872</v>
      </c>
      <c r="R2440" s="22">
        <v>1999.0</v>
      </c>
      <c r="S2440" s="22">
        <v>6.7</v>
      </c>
    </row>
    <row r="2441" ht="15.75" customHeight="1">
      <c r="A2441" s="7" t="s">
        <v>760</v>
      </c>
      <c r="B2441" s="8" t="str">
        <f>IFERROR(__xludf.DUMMYFUNCTION("REGEXREPLACE(A2441, ""[^0-9a-zA-Z .'Ã]"","""")"),"Martin Scorsese")</f>
        <v>Martin Scorsese</v>
      </c>
      <c r="C2441" s="9">
        <v>682.0</v>
      </c>
      <c r="D2441" s="10">
        <v>7.3820094E7</v>
      </c>
      <c r="E2441" s="9" t="s">
        <v>7968</v>
      </c>
      <c r="F2441" s="9">
        <f t="shared" si="1"/>
        <v>4</v>
      </c>
      <c r="G2441" s="9" t="s">
        <v>2259</v>
      </c>
      <c r="H2441" s="11" t="str">
        <f>IFERROR(__xludf.DUMMYFUNCTION("REGEXREPLACE(G2441, ""[^0-9a-zA-Z .'Ã]"","""")"),"ChloÃ Grace Moretz")</f>
        <v>ChloÃ Grace Moretz</v>
      </c>
      <c r="I2441" s="11" t="s">
        <v>7969</v>
      </c>
      <c r="J2441" s="9">
        <v>245333.0</v>
      </c>
      <c r="K2441" s="9" t="s">
        <v>7970</v>
      </c>
      <c r="L2441" s="9">
        <v>678.0</v>
      </c>
      <c r="M2441" s="9" t="s">
        <v>24</v>
      </c>
      <c r="N2441" s="9" t="s">
        <v>25</v>
      </c>
      <c r="O2441" s="10">
        <v>1.7E8</v>
      </c>
      <c r="P2441" s="10">
        <f t="shared" si="2"/>
        <v>0</v>
      </c>
      <c r="Q2441" s="12">
        <f t="shared" si="3"/>
        <v>96179906</v>
      </c>
      <c r="R2441" s="9">
        <v>2011.0</v>
      </c>
      <c r="S2441" s="9">
        <v>7.5</v>
      </c>
    </row>
    <row r="2442" ht="15.75" customHeight="1">
      <c r="A2442" s="7" t="s">
        <v>604</v>
      </c>
      <c r="B2442" s="8" t="str">
        <f>IFERROR(__xludf.DUMMYFUNCTION("REGEXREPLACE(A2442, ""[^0-9a-zA-Z .'Ã]"","""")"),"Olivier Megaton")</f>
        <v>Olivier Megaton</v>
      </c>
      <c r="C2442" s="9">
        <v>222.0</v>
      </c>
      <c r="D2442" s="10">
        <v>8.925334E7</v>
      </c>
      <c r="E2442" s="9" t="s">
        <v>1096</v>
      </c>
      <c r="F2442" s="9">
        <f t="shared" si="1"/>
        <v>2</v>
      </c>
      <c r="G2442" s="9" t="s">
        <v>605</v>
      </c>
      <c r="H2442" s="11" t="str">
        <f>IFERROR(__xludf.DUMMYFUNCTION("REGEXREPLACE(G2442, ""[^0-9a-zA-Z .'Ã]"","""")"),"Liam Neeson")</f>
        <v>Liam Neeson</v>
      </c>
      <c r="I2442" s="11" t="s">
        <v>7971</v>
      </c>
      <c r="J2442" s="9">
        <v>133436.0</v>
      </c>
      <c r="K2442" s="9" t="s">
        <v>7972</v>
      </c>
      <c r="L2442" s="9">
        <v>323.0</v>
      </c>
      <c r="M2442" s="9" t="s">
        <v>24</v>
      </c>
      <c r="N2442" s="9" t="s">
        <v>608</v>
      </c>
      <c r="O2442" s="10">
        <v>4.8E7</v>
      </c>
      <c r="P2442" s="10">
        <f t="shared" si="2"/>
        <v>41253340</v>
      </c>
      <c r="Q2442" s="12">
        <f t="shared" si="3"/>
        <v>0</v>
      </c>
      <c r="R2442" s="9">
        <v>2014.0</v>
      </c>
      <c r="S2442" s="9">
        <v>6.0</v>
      </c>
    </row>
    <row r="2443" ht="15.75" customHeight="1">
      <c r="A2443" s="17" t="s">
        <v>3567</v>
      </c>
      <c r="B2443" s="8" t="str">
        <f>IFERROR(__xludf.DUMMYFUNCTION("REGEXREPLACE(A2443, ""[^0-9a-zA-Z .'Ã]"","""")"),"Mike Mills")</f>
        <v>Mike Mills</v>
      </c>
      <c r="C2443" s="18">
        <v>261.0</v>
      </c>
      <c r="D2443" s="19">
        <v>5776314.0</v>
      </c>
      <c r="E2443" s="18" t="s">
        <v>159</v>
      </c>
      <c r="F2443" s="9">
        <f t="shared" si="1"/>
        <v>3</v>
      </c>
      <c r="G2443" s="18" t="s">
        <v>60</v>
      </c>
      <c r="H2443" s="11" t="str">
        <f>IFERROR(__xludf.DUMMYFUNCTION("REGEXREPLACE(G2443, ""[^0-9a-zA-Z .'Ã]"","""")"),"Goran Visnjic")</f>
        <v>Goran Visnjic</v>
      </c>
      <c r="I2443" s="20" t="s">
        <v>7973</v>
      </c>
      <c r="J2443" s="18">
        <v>73349.0</v>
      </c>
      <c r="K2443" s="18" t="s">
        <v>7974</v>
      </c>
      <c r="L2443" s="18">
        <v>142.0</v>
      </c>
      <c r="M2443" s="18" t="s">
        <v>24</v>
      </c>
      <c r="N2443" s="18" t="s">
        <v>25</v>
      </c>
      <c r="O2443" s="19">
        <v>3200000.0</v>
      </c>
      <c r="P2443" s="10">
        <f t="shared" si="2"/>
        <v>2576314</v>
      </c>
      <c r="Q2443" s="12">
        <f t="shared" si="3"/>
        <v>0</v>
      </c>
      <c r="R2443" s="18">
        <v>2010.0</v>
      </c>
      <c r="S2443" s="18">
        <v>7.2</v>
      </c>
    </row>
    <row r="2444" ht="15.75" customHeight="1">
      <c r="A2444" s="21" t="s">
        <v>3909</v>
      </c>
      <c r="B2444" s="8" t="str">
        <f>IFERROR(__xludf.DUMMYFUNCTION("REGEXREPLACE(A2444, ""[^0-9a-zA-Z .'Ã]"","""")"),"Richard LaGravenese")</f>
        <v>Richard LaGravenese</v>
      </c>
      <c r="C2444" s="22">
        <v>231.0</v>
      </c>
      <c r="D2444" s="23">
        <v>1.9445217E7</v>
      </c>
      <c r="E2444" s="22" t="s">
        <v>3253</v>
      </c>
      <c r="F2444" s="9">
        <f t="shared" si="1"/>
        <v>3</v>
      </c>
      <c r="G2444" s="22" t="s">
        <v>7975</v>
      </c>
      <c r="H2444" s="11" t="str">
        <f>IFERROR(__xludf.DUMMYFUNCTION("REGEXREPLACE(G2444, ""[^0-9a-zA-Z .'Ã]"","""")"),"Alden Ehrenreich")</f>
        <v>Alden Ehrenreich</v>
      </c>
      <c r="I2444" s="24" t="s">
        <v>7976</v>
      </c>
      <c r="J2444" s="22">
        <v>67796.0</v>
      </c>
      <c r="K2444" s="22" t="s">
        <v>7977</v>
      </c>
      <c r="L2444" s="22">
        <v>258.0</v>
      </c>
      <c r="M2444" s="22" t="s">
        <v>24</v>
      </c>
      <c r="N2444" s="22" t="s">
        <v>25</v>
      </c>
      <c r="O2444" s="23">
        <v>6.0E7</v>
      </c>
      <c r="P2444" s="10">
        <f t="shared" si="2"/>
        <v>0</v>
      </c>
      <c r="Q2444" s="12">
        <f t="shared" si="3"/>
        <v>40554783</v>
      </c>
      <c r="R2444" s="22">
        <v>2013.0</v>
      </c>
      <c r="S2444" s="22">
        <v>6.2</v>
      </c>
    </row>
    <row r="2445" ht="15.75" customHeight="1">
      <c r="A2445" s="7" t="s">
        <v>7978</v>
      </c>
      <c r="B2445" s="8" t="str">
        <f>IFERROR(__xludf.DUMMYFUNCTION("REGEXREPLACE(A2445, ""[^0-9a-zA-Z .'Ã]"","""")"),"Matt Williams")</f>
        <v>Matt Williams</v>
      </c>
      <c r="C2445" s="9">
        <v>78.0</v>
      </c>
      <c r="D2445" s="10">
        <v>3.3771174E7</v>
      </c>
      <c r="E2445" s="9" t="s">
        <v>159</v>
      </c>
      <c r="F2445" s="9">
        <f t="shared" si="1"/>
        <v>3</v>
      </c>
      <c r="G2445" s="9" t="s">
        <v>1088</v>
      </c>
      <c r="H2445" s="11" t="str">
        <f>IFERROR(__xludf.DUMMYFUNCTION("REGEXREPLACE(G2445, ""[^0-9a-zA-Z .'Ã]"","""")"),"Natalie Portman")</f>
        <v>Natalie Portman</v>
      </c>
      <c r="I2445" s="11" t="s">
        <v>7979</v>
      </c>
      <c r="J2445" s="9">
        <v>27044.0</v>
      </c>
      <c r="K2445" s="9" t="s">
        <v>7980</v>
      </c>
      <c r="L2445" s="9">
        <v>240.0</v>
      </c>
      <c r="M2445" s="9" t="s">
        <v>24</v>
      </c>
      <c r="N2445" s="9" t="s">
        <v>25</v>
      </c>
      <c r="O2445" s="10">
        <v>1.5E7</v>
      </c>
      <c r="P2445" s="10">
        <f t="shared" si="2"/>
        <v>18771174</v>
      </c>
      <c r="Q2445" s="12">
        <f t="shared" si="3"/>
        <v>0</v>
      </c>
      <c r="R2445" s="9">
        <v>2000.0</v>
      </c>
      <c r="S2445" s="9">
        <v>6.8</v>
      </c>
    </row>
    <row r="2446" ht="15.75" customHeight="1">
      <c r="A2446" s="25" t="s">
        <v>7981</v>
      </c>
      <c r="B2446" s="8" t="str">
        <f>IFERROR(__xludf.DUMMYFUNCTION("REGEXREPLACE(A2446, ""[^0-9a-zA-Z .'Ã]"","""")"),"Joby Harold")</f>
        <v>Joby Harold</v>
      </c>
      <c r="C2446" s="26">
        <v>133.0</v>
      </c>
      <c r="D2446" s="27">
        <v>1.4373825E7</v>
      </c>
      <c r="E2446" s="26" t="s">
        <v>575</v>
      </c>
      <c r="F2446" s="9">
        <f t="shared" si="1"/>
        <v>3</v>
      </c>
      <c r="G2446" s="26" t="s">
        <v>2523</v>
      </c>
      <c r="H2446" s="11" t="str">
        <f>IFERROR(__xludf.DUMMYFUNCTION("REGEXREPLACE(G2446, ""[^0-9a-zA-Z .'Ã]"","""")"),"Hayden Christensen")</f>
        <v>Hayden Christensen</v>
      </c>
      <c r="I2446" s="28" t="s">
        <v>7982</v>
      </c>
      <c r="J2446" s="26">
        <v>63216.0</v>
      </c>
      <c r="K2446" s="26" t="s">
        <v>7983</v>
      </c>
      <c r="L2446" s="26">
        <v>196.0</v>
      </c>
      <c r="M2446" s="26" t="s">
        <v>24</v>
      </c>
      <c r="N2446" s="26" t="s">
        <v>25</v>
      </c>
      <c r="O2446" s="27">
        <v>8600000.0</v>
      </c>
      <c r="P2446" s="10">
        <f t="shared" si="2"/>
        <v>5773825</v>
      </c>
      <c r="Q2446" s="12">
        <f t="shared" si="3"/>
        <v>0</v>
      </c>
      <c r="R2446" s="26">
        <v>2007.0</v>
      </c>
      <c r="S2446" s="26">
        <v>6.5</v>
      </c>
    </row>
    <row r="2447" ht="15.75" customHeight="1">
      <c r="A2447" s="25" t="s">
        <v>125</v>
      </c>
      <c r="B2447" s="8" t="str">
        <f>IFERROR(__xludf.DUMMYFUNCTION("REGEXREPLACE(A2447, ""[^0-9a-zA-Z .'Ã]"","""")"),"Edgar Wright")</f>
        <v>Edgar Wright</v>
      </c>
      <c r="C2447" s="26">
        <v>393.0</v>
      </c>
      <c r="D2447" s="27">
        <v>3.149427E7</v>
      </c>
      <c r="E2447" s="26" t="s">
        <v>7984</v>
      </c>
      <c r="F2447" s="9">
        <f t="shared" si="1"/>
        <v>4</v>
      </c>
      <c r="G2447" s="26" t="s">
        <v>2887</v>
      </c>
      <c r="H2447" s="11" t="str">
        <f>IFERROR(__xludf.DUMMYFUNCTION("REGEXREPLACE(G2447, ""[^0-9a-zA-Z .'Ã]"","""")"),"Anna Kendrick")</f>
        <v>Anna Kendrick</v>
      </c>
      <c r="I2447" s="28" t="s">
        <v>7985</v>
      </c>
      <c r="J2447" s="26">
        <v>273921.0</v>
      </c>
      <c r="K2447" s="26" t="s">
        <v>7986</v>
      </c>
      <c r="L2447" s="26">
        <v>522.0</v>
      </c>
      <c r="M2447" s="26" t="s">
        <v>24</v>
      </c>
      <c r="N2447" s="26" t="s">
        <v>25</v>
      </c>
      <c r="O2447" s="27">
        <v>6.0E7</v>
      </c>
      <c r="P2447" s="10">
        <f t="shared" si="2"/>
        <v>0</v>
      </c>
      <c r="Q2447" s="12">
        <f t="shared" si="3"/>
        <v>28505730</v>
      </c>
      <c r="R2447" s="26">
        <v>2010.0</v>
      </c>
      <c r="S2447" s="26">
        <v>7.5</v>
      </c>
    </row>
    <row r="2448" ht="15.75" customHeight="1">
      <c r="A2448" s="7" t="s">
        <v>112</v>
      </c>
      <c r="B2448" s="8" t="str">
        <f>IFERROR(__xludf.DUMMYFUNCTION("REGEXREPLACE(A2448, ""[^0-9a-zA-Z .'Ã]"","""")"),"Nick Cassavetes")</f>
        <v>Nick Cassavetes</v>
      </c>
      <c r="C2448" s="9">
        <v>148.0</v>
      </c>
      <c r="D2448" s="10">
        <v>4.9185998E7</v>
      </c>
      <c r="E2448" s="9" t="s">
        <v>103</v>
      </c>
      <c r="F2448" s="9">
        <f t="shared" si="1"/>
        <v>1</v>
      </c>
      <c r="G2448" s="9" t="s">
        <v>1112</v>
      </c>
      <c r="H2448" s="11" t="str">
        <f>IFERROR(__xludf.DUMMYFUNCTION("REGEXREPLACE(G2448, ""[^0-9a-zA-Z .'Ã]"","""")"),"Jason Patric")</f>
        <v>Jason Patric</v>
      </c>
      <c r="I2448" s="11" t="s">
        <v>7987</v>
      </c>
      <c r="J2448" s="9">
        <v>74476.0</v>
      </c>
      <c r="K2448" s="9" t="s">
        <v>7988</v>
      </c>
      <c r="L2448" s="9">
        <v>184.0</v>
      </c>
      <c r="M2448" s="9" t="s">
        <v>24</v>
      </c>
      <c r="N2448" s="9" t="s">
        <v>25</v>
      </c>
      <c r="O2448" s="10">
        <v>3.0E7</v>
      </c>
      <c r="P2448" s="10">
        <f t="shared" si="2"/>
        <v>19185998</v>
      </c>
      <c r="Q2448" s="12">
        <f t="shared" si="3"/>
        <v>0</v>
      </c>
      <c r="R2448" s="9">
        <v>2009.0</v>
      </c>
      <c r="S2448" s="9">
        <v>7.4</v>
      </c>
    </row>
    <row r="2449" ht="15.75" customHeight="1">
      <c r="A2449" s="21" t="s">
        <v>756</v>
      </c>
      <c r="B2449" s="8" t="str">
        <f>IFERROR(__xludf.DUMMYFUNCTION("REGEXREPLACE(A2449, ""[^0-9a-zA-Z .'Ã]"","""")"),"Adam Shankman")</f>
        <v>Adam Shankman</v>
      </c>
      <c r="C2449" s="22">
        <v>219.0</v>
      </c>
      <c r="D2449" s="23">
        <v>1.18823091E8</v>
      </c>
      <c r="E2449" s="22" t="s">
        <v>7989</v>
      </c>
      <c r="F2449" s="9">
        <f t="shared" si="1"/>
        <v>6</v>
      </c>
      <c r="G2449" s="22" t="s">
        <v>7990</v>
      </c>
      <c r="H2449" s="11" t="str">
        <f>IFERROR(__xludf.DUMMYFUNCTION("REGEXREPLACE(G2449, ""[^0-9a-zA-Z .'Ã]"","""")"),"Jerry Stiller")</f>
        <v>Jerry Stiller</v>
      </c>
      <c r="I2449" s="24" t="s">
        <v>7991</v>
      </c>
      <c r="J2449" s="22">
        <v>98693.0</v>
      </c>
      <c r="K2449" s="22" t="s">
        <v>7992</v>
      </c>
      <c r="L2449" s="22">
        <v>401.0</v>
      </c>
      <c r="M2449" s="22" t="s">
        <v>24</v>
      </c>
      <c r="N2449" s="22" t="s">
        <v>25</v>
      </c>
      <c r="O2449" s="23">
        <v>7.5E7</v>
      </c>
      <c r="P2449" s="10">
        <f t="shared" si="2"/>
        <v>43823091</v>
      </c>
      <c r="Q2449" s="12">
        <f t="shared" si="3"/>
        <v>0</v>
      </c>
      <c r="R2449" s="22">
        <v>2007.0</v>
      </c>
      <c r="S2449" s="22">
        <v>6.7</v>
      </c>
    </row>
    <row r="2450" ht="15.75" customHeight="1">
      <c r="A2450" s="7" t="s">
        <v>1095</v>
      </c>
      <c r="B2450" s="8" t="str">
        <f>IFERROR(__xludf.DUMMYFUNCTION("REGEXREPLACE(A2450, ""[^0-9a-zA-Z .'Ã]"","""")"),"Renny Harlin")</f>
        <v>Renny Harlin</v>
      </c>
      <c r="C2450" s="9">
        <v>74.0</v>
      </c>
      <c r="D2450" s="10">
        <v>17149.0</v>
      </c>
      <c r="E2450" s="9" t="s">
        <v>403</v>
      </c>
      <c r="F2450" s="9">
        <f t="shared" si="1"/>
        <v>3</v>
      </c>
      <c r="G2450" s="9" t="s">
        <v>7993</v>
      </c>
      <c r="H2450" s="11" t="str">
        <f>IFERROR(__xludf.DUMMYFUNCTION("REGEXREPLACE(G2450, ""[^0-9a-zA-Z .'Ã]"","""")"),"Richard Coyle")</f>
        <v>Richard Coyle</v>
      </c>
      <c r="I2450" s="11" t="s">
        <v>7994</v>
      </c>
      <c r="J2450" s="9">
        <v>12128.0</v>
      </c>
      <c r="K2450" s="9" t="s">
        <v>7995</v>
      </c>
      <c r="L2450" s="9">
        <v>61.0</v>
      </c>
      <c r="M2450" s="9" t="s">
        <v>24</v>
      </c>
      <c r="N2450" s="9" t="s">
        <v>7996</v>
      </c>
      <c r="O2450" s="10">
        <v>2.0E7</v>
      </c>
      <c r="P2450" s="10">
        <f t="shared" si="2"/>
        <v>0</v>
      </c>
      <c r="Q2450" s="12">
        <f t="shared" si="3"/>
        <v>19982851</v>
      </c>
      <c r="R2450" s="9">
        <v>2011.0</v>
      </c>
      <c r="S2450" s="9">
        <v>5.6</v>
      </c>
    </row>
    <row r="2451" ht="15.75" customHeight="1">
      <c r="A2451" s="25" t="s">
        <v>3467</v>
      </c>
      <c r="B2451" s="8" t="str">
        <f>IFERROR(__xludf.DUMMYFUNCTION("REGEXREPLACE(A2451, ""[^0-9a-zA-Z -.'Ã]"","""")"),"Lasse HallstrÃm")</f>
        <v>Lasse HallstrÃm</v>
      </c>
      <c r="C2451" s="26">
        <v>119.0</v>
      </c>
      <c r="D2451" s="27">
        <v>1.1405825E7</v>
      </c>
      <c r="E2451" s="26" t="s">
        <v>103</v>
      </c>
      <c r="F2451" s="9">
        <f t="shared" si="1"/>
        <v>1</v>
      </c>
      <c r="G2451" s="26" t="s">
        <v>483</v>
      </c>
      <c r="H2451" s="11" t="str">
        <f>IFERROR(__xludf.DUMMYFUNCTION("REGEXREPLACE(G2451, ""[^0-9a-zA-Z .'Ã]"","""")"),"Kevin Spacey")</f>
        <v>Kevin Spacey</v>
      </c>
      <c r="I2451" s="28" t="s">
        <v>7997</v>
      </c>
      <c r="J2451" s="26">
        <v>28542.0</v>
      </c>
      <c r="K2451" s="26" t="s">
        <v>7998</v>
      </c>
      <c r="L2451" s="26">
        <v>208.0</v>
      </c>
      <c r="M2451" s="26" t="s">
        <v>24</v>
      </c>
      <c r="N2451" s="26" t="s">
        <v>25</v>
      </c>
      <c r="O2451" s="27">
        <v>3.5E7</v>
      </c>
      <c r="P2451" s="10">
        <f t="shared" si="2"/>
        <v>0</v>
      </c>
      <c r="Q2451" s="12">
        <f t="shared" si="3"/>
        <v>23594175</v>
      </c>
      <c r="R2451" s="26">
        <v>2001.0</v>
      </c>
      <c r="S2451" s="26">
        <v>6.8</v>
      </c>
    </row>
    <row r="2452" ht="15.75" customHeight="1">
      <c r="A2452" s="7" t="s">
        <v>1675</v>
      </c>
      <c r="B2452" s="8" t="str">
        <f>IFERROR(__xludf.DUMMYFUNCTION("REGEXREPLACE(A2452, ""[^0-9a-zA-Z .'Ã]"","""")"),"Frank Marshall")</f>
        <v>Frank Marshall</v>
      </c>
      <c r="C2452" s="9">
        <v>43.0</v>
      </c>
      <c r="D2452" s="10">
        <v>3.6733909E7</v>
      </c>
      <c r="E2452" s="9" t="s">
        <v>3234</v>
      </c>
      <c r="F2452" s="9">
        <f t="shared" si="1"/>
        <v>4</v>
      </c>
      <c r="G2452" s="9" t="s">
        <v>7999</v>
      </c>
      <c r="H2452" s="11" t="str">
        <f>IFERROR(__xludf.DUMMYFUNCTION("REGEXREPLACE(G2452, ""[^0-9a-zA-Z .'Ã]"","""")"),"Illeana Douglas")</f>
        <v>Illeana Douglas</v>
      </c>
      <c r="I2452" s="11" t="s">
        <v>8000</v>
      </c>
      <c r="J2452" s="9">
        <v>38949.0</v>
      </c>
      <c r="K2452" s="9" t="s">
        <v>8001</v>
      </c>
      <c r="L2452" s="9">
        <v>112.0</v>
      </c>
      <c r="M2452" s="9" t="s">
        <v>24</v>
      </c>
      <c r="N2452" s="9" t="s">
        <v>25</v>
      </c>
      <c r="O2452" s="10">
        <v>3.2E7</v>
      </c>
      <c r="P2452" s="10">
        <f t="shared" si="2"/>
        <v>4733909</v>
      </c>
      <c r="Q2452" s="12">
        <f t="shared" si="3"/>
        <v>0</v>
      </c>
      <c r="R2452" s="9">
        <v>1993.0</v>
      </c>
      <c r="S2452" s="9">
        <v>7.1</v>
      </c>
    </row>
    <row r="2453" ht="15.75" customHeight="1">
      <c r="A2453" s="7" t="s">
        <v>2505</v>
      </c>
      <c r="B2453" s="8" t="str">
        <f>IFERROR(__xludf.DUMMYFUNCTION("REGEXREPLACE(A2453, ""[^0-9a-zA-Z .'Ã]"","""")"),"Tony Scott")</f>
        <v>Tony Scott</v>
      </c>
      <c r="C2453" s="9">
        <v>316.0</v>
      </c>
      <c r="D2453" s="10">
        <v>8.1557479E7</v>
      </c>
      <c r="E2453" s="9" t="s">
        <v>1096</v>
      </c>
      <c r="F2453" s="9">
        <f t="shared" si="1"/>
        <v>2</v>
      </c>
      <c r="G2453" s="9" t="s">
        <v>70</v>
      </c>
      <c r="H2453" s="11" t="str">
        <f>IFERROR(__xludf.DUMMYFUNCTION("REGEXREPLACE(G2453, ""[^0-9a-zA-Z .'Ã]"","""")"),"Denzel Washington")</f>
        <v>Denzel Washington</v>
      </c>
      <c r="I2453" s="11" t="s">
        <v>8002</v>
      </c>
      <c r="J2453" s="9">
        <v>149947.0</v>
      </c>
      <c r="K2453" s="9" t="s">
        <v>8003</v>
      </c>
      <c r="L2453" s="9">
        <v>326.0</v>
      </c>
      <c r="M2453" s="9" t="s">
        <v>24</v>
      </c>
      <c r="N2453" s="9" t="s">
        <v>25</v>
      </c>
      <c r="O2453" s="10">
        <v>1.0E8</v>
      </c>
      <c r="P2453" s="10">
        <f t="shared" si="2"/>
        <v>0</v>
      </c>
      <c r="Q2453" s="12">
        <f t="shared" si="3"/>
        <v>18442521</v>
      </c>
      <c r="R2453" s="9">
        <v>2010.0</v>
      </c>
      <c r="S2453" s="9">
        <v>6.8</v>
      </c>
    </row>
    <row r="2454" ht="15.75" customHeight="1">
      <c r="A2454" s="7" t="s">
        <v>8004</v>
      </c>
      <c r="B2454" s="8" t="str">
        <f>IFERROR(__xludf.DUMMYFUNCTION("REGEXREPLACE(A2454, ""[^0-9a-zA-Z .'Ã]"","""")"),"Tim Hunter")</f>
        <v>Tim Hunter</v>
      </c>
      <c r="C2454" s="9">
        <v>45.0</v>
      </c>
      <c r="D2454" s="10">
        <v>4600000.0</v>
      </c>
      <c r="E2454" s="9" t="s">
        <v>54</v>
      </c>
      <c r="F2454" s="9">
        <f t="shared" si="1"/>
        <v>2</v>
      </c>
      <c r="G2454" s="9" t="s">
        <v>1170</v>
      </c>
      <c r="H2454" s="11" t="str">
        <f>IFERROR(__xludf.DUMMYFUNCTION("REGEXREPLACE(G2454, ""[^0-9a-zA-Z .'Ã]"","""")"),"Keanu Reeves")</f>
        <v>Keanu Reeves</v>
      </c>
      <c r="I2454" s="11" t="s">
        <v>8005</v>
      </c>
      <c r="J2454" s="9">
        <v>11763.0</v>
      </c>
      <c r="K2454" s="9" t="s">
        <v>8006</v>
      </c>
      <c r="L2454" s="9">
        <v>111.0</v>
      </c>
      <c r="M2454" s="9" t="s">
        <v>24</v>
      </c>
      <c r="N2454" s="9" t="s">
        <v>25</v>
      </c>
      <c r="O2454" s="10">
        <v>1900000.0</v>
      </c>
      <c r="P2454" s="10">
        <f t="shared" si="2"/>
        <v>2700000</v>
      </c>
      <c r="Q2454" s="12">
        <f t="shared" si="3"/>
        <v>0</v>
      </c>
      <c r="R2454" s="9">
        <v>1986.0</v>
      </c>
      <c r="S2454" s="9">
        <v>7.1</v>
      </c>
    </row>
    <row r="2455" ht="15.75" customHeight="1">
      <c r="A2455" s="21" t="s">
        <v>2248</v>
      </c>
      <c r="B2455" s="8" t="str">
        <f>IFERROR(__xludf.DUMMYFUNCTION("REGEXREPLACE(A2455, ""[^0-9a-zA-Z .'Ã]"","""")"),"Andy Tennant")</f>
        <v>Andy Tennant</v>
      </c>
      <c r="C2455" s="22">
        <v>171.0</v>
      </c>
      <c r="D2455" s="23">
        <v>1.77575142E8</v>
      </c>
      <c r="E2455" s="22" t="s">
        <v>89</v>
      </c>
      <c r="F2455" s="9">
        <f t="shared" si="1"/>
        <v>2</v>
      </c>
      <c r="G2455" s="22" t="s">
        <v>2717</v>
      </c>
      <c r="H2455" s="11" t="str">
        <f>IFERROR(__xludf.DUMMYFUNCTION("REGEXREPLACE(G2455, ""[^0-9a-zA-Z .'Ã]"","""")"),"Will Smith")</f>
        <v>Will Smith</v>
      </c>
      <c r="I2455" s="24" t="s">
        <v>8007</v>
      </c>
      <c r="J2455" s="22">
        <v>244840.0</v>
      </c>
      <c r="K2455" s="22" t="s">
        <v>8008</v>
      </c>
      <c r="L2455" s="22">
        <v>372.0</v>
      </c>
      <c r="M2455" s="22" t="s">
        <v>24</v>
      </c>
      <c r="N2455" s="22" t="s">
        <v>25</v>
      </c>
      <c r="O2455" s="23">
        <v>7.0E7</v>
      </c>
      <c r="P2455" s="10">
        <f t="shared" si="2"/>
        <v>107575142</v>
      </c>
      <c r="Q2455" s="12">
        <f t="shared" si="3"/>
        <v>0</v>
      </c>
      <c r="R2455" s="22">
        <v>2005.0</v>
      </c>
      <c r="S2455" s="22">
        <v>6.6</v>
      </c>
    </row>
    <row r="2456" ht="15.75" customHeight="1">
      <c r="A2456" s="17" t="s">
        <v>4326</v>
      </c>
      <c r="B2456" s="8" t="str">
        <f>IFERROR(__xludf.DUMMYFUNCTION("REGEXREPLACE(A2456, ""[^0-9a-zA-Z .'Ã]"","""")"),"John Lee Hancock")</f>
        <v>John Lee Hancock</v>
      </c>
      <c r="C2456" s="18">
        <v>92.0</v>
      </c>
      <c r="D2456" s="19">
        <v>7.5597042E7</v>
      </c>
      <c r="E2456" s="18" t="s">
        <v>273</v>
      </c>
      <c r="F2456" s="9">
        <f t="shared" si="1"/>
        <v>3</v>
      </c>
      <c r="G2456" s="18" t="s">
        <v>45</v>
      </c>
      <c r="H2456" s="11" t="str">
        <f>IFERROR(__xludf.DUMMYFUNCTION("REGEXREPLACE(G2456, ""[^0-9a-zA-Z .'Ã]"","""")"),"Dennis Quaid")</f>
        <v>Dennis Quaid</v>
      </c>
      <c r="I2456" s="20" t="s">
        <v>8009</v>
      </c>
      <c r="J2456" s="18">
        <v>26434.0</v>
      </c>
      <c r="K2456" s="18" t="s">
        <v>8010</v>
      </c>
      <c r="L2456" s="18">
        <v>174.0</v>
      </c>
      <c r="M2456" s="18" t="s">
        <v>24</v>
      </c>
      <c r="N2456" s="18" t="s">
        <v>25</v>
      </c>
      <c r="O2456" s="19">
        <v>2.0E7</v>
      </c>
      <c r="P2456" s="10">
        <f t="shared" si="2"/>
        <v>55597042</v>
      </c>
      <c r="Q2456" s="12">
        <f t="shared" si="3"/>
        <v>0</v>
      </c>
      <c r="R2456" s="18">
        <v>2002.0</v>
      </c>
      <c r="S2456" s="18">
        <v>7.0</v>
      </c>
    </row>
    <row r="2457" ht="15.75" customHeight="1">
      <c r="A2457" s="7" t="s">
        <v>8011</v>
      </c>
      <c r="B2457" s="8" t="str">
        <f>IFERROR(__xludf.DUMMYFUNCTION("REGEXREPLACE(A2457, ""[^0-9a-zA-Z .'Ã]"","""")"),"Greg Harrison")</f>
        <v>Greg Harrison</v>
      </c>
      <c r="C2457" s="9">
        <v>46.0</v>
      </c>
      <c r="D2457" s="10">
        <v>1114943.0</v>
      </c>
      <c r="E2457" s="9" t="s">
        <v>418</v>
      </c>
      <c r="F2457" s="9">
        <f t="shared" si="1"/>
        <v>2</v>
      </c>
      <c r="G2457" s="9" t="s">
        <v>8012</v>
      </c>
      <c r="H2457" s="11" t="str">
        <f>IFERROR(__xludf.DUMMYFUNCTION("REGEXREPLACE(G2457, ""[^0-9a-zA-Z .'Ã]"","""")"),"Rachel True")</f>
        <v>Rachel True</v>
      </c>
      <c r="I2457" s="11" t="s">
        <v>8013</v>
      </c>
      <c r="J2457" s="9">
        <v>3562.0</v>
      </c>
      <c r="K2457" s="9" t="s">
        <v>8014</v>
      </c>
      <c r="L2457" s="9">
        <v>74.0</v>
      </c>
      <c r="M2457" s="9" t="s">
        <v>24</v>
      </c>
      <c r="N2457" s="9" t="s">
        <v>25</v>
      </c>
      <c r="O2457" s="10">
        <v>500000.0</v>
      </c>
      <c r="P2457" s="10">
        <f t="shared" si="2"/>
        <v>614943</v>
      </c>
      <c r="Q2457" s="12">
        <f t="shared" si="3"/>
        <v>0</v>
      </c>
      <c r="R2457" s="9">
        <v>2000.0</v>
      </c>
      <c r="S2457" s="9">
        <v>6.5</v>
      </c>
    </row>
    <row r="2458" ht="15.75" customHeight="1">
      <c r="A2458" s="13" t="s">
        <v>8011</v>
      </c>
      <c r="B2458" s="8" t="str">
        <f>IFERROR(__xludf.DUMMYFUNCTION("REGEXREPLACE(A2458, ""[^0-9a-zA-Z .'Ã]"","""")"),"Greg Harrison")</f>
        <v>Greg Harrison</v>
      </c>
      <c r="C2458" s="14">
        <v>43.0</v>
      </c>
      <c r="D2458" s="15">
        <v>191309.0</v>
      </c>
      <c r="E2458" s="14" t="s">
        <v>311</v>
      </c>
      <c r="F2458" s="9">
        <f t="shared" si="1"/>
        <v>3</v>
      </c>
      <c r="G2458" s="14" t="s">
        <v>8015</v>
      </c>
      <c r="H2458" s="11" t="str">
        <f>IFERROR(__xludf.DUMMYFUNCTION("REGEXREPLACE(G2458, ""[^0-9a-zA-Z .'Ã]"","""")"),"Amir Talai")</f>
        <v>Amir Talai</v>
      </c>
      <c r="I2458" s="16" t="s">
        <v>8016</v>
      </c>
      <c r="J2458" s="14">
        <v>2787.0</v>
      </c>
      <c r="K2458" s="14" t="s">
        <v>8017</v>
      </c>
      <c r="L2458" s="14">
        <v>64.0</v>
      </c>
      <c r="M2458" s="14" t="s">
        <v>24</v>
      </c>
      <c r="N2458" s="14" t="s">
        <v>25</v>
      </c>
      <c r="O2458" s="15">
        <v>150000.0</v>
      </c>
      <c r="P2458" s="10">
        <f t="shared" si="2"/>
        <v>41309</v>
      </c>
      <c r="Q2458" s="12">
        <f t="shared" si="3"/>
        <v>0</v>
      </c>
      <c r="R2458" s="14">
        <v>2004.0</v>
      </c>
      <c r="S2458" s="14">
        <v>5.5</v>
      </c>
    </row>
    <row r="2459" ht="15.75" customHeight="1">
      <c r="A2459" s="7" t="s">
        <v>8018</v>
      </c>
      <c r="B2459" s="8" t="str">
        <f>IFERROR(__xludf.DUMMYFUNCTION("REGEXREPLACE(A2459, ""[^0-9a-zA-Z .'Ã]"","""")"),"Majid Majidi")</f>
        <v>Majid Majidi</v>
      </c>
      <c r="C2459" s="9">
        <v>46.0</v>
      </c>
      <c r="D2459" s="10">
        <v>925402.0</v>
      </c>
      <c r="E2459" s="9" t="s">
        <v>2166</v>
      </c>
      <c r="F2459" s="9">
        <f t="shared" si="1"/>
        <v>2</v>
      </c>
      <c r="G2459" s="9" t="s">
        <v>8019</v>
      </c>
      <c r="H2459" s="11" t="str">
        <f>IFERROR(__xludf.DUMMYFUNCTION("REGEXREPLACE(G2459, ""[^0-9a-zA-Z .'Ã]"","""")"),"Bahare Seddiqi")</f>
        <v>Bahare Seddiqi</v>
      </c>
      <c r="I2459" s="11" t="s">
        <v>8020</v>
      </c>
      <c r="J2459" s="9">
        <v>27882.0</v>
      </c>
      <c r="K2459" s="9" t="s">
        <v>8021</v>
      </c>
      <c r="L2459" s="9">
        <v>130.0</v>
      </c>
      <c r="M2459" s="9" t="s">
        <v>2530</v>
      </c>
      <c r="N2459" s="9" t="s">
        <v>2531</v>
      </c>
      <c r="O2459" s="10">
        <v>180000.0</v>
      </c>
      <c r="P2459" s="10">
        <f t="shared" si="2"/>
        <v>745402</v>
      </c>
      <c r="Q2459" s="12">
        <f t="shared" si="3"/>
        <v>0</v>
      </c>
      <c r="R2459" s="9">
        <v>1997.0</v>
      </c>
      <c r="S2459" s="9">
        <v>8.5</v>
      </c>
    </row>
    <row r="2460" ht="15.75" customHeight="1">
      <c r="A2460" s="7" t="s">
        <v>8022</v>
      </c>
      <c r="B2460" s="8" t="str">
        <f>IFERROR(__xludf.DUMMYFUNCTION("REGEXREPLACE(A2460, ""[^0-9a-zA-Z .'Ã]"","""")"),"Mark Piznarski")</f>
        <v>Mark Piznarski</v>
      </c>
      <c r="C2460" s="9">
        <v>44.0</v>
      </c>
      <c r="D2460" s="10">
        <v>1.0494147E7</v>
      </c>
      <c r="E2460" s="9" t="s">
        <v>232</v>
      </c>
      <c r="F2460" s="9">
        <f t="shared" si="1"/>
        <v>2</v>
      </c>
      <c r="G2460" s="9" t="s">
        <v>3555</v>
      </c>
      <c r="H2460" s="11" t="str">
        <f>IFERROR(__xludf.DUMMYFUNCTION("REGEXREPLACE(G2460, ""[^0-9a-zA-Z .'Ã]"","""")"),"Bruce Greenwood")</f>
        <v>Bruce Greenwood</v>
      </c>
      <c r="I2460" s="11" t="s">
        <v>8023</v>
      </c>
      <c r="J2460" s="9">
        <v>7403.0</v>
      </c>
      <c r="K2460" s="9" t="s">
        <v>8024</v>
      </c>
      <c r="L2460" s="9">
        <v>162.0</v>
      </c>
      <c r="M2460" s="9" t="s">
        <v>24</v>
      </c>
      <c r="N2460" s="9" t="s">
        <v>25</v>
      </c>
      <c r="O2460" s="10">
        <v>1.5E7</v>
      </c>
      <c r="P2460" s="10">
        <f t="shared" si="2"/>
        <v>0</v>
      </c>
      <c r="Q2460" s="12">
        <f t="shared" si="3"/>
        <v>4505853</v>
      </c>
      <c r="R2460" s="9">
        <v>2000.0</v>
      </c>
      <c r="S2460" s="9">
        <v>5.1</v>
      </c>
    </row>
    <row r="2461" ht="15.75" customHeight="1">
      <c r="A2461" s="25" t="s">
        <v>2505</v>
      </c>
      <c r="B2461" s="8" t="str">
        <f>IFERROR(__xludf.DUMMYFUNCTION("REGEXREPLACE(A2461, ""[^0-9a-zA-Z .'Ã]"","""")"),"Tony Scott")</f>
        <v>Tony Scott</v>
      </c>
      <c r="C2461" s="26">
        <v>50.0</v>
      </c>
      <c r="D2461" s="27">
        <v>1.8573791E7</v>
      </c>
      <c r="E2461" s="26" t="s">
        <v>8025</v>
      </c>
      <c r="F2461" s="9">
        <f t="shared" si="1"/>
        <v>4</v>
      </c>
      <c r="G2461" s="26" t="s">
        <v>883</v>
      </c>
      <c r="H2461" s="11" t="str">
        <f>IFERROR(__xludf.DUMMYFUNCTION("REGEXREPLACE(G2461, ""[^0-9a-zA-Z .'Ã]"","""")"),"Robert De Niro")</f>
        <v>Robert De Niro</v>
      </c>
      <c r="I2461" s="28" t="s">
        <v>8026</v>
      </c>
      <c r="J2461" s="26">
        <v>38533.0</v>
      </c>
      <c r="K2461" s="26" t="s">
        <v>8027</v>
      </c>
      <c r="L2461" s="26">
        <v>89.0</v>
      </c>
      <c r="M2461" s="26" t="s">
        <v>24</v>
      </c>
      <c r="N2461" s="26" t="s">
        <v>25</v>
      </c>
      <c r="O2461" s="27">
        <v>5.5E7</v>
      </c>
      <c r="P2461" s="10">
        <f t="shared" si="2"/>
        <v>0</v>
      </c>
      <c r="Q2461" s="12">
        <f t="shared" si="3"/>
        <v>36426209</v>
      </c>
      <c r="R2461" s="26">
        <v>1996.0</v>
      </c>
      <c r="S2461" s="26">
        <v>5.8</v>
      </c>
    </row>
    <row r="2462" ht="15.75" customHeight="1">
      <c r="A2462" s="17" t="s">
        <v>8028</v>
      </c>
      <c r="B2462" s="8" t="str">
        <f>IFERROR(__xludf.DUMMYFUNCTION("REGEXREPLACE(A2462, ""[^0-9a-zA-Z .'Ã]"","""")"),"Tim Heidecker")</f>
        <v>Tim Heidecker</v>
      </c>
      <c r="C2462" s="18">
        <v>82.0</v>
      </c>
      <c r="D2462" s="19">
        <v>200803.0</v>
      </c>
      <c r="E2462" s="18" t="s">
        <v>137</v>
      </c>
      <c r="F2462" s="9">
        <f t="shared" si="1"/>
        <v>1</v>
      </c>
      <c r="G2462" s="18" t="s">
        <v>8029</v>
      </c>
      <c r="H2462" s="11" t="str">
        <f>IFERROR(__xludf.DUMMYFUNCTION("REGEXREPLACE(G2462, ""[^0-9a-zA-Z .'Ã]"","""")"),"Michael Gross")</f>
        <v>Michael Gross</v>
      </c>
      <c r="I2462" s="20" t="s">
        <v>8030</v>
      </c>
      <c r="J2462" s="18">
        <v>7988.0</v>
      </c>
      <c r="K2462" s="18" t="s">
        <v>8031</v>
      </c>
      <c r="L2462" s="18">
        <v>71.0</v>
      </c>
      <c r="M2462" s="18" t="s">
        <v>24</v>
      </c>
      <c r="N2462" s="18" t="s">
        <v>25</v>
      </c>
      <c r="O2462" s="19">
        <v>3000000.0</v>
      </c>
      <c r="P2462" s="10">
        <f t="shared" si="2"/>
        <v>0</v>
      </c>
      <c r="Q2462" s="12">
        <f t="shared" si="3"/>
        <v>2799197</v>
      </c>
      <c r="R2462" s="18">
        <v>2012.0</v>
      </c>
      <c r="S2462" s="18">
        <v>5.3</v>
      </c>
    </row>
    <row r="2463" ht="15.75" customHeight="1">
      <c r="A2463" s="25" t="s">
        <v>8032</v>
      </c>
      <c r="B2463" s="8" t="str">
        <f>IFERROR(__xludf.DUMMYFUNCTION("REGEXREPLACE(A2463, ""[^0-9a-zA-Z .'Ã]"","""")"),"Russell Crowe")</f>
        <v>Russell Crowe</v>
      </c>
      <c r="C2463" s="26">
        <v>183.0</v>
      </c>
      <c r="D2463" s="27">
        <v>4190530.0</v>
      </c>
      <c r="E2463" s="26" t="s">
        <v>679</v>
      </c>
      <c r="F2463" s="9">
        <f t="shared" si="1"/>
        <v>2</v>
      </c>
      <c r="G2463" s="26" t="s">
        <v>8033</v>
      </c>
      <c r="H2463" s="11" t="str">
        <f>IFERROR(__xludf.DUMMYFUNCTION("REGEXREPLACE(G2463, ""[^0-9a-zA-Z .'Ã]"","""")"),"Cem Yilmaz")</f>
        <v>Cem Yilmaz</v>
      </c>
      <c r="I2463" s="28" t="s">
        <v>8034</v>
      </c>
      <c r="J2463" s="26">
        <v>53341.0</v>
      </c>
      <c r="K2463" s="26" t="s">
        <v>8035</v>
      </c>
      <c r="L2463" s="26">
        <v>185.0</v>
      </c>
      <c r="M2463" s="26" t="s">
        <v>24</v>
      </c>
      <c r="N2463" s="26" t="s">
        <v>146</v>
      </c>
      <c r="O2463" s="27">
        <v>2.25E7</v>
      </c>
      <c r="P2463" s="10">
        <f t="shared" si="2"/>
        <v>0</v>
      </c>
      <c r="Q2463" s="12">
        <f t="shared" si="3"/>
        <v>18309470</v>
      </c>
      <c r="R2463" s="26">
        <v>2014.0</v>
      </c>
      <c r="S2463" s="26">
        <v>7.1</v>
      </c>
    </row>
    <row r="2464" ht="15.75" customHeight="1">
      <c r="A2464" s="7" t="s">
        <v>8036</v>
      </c>
      <c r="B2464" s="8" t="str">
        <f>IFERROR(__xludf.DUMMYFUNCTION("REGEXREPLACE(A2464, ""[^0-9a-zA-Z .'Ã]"","""")"),"David Anspaugh")</f>
        <v>David Anspaugh</v>
      </c>
      <c r="C2464" s="9">
        <v>21.0</v>
      </c>
      <c r="D2464" s="10">
        <v>375474.0</v>
      </c>
      <c r="E2464" s="9" t="s">
        <v>8037</v>
      </c>
      <c r="F2464" s="9">
        <f t="shared" si="1"/>
        <v>3</v>
      </c>
      <c r="G2464" s="9" t="s">
        <v>830</v>
      </c>
      <c r="H2464" s="11" t="str">
        <f>IFERROR(__xludf.DUMMYFUNCTION("REGEXREPLACE(G2464, ""[^0-9a-zA-Z .'Ã]"","""")"),"Gerard Butler")</f>
        <v>Gerard Butler</v>
      </c>
      <c r="I2464" s="11" t="s">
        <v>8038</v>
      </c>
      <c r="J2464" s="9">
        <v>2613.0</v>
      </c>
      <c r="K2464" s="9" t="s">
        <v>8039</v>
      </c>
      <c r="L2464" s="9">
        <v>46.0</v>
      </c>
      <c r="M2464" s="9" t="s">
        <v>24</v>
      </c>
      <c r="N2464" s="9" t="s">
        <v>25</v>
      </c>
      <c r="O2464" s="10">
        <v>2.0E7</v>
      </c>
      <c r="P2464" s="10">
        <f t="shared" si="2"/>
        <v>0</v>
      </c>
      <c r="Q2464" s="12">
        <f t="shared" si="3"/>
        <v>19624526</v>
      </c>
      <c r="R2464" s="9">
        <v>2005.0</v>
      </c>
      <c r="S2464" s="9">
        <v>6.2</v>
      </c>
    </row>
    <row r="2465" ht="15.75" customHeight="1">
      <c r="A2465" s="7" t="s">
        <v>5702</v>
      </c>
      <c r="B2465" s="8" t="str">
        <f>IFERROR(__xludf.DUMMYFUNCTION("REGEXREPLACE(A2465, ""[^0-9a-zA-Z .'Ã]"","""")"),"Jerry Zucker")</f>
        <v>Jerry Zucker</v>
      </c>
      <c r="C2465" s="9">
        <v>53.0</v>
      </c>
      <c r="D2465" s="10">
        <v>3.7600435E7</v>
      </c>
      <c r="E2465" s="9" t="s">
        <v>8040</v>
      </c>
      <c r="F2465" s="9">
        <f t="shared" si="1"/>
        <v>4</v>
      </c>
      <c r="G2465" s="9" t="s">
        <v>5082</v>
      </c>
      <c r="H2465" s="11" t="str">
        <f>IFERROR(__xludf.DUMMYFUNCTION("REGEXREPLACE(G2465, ""[^0-9a-zA-Z .'Ã]"","""")"),"Julia Ormond")</f>
        <v>Julia Ormond</v>
      </c>
      <c r="I2465" s="11" t="s">
        <v>8041</v>
      </c>
      <c r="J2465" s="9">
        <v>55350.0</v>
      </c>
      <c r="K2465" s="9" t="s">
        <v>8042</v>
      </c>
      <c r="L2465" s="9">
        <v>180.0</v>
      </c>
      <c r="M2465" s="9" t="s">
        <v>24</v>
      </c>
      <c r="N2465" s="9" t="s">
        <v>25</v>
      </c>
      <c r="O2465" s="10">
        <v>5.5E7</v>
      </c>
      <c r="P2465" s="10">
        <f t="shared" si="2"/>
        <v>0</v>
      </c>
      <c r="Q2465" s="12">
        <f t="shared" si="3"/>
        <v>17399565</v>
      </c>
      <c r="R2465" s="9">
        <v>1995.0</v>
      </c>
      <c r="S2465" s="9">
        <v>5.9</v>
      </c>
    </row>
    <row r="2466" ht="15.75" customHeight="1">
      <c r="A2466" s="25" t="s">
        <v>2409</v>
      </c>
      <c r="B2466" s="8" t="str">
        <f>IFERROR(__xludf.DUMMYFUNCTION("REGEXREPLACE(A2466, ""[^0-9a-zA-Z .'Ã]"","""")"),"Stephen Frears")</f>
        <v>Stephen Frears</v>
      </c>
      <c r="C2466" s="26">
        <v>155.0</v>
      </c>
      <c r="D2466" s="27">
        <v>2708188.0</v>
      </c>
      <c r="E2466" s="26" t="s">
        <v>159</v>
      </c>
      <c r="F2466" s="9">
        <f t="shared" si="1"/>
        <v>3</v>
      </c>
      <c r="G2466" s="26" t="s">
        <v>8043</v>
      </c>
      <c r="H2466" s="11" t="str">
        <f>IFERROR(__xludf.DUMMYFUNCTION("REGEXREPLACE(G2466, ""[^0-9a-zA-Z .'Ã]"","""")"),"Tom Burke")</f>
        <v>Tom Burke</v>
      </c>
      <c r="I2466" s="28" t="s">
        <v>8044</v>
      </c>
      <c r="J2466" s="26">
        <v>8924.0</v>
      </c>
      <c r="K2466" s="26" t="s">
        <v>8045</v>
      </c>
      <c r="L2466" s="26">
        <v>43.0</v>
      </c>
      <c r="M2466" s="26" t="s">
        <v>24</v>
      </c>
      <c r="N2466" s="26" t="s">
        <v>130</v>
      </c>
      <c r="O2466" s="27">
        <v>2.3E7</v>
      </c>
      <c r="P2466" s="10">
        <f t="shared" si="2"/>
        <v>0</v>
      </c>
      <c r="Q2466" s="12">
        <f t="shared" si="3"/>
        <v>20291812</v>
      </c>
      <c r="R2466" s="26">
        <v>2009.0</v>
      </c>
      <c r="S2466" s="26">
        <v>6.2</v>
      </c>
    </row>
    <row r="2467" ht="15.75" customHeight="1">
      <c r="A2467" s="17" t="s">
        <v>4196</v>
      </c>
      <c r="B2467" s="8" t="str">
        <f>IFERROR(__xludf.DUMMYFUNCTION("REGEXREPLACE(A2467, ""[^0-9a-zA-Z .'Ã]"","""")"),"Andrew Davis")</f>
        <v>Andrew Davis</v>
      </c>
      <c r="C2467" s="18">
        <v>106.0</v>
      </c>
      <c r="D2467" s="19">
        <v>6.7325559E7</v>
      </c>
      <c r="E2467" s="18" t="s">
        <v>8046</v>
      </c>
      <c r="F2467" s="9">
        <f t="shared" si="1"/>
        <v>5</v>
      </c>
      <c r="G2467" s="18" t="s">
        <v>1537</v>
      </c>
      <c r="H2467" s="11" t="str">
        <f>IFERROR(__xludf.DUMMYFUNCTION("REGEXREPLACE(G2467, ""[^0-9a-zA-Z .'Ã]"","""")"),"Tim Blake Nelson")</f>
        <v>Tim Blake Nelson</v>
      </c>
      <c r="I2467" s="20" t="s">
        <v>8047</v>
      </c>
      <c r="J2467" s="18">
        <v>58222.0</v>
      </c>
      <c r="K2467" s="18" t="s">
        <v>8048</v>
      </c>
      <c r="L2467" s="18">
        <v>331.0</v>
      </c>
      <c r="M2467" s="18" t="s">
        <v>24</v>
      </c>
      <c r="N2467" s="18" t="s">
        <v>25</v>
      </c>
      <c r="O2467" s="19">
        <v>2.0E7</v>
      </c>
      <c r="P2467" s="10">
        <f t="shared" si="2"/>
        <v>47325559</v>
      </c>
      <c r="Q2467" s="12">
        <f t="shared" si="3"/>
        <v>0</v>
      </c>
      <c r="R2467" s="18">
        <v>2003.0</v>
      </c>
      <c r="S2467" s="18">
        <v>7.1</v>
      </c>
    </row>
    <row r="2468" ht="15.75" customHeight="1">
      <c r="A2468" s="7" t="s">
        <v>2997</v>
      </c>
      <c r="B2468" s="8" t="str">
        <f>IFERROR(__xludf.DUMMYFUNCTION("REGEXREPLACE(A2468, ""[^0-9a-zA-Z .'Ã]"","""")"),"Chris Columbus")</f>
        <v>Chris Columbus</v>
      </c>
      <c r="C2468" s="9">
        <v>146.0</v>
      </c>
      <c r="D2468" s="10">
        <v>2.9077547E7</v>
      </c>
      <c r="E2468" s="9" t="s">
        <v>666</v>
      </c>
      <c r="F2468" s="9">
        <f t="shared" si="1"/>
        <v>3</v>
      </c>
      <c r="G2468" s="9" t="s">
        <v>3571</v>
      </c>
      <c r="H2468" s="11" t="str">
        <f>IFERROR(__xludf.DUMMYFUNCTION("REGEXREPLACE(G2468, ""[^0-9a-zA-Z .'Ã]"","""")"),"Rosario Dawson")</f>
        <v>Rosario Dawson</v>
      </c>
      <c r="I2468" s="11" t="s">
        <v>8049</v>
      </c>
      <c r="J2468" s="9">
        <v>41685.0</v>
      </c>
      <c r="K2468" s="9" t="s">
        <v>8050</v>
      </c>
      <c r="L2468" s="9">
        <v>754.0</v>
      </c>
      <c r="M2468" s="9" t="s">
        <v>24</v>
      </c>
      <c r="N2468" s="9" t="s">
        <v>25</v>
      </c>
      <c r="O2468" s="10">
        <v>4.0E7</v>
      </c>
      <c r="P2468" s="10">
        <f t="shared" si="2"/>
        <v>0</v>
      </c>
      <c r="Q2468" s="12">
        <f t="shared" si="3"/>
        <v>10922453</v>
      </c>
      <c r="R2468" s="9">
        <v>2005.0</v>
      </c>
      <c r="S2468" s="9">
        <v>7.0</v>
      </c>
    </row>
    <row r="2469" ht="15.75" customHeight="1">
      <c r="A2469" s="21" t="s">
        <v>1095</v>
      </c>
      <c r="B2469" s="8" t="str">
        <f>IFERROR(__xludf.DUMMYFUNCTION("REGEXREPLACE(A2469, ""[^0-9a-zA-Z .'Ã]"","""")"),"Renny Harlin")</f>
        <v>Renny Harlin</v>
      </c>
      <c r="C2469" s="22">
        <v>74.0</v>
      </c>
      <c r="D2469" s="23">
        <v>8.4049211E7</v>
      </c>
      <c r="E2469" s="22" t="s">
        <v>474</v>
      </c>
      <c r="F2469" s="9">
        <f t="shared" si="1"/>
        <v>3</v>
      </c>
      <c r="G2469" s="22" t="s">
        <v>2532</v>
      </c>
      <c r="H2469" s="11" t="str">
        <f>IFERROR(__xludf.DUMMYFUNCTION("REGEXREPLACE(G2469, ""[^0-9a-zA-Z .'Ã]"","""")"),"Sylvester Stallone")</f>
        <v>Sylvester Stallone</v>
      </c>
      <c r="I2469" s="24" t="s">
        <v>8051</v>
      </c>
      <c r="J2469" s="22">
        <v>96096.0</v>
      </c>
      <c r="K2469" s="22" t="s">
        <v>8052</v>
      </c>
      <c r="L2469" s="22">
        <v>172.0</v>
      </c>
      <c r="M2469" s="22" t="s">
        <v>24</v>
      </c>
      <c r="N2469" s="22" t="s">
        <v>25</v>
      </c>
      <c r="O2469" s="23">
        <v>7.0E7</v>
      </c>
      <c r="P2469" s="10">
        <f t="shared" si="2"/>
        <v>14049211</v>
      </c>
      <c r="Q2469" s="12">
        <f t="shared" si="3"/>
        <v>0</v>
      </c>
      <c r="R2469" s="22">
        <v>1993.0</v>
      </c>
      <c r="S2469" s="22">
        <v>6.4</v>
      </c>
    </row>
    <row r="2470" ht="15.75" customHeight="1">
      <c r="A2470" s="29" t="s">
        <v>8053</v>
      </c>
      <c r="B2470" s="8" t="str">
        <f>IFERROR(__xludf.DUMMYFUNCTION("REGEXREPLACE(A2470, ""[^0-9a-zA-Z .'Ã]"","""")"),"Chris Butler")</f>
        <v>Chris Butler</v>
      </c>
      <c r="C2470" s="30">
        <v>328.0</v>
      </c>
      <c r="D2470" s="31">
        <v>5.5994557E7</v>
      </c>
      <c r="E2470" s="30" t="s">
        <v>301</v>
      </c>
      <c r="F2470" s="9">
        <f t="shared" si="1"/>
        <v>5</v>
      </c>
      <c r="G2470" s="30" t="s">
        <v>2887</v>
      </c>
      <c r="H2470" s="11" t="str">
        <f>IFERROR(__xludf.DUMMYFUNCTION("REGEXREPLACE(G2470, ""[^0-9a-zA-Z .'Ã]"","""")"),"Anna Kendrick")</f>
        <v>Anna Kendrick</v>
      </c>
      <c r="I2470" s="32" t="s">
        <v>8054</v>
      </c>
      <c r="J2470" s="30">
        <v>72287.0</v>
      </c>
      <c r="K2470" s="30" t="s">
        <v>8055</v>
      </c>
      <c r="L2470" s="30">
        <v>176.0</v>
      </c>
      <c r="M2470" s="30" t="s">
        <v>24</v>
      </c>
      <c r="N2470" s="30" t="s">
        <v>25</v>
      </c>
      <c r="O2470" s="31">
        <v>6.0E7</v>
      </c>
      <c r="P2470" s="10">
        <f t="shared" si="2"/>
        <v>0</v>
      </c>
      <c r="Q2470" s="12">
        <f t="shared" si="3"/>
        <v>4005443</v>
      </c>
      <c r="R2470" s="30">
        <v>2012.0</v>
      </c>
      <c r="S2470" s="30">
        <v>7.0</v>
      </c>
    </row>
    <row r="2471" ht="15.75" customHeight="1">
      <c r="A2471" s="7" t="s">
        <v>3175</v>
      </c>
      <c r="B2471" s="8" t="str">
        <f>IFERROR(__xludf.DUMMYFUNCTION("REGEXREPLACE(A2471, ""[^0-9a-zA-Z .'Ã]"","""")"),"Curtis Hanson")</f>
        <v>Curtis Hanson</v>
      </c>
      <c r="C2471" s="9">
        <v>173.0</v>
      </c>
      <c r="D2471" s="10">
        <v>1.9389454E7</v>
      </c>
      <c r="E2471" s="9" t="s">
        <v>454</v>
      </c>
      <c r="F2471" s="9">
        <f t="shared" si="1"/>
        <v>2</v>
      </c>
      <c r="G2471" s="9" t="s">
        <v>327</v>
      </c>
      <c r="H2471" s="11" t="str">
        <f>IFERROR(__xludf.DUMMYFUNCTION("REGEXREPLACE(G2471, ""[^0-9a-zA-Z .'Ã]"","""")"),"Robert Downey Jr.")</f>
        <v>Robert Downey Jr.</v>
      </c>
      <c r="I2471" s="11" t="s">
        <v>8056</v>
      </c>
      <c r="J2471" s="9">
        <v>54643.0</v>
      </c>
      <c r="K2471" s="9" t="s">
        <v>8057</v>
      </c>
      <c r="L2471" s="9">
        <v>335.0</v>
      </c>
      <c r="M2471" s="9" t="s">
        <v>24</v>
      </c>
      <c r="N2471" s="9" t="s">
        <v>25</v>
      </c>
      <c r="O2471" s="10">
        <v>5.5E7</v>
      </c>
      <c r="P2471" s="10">
        <f t="shared" si="2"/>
        <v>0</v>
      </c>
      <c r="Q2471" s="12">
        <f t="shared" si="3"/>
        <v>35610546</v>
      </c>
      <c r="R2471" s="9">
        <v>2000.0</v>
      </c>
      <c r="S2471" s="9">
        <v>7.4</v>
      </c>
    </row>
    <row r="2472" ht="15.75" customHeight="1">
      <c r="A2472" s="7" t="s">
        <v>38</v>
      </c>
      <c r="B2472" s="8" t="str">
        <f>IFERROR(__xludf.DUMMYFUNCTION("REGEXREPLACE(A2472, ""[^0-9a-zA-Z .'Ã]"","""")"),"Clint Eastwood")</f>
        <v>Clint Eastwood</v>
      </c>
      <c r="C2472" s="9">
        <v>131.0</v>
      </c>
      <c r="D2472" s="10">
        <v>1.01157447E8</v>
      </c>
      <c r="E2472" s="9" t="s">
        <v>3765</v>
      </c>
      <c r="F2472" s="9">
        <f t="shared" si="1"/>
        <v>2</v>
      </c>
      <c r="G2472" s="9" t="s">
        <v>38</v>
      </c>
      <c r="H2472" s="11" t="str">
        <f>IFERROR(__xludf.DUMMYFUNCTION("REGEXREPLACE(G2472, ""[^0-9a-zA-Z .'Ã]"","""")"),"Clint Eastwood")</f>
        <v>Clint Eastwood</v>
      </c>
      <c r="I2472" s="11" t="s">
        <v>8058</v>
      </c>
      <c r="J2472" s="9">
        <v>277505.0</v>
      </c>
      <c r="K2472" s="9" t="s">
        <v>8059</v>
      </c>
      <c r="L2472" s="9">
        <v>495.0</v>
      </c>
      <c r="M2472" s="9" t="s">
        <v>24</v>
      </c>
      <c r="N2472" s="9" t="s">
        <v>25</v>
      </c>
      <c r="O2472" s="10">
        <v>1.44E7</v>
      </c>
      <c r="P2472" s="10">
        <f t="shared" si="2"/>
        <v>86757447</v>
      </c>
      <c r="Q2472" s="12">
        <f t="shared" si="3"/>
        <v>0</v>
      </c>
      <c r="R2472" s="9">
        <v>1992.0</v>
      </c>
      <c r="S2472" s="9">
        <v>8.3</v>
      </c>
    </row>
    <row r="2473" ht="15.75" customHeight="1">
      <c r="A2473" s="7" t="s">
        <v>8060</v>
      </c>
      <c r="B2473" s="8" t="str">
        <f>IFERROR(__xludf.DUMMYFUNCTION("REGEXREPLACE(A2473, ""[^0-9a-zA-Z .'Ã]"","""")"),"John Cornell")</f>
        <v>John Cornell</v>
      </c>
      <c r="C2473" s="9">
        <v>32.0</v>
      </c>
      <c r="D2473" s="10">
        <v>1.0930621E8</v>
      </c>
      <c r="E2473" s="9" t="s">
        <v>1879</v>
      </c>
      <c r="F2473" s="9">
        <f t="shared" si="1"/>
        <v>3</v>
      </c>
      <c r="G2473" s="9" t="s">
        <v>5680</v>
      </c>
      <c r="H2473" s="11" t="str">
        <f>IFERROR(__xludf.DUMMYFUNCTION("REGEXREPLACE(G2473, ""[^0-9a-zA-Z .'Ã]"","""")"),"Paul Hogan")</f>
        <v>Paul Hogan</v>
      </c>
      <c r="I2473" s="11" t="s">
        <v>8061</v>
      </c>
      <c r="J2473" s="9">
        <v>44096.0</v>
      </c>
      <c r="K2473" s="9" t="s">
        <v>8062</v>
      </c>
      <c r="L2473" s="9">
        <v>62.0</v>
      </c>
      <c r="M2473" s="9" t="s">
        <v>24</v>
      </c>
      <c r="N2473" s="9" t="s">
        <v>146</v>
      </c>
      <c r="O2473" s="10">
        <v>1.58E7</v>
      </c>
      <c r="P2473" s="10">
        <f t="shared" si="2"/>
        <v>93506210</v>
      </c>
      <c r="Q2473" s="12">
        <f t="shared" si="3"/>
        <v>0</v>
      </c>
      <c r="R2473" s="9">
        <v>1988.0</v>
      </c>
      <c r="S2473" s="9">
        <v>5.5</v>
      </c>
    </row>
    <row r="2474" ht="15.75" customHeight="1">
      <c r="A2474" s="21" t="s">
        <v>1489</v>
      </c>
      <c r="B2474" s="8" t="str">
        <f>IFERROR(__xludf.DUMMYFUNCTION("REGEXREPLACE(A2474, ""[^0-9a-zA-Z .'Ã]"","""")"),"John Madden")</f>
        <v>John Madden</v>
      </c>
      <c r="C2474" s="22">
        <v>258.0</v>
      </c>
      <c r="D2474" s="23">
        <v>3.114657E7</v>
      </c>
      <c r="E2474" s="22" t="s">
        <v>369</v>
      </c>
      <c r="F2474" s="9">
        <f t="shared" si="1"/>
        <v>2</v>
      </c>
      <c r="G2474" s="22" t="s">
        <v>1490</v>
      </c>
      <c r="H2474" s="11" t="str">
        <f>IFERROR(__xludf.DUMMYFUNCTION("REGEXREPLACE(G2474, ""[^0-9a-zA-Z .'Ã]"","""")"),"Tom Wilkinson")</f>
        <v>Tom Wilkinson</v>
      </c>
      <c r="I2474" s="24" t="s">
        <v>8063</v>
      </c>
      <c r="J2474" s="22">
        <v>55441.0</v>
      </c>
      <c r="K2474" s="22" t="s">
        <v>8064</v>
      </c>
      <c r="L2474" s="22">
        <v>165.0</v>
      </c>
      <c r="M2474" s="22" t="s">
        <v>24</v>
      </c>
      <c r="N2474" s="22" t="s">
        <v>25</v>
      </c>
      <c r="O2474" s="23">
        <v>2.0E7</v>
      </c>
      <c r="P2474" s="10">
        <f t="shared" si="2"/>
        <v>11146570</v>
      </c>
      <c r="Q2474" s="12">
        <f t="shared" si="3"/>
        <v>0</v>
      </c>
      <c r="R2474" s="22">
        <v>2010.0</v>
      </c>
      <c r="S2474" s="22">
        <v>6.9</v>
      </c>
    </row>
    <row r="2475" ht="15.75" customHeight="1">
      <c r="A2475" s="29" t="s">
        <v>8065</v>
      </c>
      <c r="B2475" s="8" t="str">
        <f>IFERROR(__xludf.DUMMYFUNCTION("REGEXREPLACE(A2475, ""[^0-9a-zA-Z .'Ã]"","""")"),"Fred Schepisi")</f>
        <v>Fred Schepisi</v>
      </c>
      <c r="C2475" s="30">
        <v>61.0</v>
      </c>
      <c r="D2475" s="31">
        <v>2326407.0</v>
      </c>
      <c r="E2475" s="30" t="s">
        <v>103</v>
      </c>
      <c r="F2475" s="9">
        <f t="shared" si="1"/>
        <v>1</v>
      </c>
      <c r="G2475" s="30" t="s">
        <v>597</v>
      </c>
      <c r="H2475" s="11" t="str">
        <f>IFERROR(__xludf.DUMMYFUNCTION("REGEXREPLACE(G2475, ""[^0-9a-zA-Z .'Ã]"","""")"),"Bob Hoskins")</f>
        <v>Bob Hoskins</v>
      </c>
      <c r="I2475" s="32" t="s">
        <v>8066</v>
      </c>
      <c r="J2475" s="30">
        <v>5016.0</v>
      </c>
      <c r="K2475" s="30" t="s">
        <v>8067</v>
      </c>
      <c r="L2475" s="30">
        <v>99.0</v>
      </c>
      <c r="M2475" s="30" t="s">
        <v>24</v>
      </c>
      <c r="N2475" s="30" t="s">
        <v>130</v>
      </c>
      <c r="O2475" s="31">
        <v>1.2E7</v>
      </c>
      <c r="P2475" s="10">
        <f t="shared" si="2"/>
        <v>0</v>
      </c>
      <c r="Q2475" s="12">
        <f t="shared" si="3"/>
        <v>9673593</v>
      </c>
      <c r="R2475" s="30">
        <v>2001.0</v>
      </c>
      <c r="S2475" s="30">
        <v>7.0</v>
      </c>
    </row>
    <row r="2476" ht="15.75" customHeight="1">
      <c r="A2476" s="7" t="s">
        <v>1808</v>
      </c>
      <c r="B2476" s="8" t="str">
        <f>IFERROR(__xludf.DUMMYFUNCTION("REGEXREPLACE(A2476, ""[^0-9a-zA-Z .'Ã]"","""")"),"Justin Chadwick")</f>
        <v>Justin Chadwick</v>
      </c>
      <c r="C2476" s="9">
        <v>169.0</v>
      </c>
      <c r="D2476" s="10">
        <v>2.6814957E7</v>
      </c>
      <c r="E2476" s="9" t="s">
        <v>69</v>
      </c>
      <c r="F2476" s="9">
        <f t="shared" si="1"/>
        <v>4</v>
      </c>
      <c r="G2476" s="9" t="s">
        <v>1088</v>
      </c>
      <c r="H2476" s="11" t="str">
        <f>IFERROR(__xludf.DUMMYFUNCTION("REGEXREPLACE(G2476, ""[^0-9a-zA-Z .'Ã]"","""")"),"Natalie Portman")</f>
        <v>Natalie Portman</v>
      </c>
      <c r="I2476" s="11" t="s">
        <v>8068</v>
      </c>
      <c r="J2476" s="9">
        <v>84357.0</v>
      </c>
      <c r="K2476" s="9" t="s">
        <v>8069</v>
      </c>
      <c r="L2476" s="9">
        <v>252.0</v>
      </c>
      <c r="M2476" s="9" t="s">
        <v>24</v>
      </c>
      <c r="N2476" s="9" t="s">
        <v>130</v>
      </c>
      <c r="O2476" s="10">
        <v>3.5E7</v>
      </c>
      <c r="P2476" s="10">
        <f t="shared" si="2"/>
        <v>0</v>
      </c>
      <c r="Q2476" s="12">
        <f t="shared" si="3"/>
        <v>8185043</v>
      </c>
      <c r="R2476" s="9">
        <v>2008.0</v>
      </c>
      <c r="S2476" s="9">
        <v>6.7</v>
      </c>
    </row>
    <row r="2477" ht="15.75" customHeight="1">
      <c r="A2477" s="21" t="s">
        <v>5625</v>
      </c>
      <c r="B2477" s="8" t="str">
        <f>IFERROR(__xludf.DUMMYFUNCTION("REGEXREPLACE(A2477, ""[^0-9a-zA-Z .'Ã]"","""")"),"Andy Fickman")</f>
        <v>Andy Fickman</v>
      </c>
      <c r="C2477" s="22">
        <v>76.0</v>
      </c>
      <c r="D2477" s="23">
        <v>7.103819E7</v>
      </c>
      <c r="E2477" s="22" t="s">
        <v>265</v>
      </c>
      <c r="F2477" s="9">
        <f t="shared" si="1"/>
        <v>3</v>
      </c>
      <c r="G2477" s="22" t="s">
        <v>8070</v>
      </c>
      <c r="H2477" s="11" t="str">
        <f>IFERROR(__xludf.DUMMYFUNCTION("REGEXREPLACE(G2477, ""[^0-9a-zA-Z .'Ã]"","""")"),"D.B. Woodside")</f>
        <v>D.B. Woodside</v>
      </c>
      <c r="I2477" s="24" t="s">
        <v>8071</v>
      </c>
      <c r="J2477" s="22">
        <v>23473.0</v>
      </c>
      <c r="K2477" s="22" t="s">
        <v>8072</v>
      </c>
      <c r="L2477" s="22">
        <v>123.0</v>
      </c>
      <c r="M2477" s="22" t="s">
        <v>24</v>
      </c>
      <c r="N2477" s="22" t="s">
        <v>25</v>
      </c>
      <c r="O2477" s="23">
        <v>3.0E7</v>
      </c>
      <c r="P2477" s="10">
        <f t="shared" si="2"/>
        <v>41038190</v>
      </c>
      <c r="Q2477" s="12">
        <f t="shared" si="3"/>
        <v>0</v>
      </c>
      <c r="R2477" s="22">
        <v>2015.0</v>
      </c>
      <c r="S2477" s="22">
        <v>4.4</v>
      </c>
    </row>
    <row r="2478" ht="15.75" customHeight="1">
      <c r="A2478" s="21" t="s">
        <v>2059</v>
      </c>
      <c r="B2478" s="8" t="str">
        <f>IFERROR(__xludf.DUMMYFUNCTION("REGEXREPLACE(A2478, ""[^0-9a-zA-Z .'Ã]"","""")"),"John Pasquin")</f>
        <v>John Pasquin</v>
      </c>
      <c r="C2478" s="22">
        <v>55.0</v>
      </c>
      <c r="D2478" s="23">
        <v>2.2770864E7</v>
      </c>
      <c r="E2478" s="22" t="s">
        <v>454</v>
      </c>
      <c r="F2478" s="9">
        <f t="shared" si="1"/>
        <v>2</v>
      </c>
      <c r="G2478" s="22" t="s">
        <v>6317</v>
      </c>
      <c r="H2478" s="11" t="str">
        <f>IFERROR(__xludf.DUMMYFUNCTION("REGEXREPLACE(G2478, ""[^0-9a-zA-Z .'Ã]"","""")"),"Jim Belushi")</f>
        <v>Jim Belushi</v>
      </c>
      <c r="I2478" s="24" t="s">
        <v>8073</v>
      </c>
      <c r="J2478" s="22">
        <v>8433.0</v>
      </c>
      <c r="K2478" s="22" t="s">
        <v>8074</v>
      </c>
      <c r="L2478" s="22">
        <v>85.0</v>
      </c>
      <c r="M2478" s="22" t="s">
        <v>24</v>
      </c>
      <c r="N2478" s="22" t="s">
        <v>25</v>
      </c>
      <c r="O2478" s="23">
        <v>3.8E7</v>
      </c>
      <c r="P2478" s="10">
        <f t="shared" si="2"/>
        <v>0</v>
      </c>
      <c r="Q2478" s="12">
        <f t="shared" si="3"/>
        <v>15229136</v>
      </c>
      <c r="R2478" s="22">
        <v>2001.0</v>
      </c>
      <c r="S2478" s="22">
        <v>5.5</v>
      </c>
    </row>
    <row r="2479" ht="15.75" customHeight="1">
      <c r="A2479" s="17" t="s">
        <v>1868</v>
      </c>
      <c r="B2479" s="8" t="str">
        <f>IFERROR(__xludf.DUMMYFUNCTION("REGEXREPLACE(A2479, ""[^0-9a-zA-Z .'Ã]"","""")"),"Brett Ratner")</f>
        <v>Brett Ratner</v>
      </c>
      <c r="C2479" s="18">
        <v>210.0</v>
      </c>
      <c r="D2479" s="19">
        <v>9.2930005E7</v>
      </c>
      <c r="E2479" s="18" t="s">
        <v>113</v>
      </c>
      <c r="F2479" s="9">
        <f t="shared" si="1"/>
        <v>3</v>
      </c>
      <c r="G2479" s="18" t="s">
        <v>1340</v>
      </c>
      <c r="H2479" s="11" t="str">
        <f>IFERROR(__xludf.DUMMYFUNCTION("REGEXREPLACE(G2479, ""[^0-9a-zA-Z .'Ã]"","""")"),"Philip Seymour Hoffman")</f>
        <v>Philip Seymour Hoffman</v>
      </c>
      <c r="I2479" s="20" t="s">
        <v>8075</v>
      </c>
      <c r="J2479" s="18">
        <v>204063.0</v>
      </c>
      <c r="K2479" s="18" t="s">
        <v>8076</v>
      </c>
      <c r="L2479" s="18">
        <v>764.0</v>
      </c>
      <c r="M2479" s="18" t="s">
        <v>24</v>
      </c>
      <c r="N2479" s="18" t="s">
        <v>173</v>
      </c>
      <c r="O2479" s="19">
        <v>7.8E7</v>
      </c>
      <c r="P2479" s="10">
        <f t="shared" si="2"/>
        <v>14930005</v>
      </c>
      <c r="Q2479" s="12">
        <f t="shared" si="3"/>
        <v>0</v>
      </c>
      <c r="R2479" s="18">
        <v>2002.0</v>
      </c>
      <c r="S2479" s="18">
        <v>7.2</v>
      </c>
    </row>
    <row r="2480" ht="15.75" customHeight="1">
      <c r="A2480" s="7" t="s">
        <v>3762</v>
      </c>
      <c r="B2480" s="8" t="str">
        <f>IFERROR(__xludf.DUMMYFUNCTION("REGEXREPLACE(A2480, ""[^0-9a-zA-Z .'Ã]"","""")"),"John Stockwell")</f>
        <v>John Stockwell</v>
      </c>
      <c r="C2480" s="9">
        <v>69.0</v>
      </c>
      <c r="D2480" s="10">
        <v>4.011842E7</v>
      </c>
      <c r="E2480" s="9" t="s">
        <v>6081</v>
      </c>
      <c r="F2480" s="9">
        <f t="shared" si="1"/>
        <v>3</v>
      </c>
      <c r="G2480" s="9" t="s">
        <v>4304</v>
      </c>
      <c r="H2480" s="11" t="str">
        <f>IFERROR(__xludf.DUMMYFUNCTION("REGEXREPLACE(G2480, ""[^0-9a-zA-Z .'Ã]"","""")"),"Faizon Love")</f>
        <v>Faizon Love</v>
      </c>
      <c r="I2480" s="11" t="s">
        <v>8077</v>
      </c>
      <c r="J2480" s="9">
        <v>26066.0</v>
      </c>
      <c r="K2480" s="9" t="s">
        <v>8078</v>
      </c>
      <c r="L2480" s="9">
        <v>216.0</v>
      </c>
      <c r="M2480" s="9" t="s">
        <v>24</v>
      </c>
      <c r="N2480" s="9" t="s">
        <v>25</v>
      </c>
      <c r="O2480" s="10">
        <v>3.0E7</v>
      </c>
      <c r="P2480" s="10">
        <f t="shared" si="2"/>
        <v>10118420</v>
      </c>
      <c r="Q2480" s="12">
        <f t="shared" si="3"/>
        <v>0</v>
      </c>
      <c r="R2480" s="9">
        <v>2002.0</v>
      </c>
      <c r="S2480" s="9">
        <v>5.6</v>
      </c>
    </row>
    <row r="2481" ht="15.75" customHeight="1">
      <c r="A2481" s="25" t="s">
        <v>2599</v>
      </c>
      <c r="B2481" s="8" t="str">
        <f>IFERROR(__xludf.DUMMYFUNCTION("REGEXREPLACE(A2481, ""[^0-9a-zA-Z .'Ã]"","""")"),"Richard Linklater")</f>
        <v>Richard Linklater</v>
      </c>
      <c r="C2481" s="26">
        <v>231.0</v>
      </c>
      <c r="D2481" s="27">
        <v>9203192.0</v>
      </c>
      <c r="E2481" s="26" t="s">
        <v>169</v>
      </c>
      <c r="F2481" s="9">
        <f t="shared" si="1"/>
        <v>3</v>
      </c>
      <c r="G2481" s="26" t="s">
        <v>80</v>
      </c>
      <c r="H2481" s="11" t="str">
        <f>IFERROR(__xludf.DUMMYFUNCTION("REGEXREPLACE(G2481, ""[^0-9a-zA-Z .'Ã]"","""")"),"Matthew McConaughey")</f>
        <v>Matthew McConaughey</v>
      </c>
      <c r="I2481" s="28" t="s">
        <v>8079</v>
      </c>
      <c r="J2481" s="26">
        <v>45396.0</v>
      </c>
      <c r="K2481" s="26" t="s">
        <v>8080</v>
      </c>
      <c r="L2481" s="26">
        <v>136.0</v>
      </c>
      <c r="M2481" s="26" t="s">
        <v>24</v>
      </c>
      <c r="N2481" s="26" t="s">
        <v>25</v>
      </c>
      <c r="O2481" s="27">
        <v>5000000.0</v>
      </c>
      <c r="P2481" s="10">
        <f t="shared" si="2"/>
        <v>4203192</v>
      </c>
      <c r="Q2481" s="12">
        <f t="shared" si="3"/>
        <v>0</v>
      </c>
      <c r="R2481" s="26">
        <v>2011.0</v>
      </c>
      <c r="S2481" s="26">
        <v>6.8</v>
      </c>
    </row>
    <row r="2482" ht="15.75" customHeight="1">
      <c r="A2482" s="7" t="s">
        <v>1072</v>
      </c>
      <c r="B2482" s="8" t="str">
        <f>IFERROR(__xludf.DUMMYFUNCTION("REGEXREPLACE(A2482, ""[^0-9a-zA-Z .'Ã]"","""")"),"David Raynr")</f>
        <v>David Raynr</v>
      </c>
      <c r="C2482" s="9">
        <v>24.0</v>
      </c>
      <c r="D2482" s="10">
        <v>1.9184015E7</v>
      </c>
      <c r="E2482" s="9" t="s">
        <v>8081</v>
      </c>
      <c r="F2482" s="9">
        <f t="shared" si="1"/>
        <v>3</v>
      </c>
      <c r="G2482" s="9" t="s">
        <v>8082</v>
      </c>
      <c r="H2482" s="11" t="str">
        <f>IFERROR(__xludf.DUMMYFUNCTION("REGEXREPLACE(G2482, ""[^0-9a-zA-Z .'Ã]"","""")"),"Nancy O'Dell")</f>
        <v>Nancy O'Dell</v>
      </c>
      <c r="I2482" s="11" t="s">
        <v>8083</v>
      </c>
      <c r="J2482" s="9">
        <v>1466.0</v>
      </c>
      <c r="K2482" s="9" t="s">
        <v>8084</v>
      </c>
      <c r="L2482" s="9">
        <v>35.0</v>
      </c>
      <c r="M2482" s="9" t="s">
        <v>24</v>
      </c>
      <c r="N2482" s="9" t="s">
        <v>25</v>
      </c>
      <c r="O2482" s="10">
        <v>3000000.0</v>
      </c>
      <c r="P2482" s="10">
        <f t="shared" si="2"/>
        <v>16184015</v>
      </c>
      <c r="Q2482" s="12">
        <f t="shared" si="3"/>
        <v>0</v>
      </c>
      <c r="R2482" s="9">
        <v>2002.0</v>
      </c>
      <c r="S2482" s="9">
        <v>5.4</v>
      </c>
    </row>
    <row r="2483" ht="15.75" customHeight="1">
      <c r="A2483" s="7" t="s">
        <v>73</v>
      </c>
      <c r="B2483" s="8" t="str">
        <f>IFERROR(__xludf.DUMMYFUNCTION("REGEXREPLACE(A2483, ""[^0-9a-zA-Z .'Ã]"","""")"),"Ridley Scott")</f>
        <v>Ridley Scott</v>
      </c>
      <c r="C2483" s="9">
        <v>568.0</v>
      </c>
      <c r="D2483" s="10">
        <v>2.28430993E8</v>
      </c>
      <c r="E2483" s="9" t="s">
        <v>7495</v>
      </c>
      <c r="F2483" s="9">
        <f t="shared" si="1"/>
        <v>3</v>
      </c>
      <c r="G2483" s="9" t="s">
        <v>585</v>
      </c>
      <c r="H2483" s="11" t="str">
        <f>IFERROR(__xludf.DUMMYFUNCTION("REGEXREPLACE(G2483, ""[^0-9a-zA-Z .'Ã]"","""")"),"Matt Damon")</f>
        <v>Matt Damon</v>
      </c>
      <c r="I2483" s="11" t="s">
        <v>8085</v>
      </c>
      <c r="J2483" s="9">
        <v>472488.0</v>
      </c>
      <c r="K2483" s="9" t="s">
        <v>8086</v>
      </c>
      <c r="L2483" s="9">
        <v>1023.0</v>
      </c>
      <c r="M2483" s="9" t="s">
        <v>24</v>
      </c>
      <c r="N2483" s="9" t="s">
        <v>25</v>
      </c>
      <c r="O2483" s="10">
        <v>1.08E8</v>
      </c>
      <c r="P2483" s="10">
        <f t="shared" si="2"/>
        <v>120430993</v>
      </c>
      <c r="Q2483" s="12">
        <f t="shared" si="3"/>
        <v>0</v>
      </c>
      <c r="R2483" s="9">
        <v>2015.0</v>
      </c>
      <c r="S2483" s="9">
        <v>8.1</v>
      </c>
    </row>
    <row r="2484" ht="15.75" customHeight="1">
      <c r="A2484" s="29" t="s">
        <v>8087</v>
      </c>
      <c r="B2484" s="8" t="str">
        <f>IFERROR(__xludf.DUMMYFUNCTION("REGEXREPLACE(A2484, ""[^0-9a-zA-Z .'Ã]"","""")"),"Eric Bross")</f>
        <v>Eric Bross</v>
      </c>
      <c r="C2484" s="30">
        <v>46.0</v>
      </c>
      <c r="D2484" s="31">
        <v>4356743.0</v>
      </c>
      <c r="E2484" s="30" t="s">
        <v>289</v>
      </c>
      <c r="F2484" s="9">
        <f t="shared" si="1"/>
        <v>3</v>
      </c>
      <c r="G2484" s="30" t="s">
        <v>7990</v>
      </c>
      <c r="H2484" s="11" t="str">
        <f>IFERROR(__xludf.DUMMYFUNCTION("REGEXREPLACE(G2484, ""[^0-9a-zA-Z .'Ã]"","""")"),"Jerry Stiller")</f>
        <v>Jerry Stiller</v>
      </c>
      <c r="I2484" s="32" t="s">
        <v>8088</v>
      </c>
      <c r="J2484" s="30">
        <v>3662.0</v>
      </c>
      <c r="K2484" s="30" t="s">
        <v>8089</v>
      </c>
      <c r="L2484" s="30">
        <v>79.0</v>
      </c>
      <c r="M2484" s="30" t="s">
        <v>24</v>
      </c>
      <c r="N2484" s="30" t="s">
        <v>25</v>
      </c>
      <c r="O2484" s="31">
        <v>1.6E7</v>
      </c>
      <c r="P2484" s="10">
        <f t="shared" si="2"/>
        <v>0</v>
      </c>
      <c r="Q2484" s="12">
        <f t="shared" si="3"/>
        <v>11643257</v>
      </c>
      <c r="R2484" s="30">
        <v>2001.0</v>
      </c>
      <c r="S2484" s="30">
        <v>4.1</v>
      </c>
    </row>
    <row r="2485" ht="15.75" customHeight="1">
      <c r="A2485" s="7" t="s">
        <v>8090</v>
      </c>
      <c r="B2485" s="8" t="str">
        <f>IFERROR(__xludf.DUMMYFUNCTION("REGEXREPLACE(A2485, ""[^0-9a-zA-Z .'Ã]"","""")"),"Guy Maddin")</f>
        <v>Guy Maddin</v>
      </c>
      <c r="C2485" s="9">
        <v>58.0</v>
      </c>
      <c r="D2485" s="10">
        <v>39659.0</v>
      </c>
      <c r="E2485" s="9" t="s">
        <v>8091</v>
      </c>
      <c r="F2485" s="9">
        <f t="shared" si="1"/>
        <v>3</v>
      </c>
      <c r="G2485" s="9" t="s">
        <v>8092</v>
      </c>
      <c r="H2485" s="11" t="str">
        <f>IFERROR(__xludf.DUMMYFUNCTION("REGEXREPLACE(G2485, ""[^0-9a-zA-Z .'Ã]"","""")"),"Sarah MurphyDyson")</f>
        <v>Sarah MurphyDyson</v>
      </c>
      <c r="I2485" s="11" t="s">
        <v>8093</v>
      </c>
      <c r="J2485" s="9">
        <v>1555.0</v>
      </c>
      <c r="K2485" s="9" t="s">
        <v>8094</v>
      </c>
      <c r="L2485" s="9">
        <v>32.0</v>
      </c>
      <c r="M2485" s="9" t="s">
        <v>24</v>
      </c>
      <c r="N2485" s="9" t="s">
        <v>624</v>
      </c>
      <c r="O2485" s="10">
        <v>1600000.0</v>
      </c>
      <c r="P2485" s="10">
        <f t="shared" si="2"/>
        <v>0</v>
      </c>
      <c r="Q2485" s="12">
        <f t="shared" si="3"/>
        <v>1560341</v>
      </c>
      <c r="R2485" s="9">
        <v>2002.0</v>
      </c>
      <c r="S2485" s="9">
        <v>7.0</v>
      </c>
    </row>
    <row r="2486" ht="15.75" customHeight="1">
      <c r="A2486" s="21" t="s">
        <v>8095</v>
      </c>
      <c r="B2486" s="8" t="str">
        <f>IFERROR(__xludf.DUMMYFUNCTION("REGEXREPLACE(A2486, ""[^0-9a-zA-Z .'Ã]"","""")"),"Bill Paxton")</f>
        <v>Bill Paxton</v>
      </c>
      <c r="C2486" s="22">
        <v>161.0</v>
      </c>
      <c r="D2486" s="23">
        <v>1.3103828E7</v>
      </c>
      <c r="E2486" s="22" t="s">
        <v>113</v>
      </c>
      <c r="F2486" s="9">
        <f t="shared" si="1"/>
        <v>3</v>
      </c>
      <c r="G2486" s="22" t="s">
        <v>80</v>
      </c>
      <c r="H2486" s="11" t="str">
        <f>IFERROR(__xludf.DUMMYFUNCTION("REGEXREPLACE(G2486, ""[^0-9a-zA-Z .'Ã]"","""")"),"Matthew McConaughey")</f>
        <v>Matthew McConaughey</v>
      </c>
      <c r="I2486" s="24" t="s">
        <v>8096</v>
      </c>
      <c r="J2486" s="22">
        <v>59982.0</v>
      </c>
      <c r="K2486" s="22" t="s">
        <v>8097</v>
      </c>
      <c r="L2486" s="22">
        <v>463.0</v>
      </c>
      <c r="M2486" s="22" t="s">
        <v>24</v>
      </c>
      <c r="N2486" s="22" t="s">
        <v>25</v>
      </c>
      <c r="O2486" s="23">
        <v>1.1E7</v>
      </c>
      <c r="P2486" s="10">
        <f t="shared" si="2"/>
        <v>2103828</v>
      </c>
      <c r="Q2486" s="12">
        <f t="shared" si="3"/>
        <v>0</v>
      </c>
      <c r="R2486" s="22">
        <v>2001.0</v>
      </c>
      <c r="S2486" s="22">
        <v>7.3</v>
      </c>
    </row>
    <row r="2487" ht="15.75" customHeight="1">
      <c r="A2487" s="17" t="s">
        <v>928</v>
      </c>
      <c r="B2487" s="8" t="str">
        <f>IFERROR(__xludf.DUMMYFUNCTION("REGEXREPLACE(A2487, ""[^0-9a-zA-Z .'Ã]"","""")"),"Rob Marshall")</f>
        <v>Rob Marshall</v>
      </c>
      <c r="C2487" s="18">
        <v>448.0</v>
      </c>
      <c r="D2487" s="19">
        <v>2.41063875E8</v>
      </c>
      <c r="E2487" s="18" t="s">
        <v>278</v>
      </c>
      <c r="F2487" s="9">
        <f t="shared" si="1"/>
        <v>3</v>
      </c>
      <c r="G2487" s="18" t="s">
        <v>85</v>
      </c>
      <c r="H2487" s="11" t="str">
        <f>IFERROR(__xludf.DUMMYFUNCTION("REGEXREPLACE(G2487, ""[^0-9a-zA-Z .'Ã]"","""")"),"Johnny Depp")</f>
        <v>Johnny Depp</v>
      </c>
      <c r="I2487" s="20" t="s">
        <v>8098</v>
      </c>
      <c r="J2487" s="18">
        <v>370704.0</v>
      </c>
      <c r="K2487" s="18" t="s">
        <v>8099</v>
      </c>
      <c r="L2487" s="18">
        <v>484.0</v>
      </c>
      <c r="M2487" s="18" t="s">
        <v>24</v>
      </c>
      <c r="N2487" s="18" t="s">
        <v>25</v>
      </c>
      <c r="O2487" s="19">
        <v>2.5E8</v>
      </c>
      <c r="P2487" s="10">
        <f t="shared" si="2"/>
        <v>0</v>
      </c>
      <c r="Q2487" s="12">
        <f t="shared" si="3"/>
        <v>8936125</v>
      </c>
      <c r="R2487" s="18">
        <v>2011.0</v>
      </c>
      <c r="S2487" s="18">
        <v>6.7</v>
      </c>
    </row>
    <row r="2488" ht="15.75" customHeight="1">
      <c r="A2488" s="17" t="s">
        <v>5077</v>
      </c>
      <c r="B2488" s="8" t="str">
        <f>IFERROR(__xludf.DUMMYFUNCTION("REGEXREPLACE(A2488, ""[^0-9a-zA-Z .'Ã]"","""")"),"James Wan")</f>
        <v>James Wan</v>
      </c>
      <c r="C2488" s="18">
        <v>318.0</v>
      </c>
      <c r="D2488" s="19">
        <v>8.3574831E7</v>
      </c>
      <c r="E2488" s="18" t="s">
        <v>955</v>
      </c>
      <c r="F2488" s="9">
        <f t="shared" si="1"/>
        <v>3</v>
      </c>
      <c r="G2488" s="18" t="s">
        <v>1713</v>
      </c>
      <c r="H2488" s="11" t="str">
        <f>IFERROR(__xludf.DUMMYFUNCTION("REGEXREPLACE(G2488, ""[^0-9a-zA-Z .'Ã]"","""")"),"Lin Shaye")</f>
        <v>Lin Shaye</v>
      </c>
      <c r="I2488" s="20" t="s">
        <v>8100</v>
      </c>
      <c r="J2488" s="18">
        <v>109214.0</v>
      </c>
      <c r="K2488" s="18" t="s">
        <v>8101</v>
      </c>
      <c r="L2488" s="18">
        <v>269.0</v>
      </c>
      <c r="M2488" s="18" t="s">
        <v>24</v>
      </c>
      <c r="N2488" s="18" t="s">
        <v>25</v>
      </c>
      <c r="O2488" s="19">
        <v>5000000.0</v>
      </c>
      <c r="P2488" s="10">
        <f t="shared" si="2"/>
        <v>78574831</v>
      </c>
      <c r="Q2488" s="12">
        <f t="shared" si="3"/>
        <v>0</v>
      </c>
      <c r="R2488" s="18">
        <v>2013.0</v>
      </c>
      <c r="S2488" s="18">
        <v>6.6</v>
      </c>
    </row>
    <row r="2489" ht="15.75" customHeight="1">
      <c r="A2489" s="7" t="s">
        <v>1740</v>
      </c>
      <c r="B2489" s="8" t="str">
        <f>IFERROR(__xludf.DUMMYFUNCTION("REGEXREPLACE(A2489, ""[^0-9a-zA-Z .'Ã]"","""")"),"Woody Allen")</f>
        <v>Woody Allen</v>
      </c>
      <c r="C2489" s="9">
        <v>69.0</v>
      </c>
      <c r="D2489" s="10">
        <v>9714482.0</v>
      </c>
      <c r="E2489" s="9" t="s">
        <v>1936</v>
      </c>
      <c r="F2489" s="9">
        <f t="shared" si="1"/>
        <v>3</v>
      </c>
      <c r="G2489" s="9" t="s">
        <v>8102</v>
      </c>
      <c r="H2489" s="11" t="str">
        <f>IFERROR(__xludf.DUMMYFUNCTION("REGEXREPLACE(G2489, ""[^0-9a-zA-Z .'Ã]"","""")"),"Natasha Lyonne")</f>
        <v>Natasha Lyonne</v>
      </c>
      <c r="I2489" s="11" t="s">
        <v>8103</v>
      </c>
      <c r="J2489" s="9">
        <v>30083.0</v>
      </c>
      <c r="K2489" s="9" t="s">
        <v>8104</v>
      </c>
      <c r="L2489" s="9">
        <v>140.0</v>
      </c>
      <c r="M2489" s="9" t="s">
        <v>24</v>
      </c>
      <c r="N2489" s="9" t="s">
        <v>25</v>
      </c>
      <c r="O2489" s="10">
        <v>2.0E7</v>
      </c>
      <c r="P2489" s="10">
        <f t="shared" si="2"/>
        <v>0</v>
      </c>
      <c r="Q2489" s="12">
        <f t="shared" si="3"/>
        <v>10285518</v>
      </c>
      <c r="R2489" s="9">
        <v>1996.0</v>
      </c>
      <c r="S2489" s="9">
        <v>6.8</v>
      </c>
    </row>
    <row r="2490" ht="15.75" customHeight="1">
      <c r="A2490" s="21" t="s">
        <v>8105</v>
      </c>
      <c r="B2490" s="8" t="str">
        <f>IFERROR(__xludf.DUMMYFUNCTION("REGEXREPLACE(A2490, ""[^0-9a-zA-Z .'Ã]"","""")"),"Scott Hicks")</f>
        <v>Scott Hicks</v>
      </c>
      <c r="C2490" s="22">
        <v>71.0</v>
      </c>
      <c r="D2490" s="23">
        <v>3.5811509E7</v>
      </c>
      <c r="E2490" s="22" t="s">
        <v>6161</v>
      </c>
      <c r="F2490" s="9">
        <f t="shared" si="1"/>
        <v>4</v>
      </c>
      <c r="G2490" s="22" t="s">
        <v>8106</v>
      </c>
      <c r="H2490" s="11" t="str">
        <f>IFERROR(__xludf.DUMMYFUNCTION("REGEXREPLACE(G2490, ""[^0-9a-zA-Z .'Ã]"","""")"),"Noah Taylor")</f>
        <v>Noah Taylor</v>
      </c>
      <c r="I2490" s="24" t="s">
        <v>8107</v>
      </c>
      <c r="J2490" s="22">
        <v>43013.0</v>
      </c>
      <c r="K2490" s="22" t="s">
        <v>8108</v>
      </c>
      <c r="L2490" s="22">
        <v>104.0</v>
      </c>
      <c r="M2490" s="22" t="s">
        <v>24</v>
      </c>
      <c r="N2490" s="22" t="s">
        <v>146</v>
      </c>
      <c r="O2490" s="23">
        <v>5500000.0</v>
      </c>
      <c r="P2490" s="10">
        <f t="shared" si="2"/>
        <v>30311509</v>
      </c>
      <c r="Q2490" s="12">
        <f t="shared" si="3"/>
        <v>0</v>
      </c>
      <c r="R2490" s="22">
        <v>1996.0</v>
      </c>
      <c r="S2490" s="22">
        <v>7.7</v>
      </c>
    </row>
    <row r="2491" ht="15.75" customHeight="1">
      <c r="A2491" s="21" t="s">
        <v>3158</v>
      </c>
      <c r="B2491" s="8" t="str">
        <f>IFERROR(__xludf.DUMMYFUNCTION("REGEXREPLACE(A2491, ""[^0-9a-zA-Z .'Ã]"","""")"),"Francis Lawrence")</f>
        <v>Francis Lawrence</v>
      </c>
      <c r="C2491" s="22">
        <v>502.0</v>
      </c>
      <c r="D2491" s="23">
        <v>4.24645577E8</v>
      </c>
      <c r="E2491" s="22" t="s">
        <v>1317</v>
      </c>
      <c r="F2491" s="9">
        <f t="shared" si="1"/>
        <v>3</v>
      </c>
      <c r="G2491" s="22" t="s">
        <v>1494</v>
      </c>
      <c r="H2491" s="11" t="str">
        <f>IFERROR(__xludf.DUMMYFUNCTION("REGEXREPLACE(G2491, ""[^0-9a-zA-Z .'Ã]"","""")"),"Jennifer Lawrence")</f>
        <v>Jennifer Lawrence</v>
      </c>
      <c r="I2491" s="24" t="s">
        <v>8109</v>
      </c>
      <c r="J2491" s="22">
        <v>498397.0</v>
      </c>
      <c r="K2491" s="22" t="s">
        <v>8110</v>
      </c>
      <c r="L2491" s="22">
        <v>706.0</v>
      </c>
      <c r="M2491" s="22" t="s">
        <v>24</v>
      </c>
      <c r="N2491" s="22" t="s">
        <v>25</v>
      </c>
      <c r="O2491" s="23">
        <v>1.3E8</v>
      </c>
      <c r="P2491" s="10">
        <f t="shared" si="2"/>
        <v>294645577</v>
      </c>
      <c r="Q2491" s="12">
        <f t="shared" si="3"/>
        <v>0</v>
      </c>
      <c r="R2491" s="22">
        <v>2013.0</v>
      </c>
      <c r="S2491" s="22">
        <v>7.6</v>
      </c>
    </row>
    <row r="2492" ht="15.75" customHeight="1">
      <c r="A2492" s="21" t="s">
        <v>8111</v>
      </c>
      <c r="B2492" s="8" t="str">
        <f>IFERROR(__xludf.DUMMYFUNCTION("REGEXREPLACE(A2492, ""[^0-9a-zA-Z .'Ã]"","""")"),"Nicholas Meyer")</f>
        <v>Nicholas Meyer</v>
      </c>
      <c r="C2492" s="22">
        <v>112.0</v>
      </c>
      <c r="D2492" s="23">
        <v>7.4888996E7</v>
      </c>
      <c r="E2492" s="22" t="s">
        <v>794</v>
      </c>
      <c r="F2492" s="9">
        <f t="shared" si="1"/>
        <v>4</v>
      </c>
      <c r="G2492" s="22" t="s">
        <v>6430</v>
      </c>
      <c r="H2492" s="11" t="str">
        <f>IFERROR(__xludf.DUMMYFUNCTION("REGEXREPLACE(G2492, ""[^0-9a-zA-Z .'Ã]"","""")"),"Leonard Nimoy")</f>
        <v>Leonard Nimoy</v>
      </c>
      <c r="I2492" s="24" t="s">
        <v>8112</v>
      </c>
      <c r="J2492" s="22">
        <v>55513.0</v>
      </c>
      <c r="K2492" s="22" t="s">
        <v>8113</v>
      </c>
      <c r="L2492" s="22">
        <v>188.0</v>
      </c>
      <c r="M2492" s="22" t="s">
        <v>24</v>
      </c>
      <c r="N2492" s="22" t="s">
        <v>25</v>
      </c>
      <c r="O2492" s="23">
        <v>3.0E7</v>
      </c>
      <c r="P2492" s="10">
        <f t="shared" si="2"/>
        <v>44888996</v>
      </c>
      <c r="Q2492" s="12">
        <f t="shared" si="3"/>
        <v>0</v>
      </c>
      <c r="R2492" s="22">
        <v>1991.0</v>
      </c>
      <c r="S2492" s="22">
        <v>7.2</v>
      </c>
    </row>
    <row r="2493" ht="15.75" customHeight="1">
      <c r="A2493" s="21" t="s">
        <v>8114</v>
      </c>
      <c r="B2493" s="8" t="str">
        <f>IFERROR(__xludf.DUMMYFUNCTION("REGEXREPLACE(A2493, ""[^0-9a-zA-Z -.'Ã]"","""")"),"EugÃne LouriÃ")</f>
        <v>EugÃne LouriÃ</v>
      </c>
      <c r="C2493" s="22">
        <v>67.0</v>
      </c>
      <c r="D2493" s="23">
        <v>5000000.0</v>
      </c>
      <c r="E2493" s="22" t="s">
        <v>8115</v>
      </c>
      <c r="F2493" s="9">
        <f t="shared" si="1"/>
        <v>3</v>
      </c>
      <c r="G2493" s="22" t="s">
        <v>8116</v>
      </c>
      <c r="H2493" s="11" t="str">
        <f>IFERROR(__xludf.DUMMYFUNCTION("REGEXREPLACE(G2493, ""[^0-9a-zA-Z .'Ã]"","""")"),"Kenneth Tobey")</f>
        <v>Kenneth Tobey</v>
      </c>
      <c r="I2493" s="24" t="s">
        <v>8117</v>
      </c>
      <c r="J2493" s="22">
        <v>4812.0</v>
      </c>
      <c r="K2493" s="22" t="s">
        <v>8118</v>
      </c>
      <c r="L2493" s="22">
        <v>88.0</v>
      </c>
      <c r="M2493" s="22" t="s">
        <v>24</v>
      </c>
      <c r="N2493" s="22" t="s">
        <v>25</v>
      </c>
      <c r="O2493" s="23">
        <v>210000.0</v>
      </c>
      <c r="P2493" s="10">
        <f t="shared" si="2"/>
        <v>4790000</v>
      </c>
      <c r="Q2493" s="12">
        <f t="shared" si="3"/>
        <v>0</v>
      </c>
      <c r="R2493" s="22">
        <v>1953.0</v>
      </c>
      <c r="S2493" s="22">
        <v>6.7</v>
      </c>
    </row>
    <row r="2494" ht="15.75" customHeight="1">
      <c r="A2494" s="17" t="s">
        <v>7349</v>
      </c>
      <c r="B2494" s="8" t="str">
        <f>IFERROR(__xludf.DUMMYFUNCTION("REGEXREPLACE(A2494, ""[^0-9a-zA-Z .'Ã]"","""")"),"Stephen Gaghan")</f>
        <v>Stephen Gaghan</v>
      </c>
      <c r="C2494" s="18">
        <v>72.0</v>
      </c>
      <c r="D2494" s="19">
        <v>1.0719367E7</v>
      </c>
      <c r="E2494" s="18" t="s">
        <v>8119</v>
      </c>
      <c r="F2494" s="9">
        <f t="shared" si="1"/>
        <v>5</v>
      </c>
      <c r="G2494" s="18" t="s">
        <v>1753</v>
      </c>
      <c r="H2494" s="11" t="str">
        <f>IFERROR(__xludf.DUMMYFUNCTION("REGEXREPLACE(G2494, ""[^0-9a-zA-Z .'Ã]"","""")"),"Charlie Hunnam")</f>
        <v>Charlie Hunnam</v>
      </c>
      <c r="I2494" s="20" t="s">
        <v>8120</v>
      </c>
      <c r="J2494" s="18">
        <v>7909.0</v>
      </c>
      <c r="K2494" s="18" t="s">
        <v>8121</v>
      </c>
      <c r="L2494" s="18">
        <v>157.0</v>
      </c>
      <c r="M2494" s="18" t="s">
        <v>24</v>
      </c>
      <c r="N2494" s="18" t="s">
        <v>25</v>
      </c>
      <c r="O2494" s="19">
        <v>2.5E7</v>
      </c>
      <c r="P2494" s="10">
        <f t="shared" si="2"/>
        <v>0</v>
      </c>
      <c r="Q2494" s="12">
        <f t="shared" si="3"/>
        <v>14280633</v>
      </c>
      <c r="R2494" s="18">
        <v>2002.0</v>
      </c>
      <c r="S2494" s="18">
        <v>4.9</v>
      </c>
    </row>
    <row r="2495" ht="15.75" customHeight="1">
      <c r="A2495" s="25" t="s">
        <v>4665</v>
      </c>
      <c r="B2495" s="8" t="str">
        <f>IFERROR(__xludf.DUMMYFUNCTION("REGEXREPLACE(A2495, ""[^0-9a-zA-Z .'Ã]"","""")"),"Paul Thomas Anderson")</f>
        <v>Paul Thomas Anderson</v>
      </c>
      <c r="C2495" s="26">
        <v>401.0</v>
      </c>
      <c r="D2495" s="27">
        <v>8093318.0</v>
      </c>
      <c r="E2495" s="26" t="s">
        <v>4681</v>
      </c>
      <c r="F2495" s="9">
        <f t="shared" si="1"/>
        <v>5</v>
      </c>
      <c r="G2495" s="26" t="s">
        <v>8122</v>
      </c>
      <c r="H2495" s="11" t="str">
        <f>IFERROR(__xludf.DUMMYFUNCTION("REGEXREPLACE(G2495, ""[^0-9a-zA-Z .'Ã]"","""")"),"Martin Dew")</f>
        <v>Martin Dew</v>
      </c>
      <c r="I2495" s="28" t="s">
        <v>8123</v>
      </c>
      <c r="J2495" s="26">
        <v>61935.0</v>
      </c>
      <c r="K2495" s="26" t="s">
        <v>8124</v>
      </c>
      <c r="L2495" s="26">
        <v>242.0</v>
      </c>
      <c r="M2495" s="26" t="s">
        <v>24</v>
      </c>
      <c r="N2495" s="26" t="s">
        <v>25</v>
      </c>
      <c r="O2495" s="27">
        <v>2.0E7</v>
      </c>
      <c r="P2495" s="10">
        <f t="shared" si="2"/>
        <v>0</v>
      </c>
      <c r="Q2495" s="12">
        <f t="shared" si="3"/>
        <v>11906682</v>
      </c>
      <c r="R2495" s="26">
        <v>2014.0</v>
      </c>
      <c r="S2495" s="26">
        <v>6.7</v>
      </c>
    </row>
    <row r="2496" ht="15.75" customHeight="1">
      <c r="A2496" s="7" t="s">
        <v>2997</v>
      </c>
      <c r="B2496" s="8" t="str">
        <f>IFERROR(__xludf.DUMMYFUNCTION("REGEXREPLACE(A2496, ""[^0-9a-zA-Z .'Ã]"","""")"),"Chris Columbus")</f>
        <v>Chris Columbus</v>
      </c>
      <c r="C2496" s="9">
        <v>232.0</v>
      </c>
      <c r="D2496" s="10">
        <v>2.61970615E8</v>
      </c>
      <c r="E2496" s="9" t="s">
        <v>1022</v>
      </c>
      <c r="F2496" s="9">
        <f t="shared" si="1"/>
        <v>4</v>
      </c>
      <c r="G2496" s="9" t="s">
        <v>2094</v>
      </c>
      <c r="H2496" s="11" t="str">
        <f>IFERROR(__xludf.DUMMYFUNCTION("REGEXREPLACE(G2496, ""[^0-9a-zA-Z .'Ã]"","""")"),"Daniel Radcliffe")</f>
        <v>Daniel Radcliffe</v>
      </c>
      <c r="I2496" s="11" t="s">
        <v>8125</v>
      </c>
      <c r="J2496" s="9">
        <v>387616.0</v>
      </c>
      <c r="K2496" s="9" t="s">
        <v>8126</v>
      </c>
      <c r="L2496" s="9">
        <v>858.0</v>
      </c>
      <c r="M2496" s="9" t="s">
        <v>24</v>
      </c>
      <c r="N2496" s="9" t="s">
        <v>130</v>
      </c>
      <c r="O2496" s="10">
        <v>1.0E8</v>
      </c>
      <c r="P2496" s="10">
        <f t="shared" si="2"/>
        <v>161970615</v>
      </c>
      <c r="Q2496" s="12">
        <f t="shared" si="3"/>
        <v>0</v>
      </c>
      <c r="R2496" s="9">
        <v>2002.0</v>
      </c>
      <c r="S2496" s="9">
        <v>7.4</v>
      </c>
    </row>
    <row r="2497" ht="15.75" customHeight="1">
      <c r="A2497" s="17" t="s">
        <v>8127</v>
      </c>
      <c r="B2497" s="8" t="str">
        <f>IFERROR(__xludf.DUMMYFUNCTION("REGEXREPLACE(A2497, ""[^0-9a-zA-Z .'Ã]"","""")"),"Stephen Norrington")</f>
        <v>Stephen Norrington</v>
      </c>
      <c r="C2497" s="18">
        <v>202.0</v>
      </c>
      <c r="D2497" s="19">
        <v>6.64626E7</v>
      </c>
      <c r="E2497" s="18" t="s">
        <v>1283</v>
      </c>
      <c r="F2497" s="9">
        <f t="shared" si="1"/>
        <v>4</v>
      </c>
      <c r="G2497" s="18" t="s">
        <v>6440</v>
      </c>
      <c r="H2497" s="11" t="str">
        <f>IFERROR(__xludf.DUMMYFUNCTION("REGEXREPLACE(G2497, ""[^0-9a-zA-Z .'Ã]"","""")"),"Jason Flemyng")</f>
        <v>Jason Flemyng</v>
      </c>
      <c r="I2497" s="20" t="s">
        <v>8128</v>
      </c>
      <c r="J2497" s="18">
        <v>141533.0</v>
      </c>
      <c r="K2497" s="18" t="s">
        <v>8129</v>
      </c>
      <c r="L2497" s="18">
        <v>786.0</v>
      </c>
      <c r="M2497" s="18" t="s">
        <v>24</v>
      </c>
      <c r="N2497" s="18" t="s">
        <v>25</v>
      </c>
      <c r="O2497" s="19">
        <v>7.8E7</v>
      </c>
      <c r="P2497" s="10">
        <f t="shared" si="2"/>
        <v>0</v>
      </c>
      <c r="Q2497" s="12">
        <f t="shared" si="3"/>
        <v>11537400</v>
      </c>
      <c r="R2497" s="18">
        <v>2003.0</v>
      </c>
      <c r="S2497" s="18">
        <v>5.8</v>
      </c>
    </row>
    <row r="2498" ht="15.75" customHeight="1">
      <c r="A2498" s="7" t="s">
        <v>381</v>
      </c>
      <c r="B2498" s="8" t="str">
        <f>IFERROR(__xludf.DUMMYFUNCTION("REGEXREPLACE(A2498, ""[^0-9a-zA-Z .'Ã]"","""")"),"Brian De Palma")</f>
        <v>Brian De Palma</v>
      </c>
      <c r="C2498" s="9">
        <v>121.0</v>
      </c>
      <c r="D2498" s="10">
        <v>3.1899E7</v>
      </c>
      <c r="E2498" s="9" t="s">
        <v>5015</v>
      </c>
      <c r="F2498" s="9">
        <f t="shared" si="1"/>
        <v>3</v>
      </c>
      <c r="G2498" s="9" t="s">
        <v>8130</v>
      </c>
      <c r="H2498" s="11" t="str">
        <f>IFERROR(__xludf.DUMMYFUNCTION("REGEXREPLACE(G2498, ""[^0-9a-zA-Z .'Ã]"","""")"),"Angie Dickinson")</f>
        <v>Angie Dickinson</v>
      </c>
      <c r="I2498" s="11" t="s">
        <v>8131</v>
      </c>
      <c r="J2498" s="9">
        <v>23986.0</v>
      </c>
      <c r="K2498" s="9" t="s">
        <v>8132</v>
      </c>
      <c r="L2498" s="9">
        <v>201.0</v>
      </c>
      <c r="M2498" s="9" t="s">
        <v>24</v>
      </c>
      <c r="N2498" s="9" t="s">
        <v>25</v>
      </c>
      <c r="O2498" s="10">
        <v>6500000.0</v>
      </c>
      <c r="P2498" s="10">
        <f t="shared" si="2"/>
        <v>25399000</v>
      </c>
      <c r="Q2498" s="12">
        <f t="shared" si="3"/>
        <v>0</v>
      </c>
      <c r="R2498" s="9">
        <v>1980.0</v>
      </c>
      <c r="S2498" s="9">
        <v>7.1</v>
      </c>
    </row>
    <row r="2499" ht="15.75" customHeight="1">
      <c r="A2499" s="21" t="s">
        <v>8133</v>
      </c>
      <c r="B2499" s="8" t="str">
        <f>IFERROR(__xludf.DUMMYFUNCTION("REGEXREPLACE(A2499, ""[^0-9a-zA-Z .'Ã]"","""")"),"Britt Allcroft")</f>
        <v>Britt Allcroft</v>
      </c>
      <c r="C2499" s="22">
        <v>47.0</v>
      </c>
      <c r="D2499" s="23">
        <v>1.5911333E7</v>
      </c>
      <c r="E2499" s="22" t="s">
        <v>7090</v>
      </c>
      <c r="F2499" s="9">
        <f t="shared" si="1"/>
        <v>5</v>
      </c>
      <c r="G2499" s="22" t="s">
        <v>2825</v>
      </c>
      <c r="H2499" s="11" t="str">
        <f>IFERROR(__xludf.DUMMYFUNCTION("REGEXREPLACE(G2499, ""[^0-9a-zA-Z .'Ã]"","""")"),"Mara Wilson")</f>
        <v>Mara Wilson</v>
      </c>
      <c r="I2499" s="24" t="s">
        <v>8134</v>
      </c>
      <c r="J2499" s="22">
        <v>2855.0</v>
      </c>
      <c r="K2499" s="22" t="s">
        <v>8135</v>
      </c>
      <c r="L2499" s="22">
        <v>119.0</v>
      </c>
      <c r="M2499" s="22" t="s">
        <v>24</v>
      </c>
      <c r="N2499" s="22" t="s">
        <v>130</v>
      </c>
      <c r="O2499" s="23">
        <v>1.9E7</v>
      </c>
      <c r="P2499" s="10">
        <f t="shared" si="2"/>
        <v>0</v>
      </c>
      <c r="Q2499" s="12">
        <f t="shared" si="3"/>
        <v>3088667</v>
      </c>
      <c r="R2499" s="22">
        <v>2000.0</v>
      </c>
      <c r="S2499" s="22">
        <v>3.6</v>
      </c>
    </row>
    <row r="2500" ht="15.75" customHeight="1">
      <c r="A2500" s="29" t="s">
        <v>3360</v>
      </c>
      <c r="B2500" s="8" t="str">
        <f>IFERROR(__xludf.DUMMYFUNCTION("REGEXREPLACE(A2500, ""[^0-9a-zA-Z .'Ã]"","""")"),"Seth MacFarlane")</f>
        <v>Seth MacFarlane</v>
      </c>
      <c r="C2500" s="30">
        <v>303.0</v>
      </c>
      <c r="D2500" s="31">
        <v>4.2615685E7</v>
      </c>
      <c r="E2500" s="30" t="s">
        <v>8136</v>
      </c>
      <c r="F2500" s="9">
        <f t="shared" si="1"/>
        <v>2</v>
      </c>
      <c r="G2500" s="30" t="s">
        <v>605</v>
      </c>
      <c r="H2500" s="11" t="str">
        <f>IFERROR(__xludf.DUMMYFUNCTION("REGEXREPLACE(G2500, ""[^0-9a-zA-Z .'Ã]"","""")"),"Liam Neeson")</f>
        <v>Liam Neeson</v>
      </c>
      <c r="I2500" s="32" t="s">
        <v>8137</v>
      </c>
      <c r="J2500" s="30">
        <v>136093.0</v>
      </c>
      <c r="K2500" s="30" t="s">
        <v>8138</v>
      </c>
      <c r="L2500" s="30">
        <v>416.0</v>
      </c>
      <c r="M2500" s="30" t="s">
        <v>24</v>
      </c>
      <c r="N2500" s="30" t="s">
        <v>25</v>
      </c>
      <c r="O2500" s="31">
        <v>4.0E7</v>
      </c>
      <c r="P2500" s="10">
        <f t="shared" si="2"/>
        <v>2615685</v>
      </c>
      <c r="Q2500" s="12">
        <f t="shared" si="3"/>
        <v>0</v>
      </c>
      <c r="R2500" s="30">
        <v>2014.0</v>
      </c>
      <c r="S2500" s="30">
        <v>6.1</v>
      </c>
    </row>
    <row r="2501" ht="15.75" customHeight="1">
      <c r="A2501" s="7" t="s">
        <v>1660</v>
      </c>
      <c r="B2501" s="8" t="str">
        <f>IFERROR(__xludf.DUMMYFUNCTION("REGEXREPLACE(A2501, ""[^0-9a-zA-Z .'Ã]"","""")"),"Sam Miller")</f>
        <v>Sam Miller</v>
      </c>
      <c r="C2501" s="9">
        <v>31.0</v>
      </c>
      <c r="D2501" s="10">
        <v>64359.0</v>
      </c>
      <c r="E2501" s="9" t="s">
        <v>89</v>
      </c>
      <c r="F2501" s="9">
        <f t="shared" si="1"/>
        <v>2</v>
      </c>
      <c r="G2501" s="9" t="s">
        <v>8139</v>
      </c>
      <c r="H2501" s="11" t="str">
        <f>IFERROR(__xludf.DUMMYFUNCTION("REGEXREPLACE(G2501, ""[^0-9a-zA-Z .'Ã]"","""")"),"Rachel Griffiths")</f>
        <v>Rachel Griffiths</v>
      </c>
      <c r="I2501" s="11" t="s">
        <v>8140</v>
      </c>
      <c r="J2501" s="9">
        <v>811.0</v>
      </c>
      <c r="K2501" s="9" t="s">
        <v>8141</v>
      </c>
      <c r="L2501" s="9">
        <v>26.0</v>
      </c>
      <c r="M2501" s="9" t="s">
        <v>24</v>
      </c>
      <c r="N2501" s="9" t="s">
        <v>130</v>
      </c>
      <c r="O2501" s="10">
        <v>2500000.0</v>
      </c>
      <c r="P2501" s="10">
        <f t="shared" si="2"/>
        <v>0</v>
      </c>
      <c r="Q2501" s="12">
        <f t="shared" si="3"/>
        <v>2435641</v>
      </c>
      <c r="R2501" s="9">
        <v>1998.0</v>
      </c>
      <c r="S2501" s="9">
        <v>5.9</v>
      </c>
    </row>
    <row r="2502" ht="15.75" customHeight="1">
      <c r="A2502" s="7" t="s">
        <v>4691</v>
      </c>
      <c r="B2502" s="8" t="str">
        <f>IFERROR(__xludf.DUMMYFUNCTION("REGEXREPLACE(A2502, ""[^0-9a-zA-Z .'Ã]"","""")"),"Richard Attenborough")</f>
        <v>Richard Attenborough</v>
      </c>
      <c r="C2502" s="9">
        <v>17.0</v>
      </c>
      <c r="D2502" s="10">
        <v>5899797.0</v>
      </c>
      <c r="E2502" s="9" t="s">
        <v>620</v>
      </c>
      <c r="F2502" s="9">
        <f t="shared" si="1"/>
        <v>3</v>
      </c>
      <c r="G2502" s="9" t="s">
        <v>70</v>
      </c>
      <c r="H2502" s="11" t="str">
        <f>IFERROR(__xludf.DUMMYFUNCTION("REGEXREPLACE(G2502, ""[^0-9a-zA-Z .'Ã]"","""")"),"Denzel Washington")</f>
        <v>Denzel Washington</v>
      </c>
      <c r="I2502" s="11" t="s">
        <v>8142</v>
      </c>
      <c r="J2502" s="9">
        <v>9913.0</v>
      </c>
      <c r="K2502" s="9" t="s">
        <v>8143</v>
      </c>
      <c r="L2502" s="9">
        <v>51.0</v>
      </c>
      <c r="M2502" s="9" t="s">
        <v>24</v>
      </c>
      <c r="N2502" s="9" t="s">
        <v>130</v>
      </c>
      <c r="O2502" s="10">
        <v>2.9E7</v>
      </c>
      <c r="P2502" s="10">
        <f t="shared" si="2"/>
        <v>0</v>
      </c>
      <c r="Q2502" s="12">
        <f t="shared" si="3"/>
        <v>23100203</v>
      </c>
      <c r="R2502" s="9">
        <v>1987.0</v>
      </c>
      <c r="S2502" s="9">
        <v>7.5</v>
      </c>
    </row>
    <row r="2503" ht="15.75" customHeight="1">
      <c r="A2503" s="29" t="s">
        <v>8144</v>
      </c>
      <c r="B2503" s="8" t="str">
        <f>IFERROR(__xludf.DUMMYFUNCTION("REGEXREPLACE(A2503, ""[^0-9a-zA-Z .'Ã]"","""")"),"David G. Evans")</f>
        <v>David G. Evans</v>
      </c>
      <c r="C2503" s="30">
        <v>25.0</v>
      </c>
      <c r="D2503" s="31">
        <v>2428241.0</v>
      </c>
      <c r="E2503" s="30" t="s">
        <v>103</v>
      </c>
      <c r="F2503" s="9">
        <f t="shared" si="1"/>
        <v>1</v>
      </c>
      <c r="G2503" s="30" t="s">
        <v>8145</v>
      </c>
      <c r="H2503" s="11" t="str">
        <f>IFERROR(__xludf.DUMMYFUNCTION("REGEXREPLACE(G2503, ""[^0-9a-zA-Z .'Ã]"","""")"),"Michael Joiner")</f>
        <v>Michael Joiner</v>
      </c>
      <c r="I2503" s="32" t="s">
        <v>8146</v>
      </c>
      <c r="J2503" s="30">
        <v>2099.0</v>
      </c>
      <c r="K2503" s="30" t="s">
        <v>8147</v>
      </c>
      <c r="L2503" s="30">
        <v>26.0</v>
      </c>
      <c r="M2503" s="30" t="s">
        <v>24</v>
      </c>
      <c r="N2503" s="30" t="s">
        <v>25</v>
      </c>
      <c r="O2503" s="31">
        <v>200000.0</v>
      </c>
      <c r="P2503" s="10">
        <f t="shared" si="2"/>
        <v>2228241</v>
      </c>
      <c r="Q2503" s="12">
        <f t="shared" si="3"/>
        <v>0</v>
      </c>
      <c r="R2503" s="30">
        <v>2010.0</v>
      </c>
      <c r="S2503" s="30">
        <v>6.4</v>
      </c>
    </row>
    <row r="2504" ht="15.75" customHeight="1">
      <c r="A2504" s="29" t="s">
        <v>8148</v>
      </c>
      <c r="B2504" s="8" t="str">
        <f>IFERROR(__xludf.DUMMYFUNCTION("REGEXREPLACE(A2504, ""[^0-9a-zA-Z .'Ã]"","""")"),"William A. Fraker")</f>
        <v>William A. Fraker</v>
      </c>
      <c r="C2504" s="30">
        <v>25.0</v>
      </c>
      <c r="D2504" s="31">
        <v>8000000.0</v>
      </c>
      <c r="E2504" s="30" t="s">
        <v>4155</v>
      </c>
      <c r="F2504" s="9">
        <f t="shared" si="1"/>
        <v>3</v>
      </c>
      <c r="G2504" s="30" t="s">
        <v>8149</v>
      </c>
      <c r="H2504" s="11" t="str">
        <f>IFERROR(__xludf.DUMMYFUNCTION("REGEXREPLACE(G2504, ""[^0-9a-zA-Z .'Ã]"","""")"),"Jason Robards")</f>
        <v>Jason Robards</v>
      </c>
      <c r="I2504" s="32" t="s">
        <v>8150</v>
      </c>
      <c r="J2504" s="30">
        <v>1400.0</v>
      </c>
      <c r="K2504" s="30" t="s">
        <v>8151</v>
      </c>
      <c r="L2504" s="30">
        <v>41.0</v>
      </c>
      <c r="M2504" s="30" t="s">
        <v>24</v>
      </c>
      <c r="N2504" s="30" t="s">
        <v>25</v>
      </c>
      <c r="O2504" s="31">
        <v>1.8E7</v>
      </c>
      <c r="P2504" s="10">
        <f t="shared" si="2"/>
        <v>0</v>
      </c>
      <c r="Q2504" s="12">
        <f t="shared" si="3"/>
        <v>10000000</v>
      </c>
      <c r="R2504" s="30">
        <v>1981.0</v>
      </c>
      <c r="S2504" s="30">
        <v>5.0</v>
      </c>
    </row>
    <row r="2505" ht="15.75" customHeight="1">
      <c r="A2505" s="7" t="s">
        <v>264</v>
      </c>
      <c r="B2505" s="8" t="str">
        <f>IFERROR(__xludf.DUMMYFUNCTION("REGEXREPLACE(A2505, ""[^0-9a-zA-Z .'Ã]"","""")"),"Keenen Ivory Wayans")</f>
        <v>Keenen Ivory Wayans</v>
      </c>
      <c r="C2505" s="9">
        <v>127.0</v>
      </c>
      <c r="D2505" s="10">
        <v>7.127742E7</v>
      </c>
      <c r="E2505" s="9" t="s">
        <v>137</v>
      </c>
      <c r="F2505" s="9">
        <f t="shared" si="1"/>
        <v>1</v>
      </c>
      <c r="G2505" s="9" t="s">
        <v>8102</v>
      </c>
      <c r="H2505" s="11" t="str">
        <f>IFERROR(__xludf.DUMMYFUNCTION("REGEXREPLACE(G2505, ""[^0-9a-zA-Z .'Ã]"","""")"),"Natasha Lyonne")</f>
        <v>Natasha Lyonne</v>
      </c>
      <c r="I2505" s="11" t="s">
        <v>8152</v>
      </c>
      <c r="J2505" s="9">
        <v>119590.0</v>
      </c>
      <c r="K2505" s="9" t="s">
        <v>8153</v>
      </c>
      <c r="L2505" s="9">
        <v>548.0</v>
      </c>
      <c r="M2505" s="9" t="s">
        <v>24</v>
      </c>
      <c r="N2505" s="9" t="s">
        <v>25</v>
      </c>
      <c r="O2505" s="10">
        <v>4.5E7</v>
      </c>
      <c r="P2505" s="10">
        <f t="shared" si="2"/>
        <v>26277420</v>
      </c>
      <c r="Q2505" s="12">
        <f t="shared" si="3"/>
        <v>0</v>
      </c>
      <c r="R2505" s="9">
        <v>2001.0</v>
      </c>
      <c r="S2505" s="9">
        <v>5.2</v>
      </c>
    </row>
    <row r="2506" ht="15.75" customHeight="1">
      <c r="A2506" s="7" t="s">
        <v>2623</v>
      </c>
      <c r="B2506" s="8" t="str">
        <f>IFERROR(__xludf.DUMMYFUNCTION("REGEXREPLACE(A2506, ""[^0-9a-zA-Z .'Ã]"","""")"),"Alex Proyas")</f>
        <v>Alex Proyas</v>
      </c>
      <c r="C2506" s="9">
        <v>225.0</v>
      </c>
      <c r="D2506" s="10">
        <v>1.4479535E8</v>
      </c>
      <c r="E2506" s="9" t="s">
        <v>409</v>
      </c>
      <c r="F2506" s="9">
        <f t="shared" si="1"/>
        <v>4</v>
      </c>
      <c r="G2506" s="9" t="s">
        <v>2717</v>
      </c>
      <c r="H2506" s="11" t="str">
        <f>IFERROR(__xludf.DUMMYFUNCTION("REGEXREPLACE(G2506, ""[^0-9a-zA-Z .'Ã]"","""")"),"Will Smith")</f>
        <v>Will Smith</v>
      </c>
      <c r="I2506" s="11" t="s">
        <v>8154</v>
      </c>
      <c r="J2506" s="9">
        <v>387632.0</v>
      </c>
      <c r="K2506" s="9" t="s">
        <v>8155</v>
      </c>
      <c r="L2506" s="9">
        <v>789.0</v>
      </c>
      <c r="M2506" s="9" t="s">
        <v>24</v>
      </c>
      <c r="N2506" s="9" t="s">
        <v>25</v>
      </c>
      <c r="O2506" s="10">
        <v>1.2E8</v>
      </c>
      <c r="P2506" s="10">
        <f t="shared" si="2"/>
        <v>24795350</v>
      </c>
      <c r="Q2506" s="12">
        <f t="shared" si="3"/>
        <v>0</v>
      </c>
      <c r="R2506" s="9">
        <v>2004.0</v>
      </c>
      <c r="S2506" s="9">
        <v>7.1</v>
      </c>
    </row>
    <row r="2507" ht="15.75" customHeight="1">
      <c r="A2507" s="7" t="s">
        <v>7392</v>
      </c>
      <c r="B2507" s="8" t="str">
        <f>IFERROR(__xludf.DUMMYFUNCTION("REGEXREPLACE(A2507, ""[^0-9a-zA-Z .'Ã]"","""")"),"Peter Howitt")</f>
        <v>Peter Howitt</v>
      </c>
      <c r="C2507" s="9">
        <v>90.0</v>
      </c>
      <c r="D2507" s="10">
        <v>1.7848322E7</v>
      </c>
      <c r="E2507" s="9" t="s">
        <v>89</v>
      </c>
      <c r="F2507" s="9">
        <f t="shared" si="1"/>
        <v>2</v>
      </c>
      <c r="G2507" s="9" t="s">
        <v>7954</v>
      </c>
      <c r="H2507" s="11" t="str">
        <f>IFERROR(__xludf.DUMMYFUNCTION("REGEXREPLACE(G2507, ""[^0-9a-zA-Z .'Ã]"","""")"),"Frances Fisher")</f>
        <v>Frances Fisher</v>
      </c>
      <c r="I2507" s="11" t="s">
        <v>8156</v>
      </c>
      <c r="J2507" s="9">
        <v>18771.0</v>
      </c>
      <c r="K2507" s="9" t="s">
        <v>8157</v>
      </c>
      <c r="L2507" s="9">
        <v>102.0</v>
      </c>
      <c r="M2507" s="9" t="s">
        <v>24</v>
      </c>
      <c r="N2507" s="9" t="s">
        <v>593</v>
      </c>
      <c r="O2507" s="10">
        <v>2.8E7</v>
      </c>
      <c r="P2507" s="10">
        <f t="shared" si="2"/>
        <v>0</v>
      </c>
      <c r="Q2507" s="12">
        <f t="shared" si="3"/>
        <v>10151678</v>
      </c>
      <c r="R2507" s="9">
        <v>2004.0</v>
      </c>
      <c r="S2507" s="9">
        <v>5.9</v>
      </c>
    </row>
    <row r="2508" ht="15.75" customHeight="1">
      <c r="A2508" s="17" t="s">
        <v>8158</v>
      </c>
      <c r="B2508" s="8" t="str">
        <f>IFERROR(__xludf.DUMMYFUNCTION("REGEXREPLACE(A2508, ""[^0-9a-zA-Z .'Ã]"","""")"),"Alejandro Monteverde")</f>
        <v>Alejandro Monteverde</v>
      </c>
      <c r="C2508" s="18">
        <v>60.0</v>
      </c>
      <c r="D2508" s="19">
        <v>8108247.0</v>
      </c>
      <c r="E2508" s="18" t="s">
        <v>232</v>
      </c>
      <c r="F2508" s="9">
        <f t="shared" si="1"/>
        <v>2</v>
      </c>
      <c r="G2508" s="18" t="s">
        <v>5696</v>
      </c>
      <c r="H2508" s="11" t="str">
        <f>IFERROR(__xludf.DUMMYFUNCTION("REGEXREPLACE(G2508, ""[^0-9a-zA-Z .'Ã]"","""")"),"Armando Riesco")</f>
        <v>Armando Riesco</v>
      </c>
      <c r="I2508" s="20" t="s">
        <v>8159</v>
      </c>
      <c r="J2508" s="18">
        <v>9607.0</v>
      </c>
      <c r="K2508" s="18" t="s">
        <v>8160</v>
      </c>
      <c r="L2508" s="18">
        <v>174.0</v>
      </c>
      <c r="M2508" s="18" t="s">
        <v>24</v>
      </c>
      <c r="N2508" s="18" t="s">
        <v>25</v>
      </c>
      <c r="O2508" s="19">
        <v>3300000.0</v>
      </c>
      <c r="P2508" s="10">
        <f t="shared" si="2"/>
        <v>4808247</v>
      </c>
      <c r="Q2508" s="12">
        <f t="shared" si="3"/>
        <v>0</v>
      </c>
      <c r="R2508" s="18">
        <v>2006.0</v>
      </c>
      <c r="S2508" s="18">
        <v>7.4</v>
      </c>
    </row>
    <row r="2509" ht="15.75" customHeight="1">
      <c r="A2509" s="7" t="s">
        <v>4188</v>
      </c>
      <c r="B2509" s="8" t="str">
        <f>IFERROR(__xludf.DUMMYFUNCTION("REGEXREPLACE(A2509, ""[^0-9a-zA-Z .'Ã]"","""")"),"Stephen Hopkins")</f>
        <v>Stephen Hopkins</v>
      </c>
      <c r="C2509" s="9">
        <v>88.0</v>
      </c>
      <c r="D2509" s="10">
        <v>2.2168359E7</v>
      </c>
      <c r="E2509" s="9" t="s">
        <v>8161</v>
      </c>
      <c r="F2509" s="9">
        <f t="shared" si="1"/>
        <v>4</v>
      </c>
      <c r="G2509" s="9" t="s">
        <v>8162</v>
      </c>
      <c r="H2509" s="11" t="str">
        <f>IFERROR(__xludf.DUMMYFUNCTION("REGEXREPLACE(G2509, ""[^0-9a-zA-Z .'Ã]"","""")"),"Lisa Wilcox")</f>
        <v>Lisa Wilcox</v>
      </c>
      <c r="I2509" s="11" t="s">
        <v>8163</v>
      </c>
      <c r="J2509" s="9">
        <v>29659.0</v>
      </c>
      <c r="K2509" s="9" t="s">
        <v>8164</v>
      </c>
      <c r="L2509" s="9">
        <v>227.0</v>
      </c>
      <c r="M2509" s="9" t="s">
        <v>24</v>
      </c>
      <c r="N2509" s="9" t="s">
        <v>25</v>
      </c>
      <c r="O2509" s="10">
        <v>8000000.0</v>
      </c>
      <c r="P2509" s="10">
        <f t="shared" si="2"/>
        <v>14168359</v>
      </c>
      <c r="Q2509" s="12">
        <f t="shared" si="3"/>
        <v>0</v>
      </c>
      <c r="R2509" s="9">
        <v>1989.0</v>
      </c>
      <c r="S2509" s="9">
        <v>5.1</v>
      </c>
    </row>
    <row r="2510" ht="15.75" customHeight="1">
      <c r="A2510" s="7" t="s">
        <v>4606</v>
      </c>
      <c r="B2510" s="8" t="str">
        <f>IFERROR(__xludf.DUMMYFUNCTION("REGEXREPLACE(A2510, ""[^0-9a-zA-Z .'Ã]"","""")"),"Zack Snyder")</f>
        <v>Zack Snyder</v>
      </c>
      <c r="C2510" s="9">
        <v>188.0</v>
      </c>
      <c r="D2510" s="10">
        <v>5.5673333E7</v>
      </c>
      <c r="E2510" s="9" t="s">
        <v>8165</v>
      </c>
      <c r="F2510" s="9">
        <f t="shared" si="1"/>
        <v>5</v>
      </c>
      <c r="G2510" s="9" t="s">
        <v>2027</v>
      </c>
      <c r="H2510" s="11" t="str">
        <f>IFERROR(__xludf.DUMMYFUNCTION("REGEXREPLACE(G2510, ""[^0-9a-zA-Z .'Ã]"","""")"),"Abbie Cornish")</f>
        <v>Abbie Cornish</v>
      </c>
      <c r="I2510" s="11" t="s">
        <v>8166</v>
      </c>
      <c r="J2510" s="9">
        <v>65785.0</v>
      </c>
      <c r="K2510" s="9" t="s">
        <v>8167</v>
      </c>
      <c r="L2510" s="9">
        <v>160.0</v>
      </c>
      <c r="M2510" s="9" t="s">
        <v>24</v>
      </c>
      <c r="N2510" s="9" t="s">
        <v>25</v>
      </c>
      <c r="O2510" s="10">
        <v>8.0E7</v>
      </c>
      <c r="P2510" s="10">
        <f t="shared" si="2"/>
        <v>0</v>
      </c>
      <c r="Q2510" s="12">
        <f t="shared" si="3"/>
        <v>24326667</v>
      </c>
      <c r="R2510" s="9">
        <v>2010.0</v>
      </c>
      <c r="S2510" s="9">
        <v>7.0</v>
      </c>
    </row>
    <row r="2511" ht="15.75" customHeight="1">
      <c r="A2511" s="7" t="s">
        <v>8168</v>
      </c>
      <c r="B2511" s="8" t="str">
        <f>IFERROR(__xludf.DUMMYFUNCTION("REGEXREPLACE(A2511, ""[^0-9a-zA-Z .'Ã]"","""")"),"Harry Elfont")</f>
        <v>Harry Elfont</v>
      </c>
      <c r="C2511" s="9">
        <v>93.0</v>
      </c>
      <c r="D2511" s="10">
        <v>1.425283E7</v>
      </c>
      <c r="E2511" s="9" t="s">
        <v>321</v>
      </c>
      <c r="F2511" s="9">
        <f t="shared" si="1"/>
        <v>2</v>
      </c>
      <c r="G2511" s="9" t="s">
        <v>3571</v>
      </c>
      <c r="H2511" s="11" t="str">
        <f>IFERROR(__xludf.DUMMYFUNCTION("REGEXREPLACE(G2511, ""[^0-9a-zA-Z .'Ã]"","""")"),"Rosario Dawson")</f>
        <v>Rosario Dawson</v>
      </c>
      <c r="I2511" s="11" t="s">
        <v>8169</v>
      </c>
      <c r="J2511" s="9">
        <v>18900.0</v>
      </c>
      <c r="K2511" s="9" t="s">
        <v>8170</v>
      </c>
      <c r="L2511" s="9">
        <v>242.0</v>
      </c>
      <c r="M2511" s="9" t="s">
        <v>24</v>
      </c>
      <c r="N2511" s="9" t="s">
        <v>624</v>
      </c>
      <c r="O2511" s="10">
        <v>2.2E7</v>
      </c>
      <c r="P2511" s="10">
        <f t="shared" si="2"/>
        <v>0</v>
      </c>
      <c r="Q2511" s="12">
        <f t="shared" si="3"/>
        <v>7747170</v>
      </c>
      <c r="R2511" s="9">
        <v>2001.0</v>
      </c>
      <c r="S2511" s="9">
        <v>5.3</v>
      </c>
    </row>
    <row r="2512" ht="15.75" customHeight="1">
      <c r="A2512" s="25" t="s">
        <v>2160</v>
      </c>
      <c r="B2512" s="8" t="str">
        <f>IFERROR(__xludf.DUMMYFUNCTION("REGEXREPLACE(A2512, ""[^0-9a-zA-Z .'Ã]"","""")"),"David Bowers")</f>
        <v>David Bowers</v>
      </c>
      <c r="C2512" s="26">
        <v>103.0</v>
      </c>
      <c r="D2512" s="27">
        <v>5.2691009E7</v>
      </c>
      <c r="E2512" s="26" t="s">
        <v>857</v>
      </c>
      <c r="F2512" s="9">
        <f t="shared" si="1"/>
        <v>2</v>
      </c>
      <c r="G2512" s="26" t="s">
        <v>4753</v>
      </c>
      <c r="H2512" s="11" t="str">
        <f>IFERROR(__xludf.DUMMYFUNCTION("REGEXREPLACE(G2512, ""[^0-9a-zA-Z .'Ã]"","""")"),"Zachary Gordon")</f>
        <v>Zachary Gordon</v>
      </c>
      <c r="I2512" s="28" t="s">
        <v>8171</v>
      </c>
      <c r="J2512" s="26">
        <v>18727.0</v>
      </c>
      <c r="K2512" s="26" t="s">
        <v>8172</v>
      </c>
      <c r="L2512" s="26">
        <v>45.0</v>
      </c>
      <c r="M2512" s="26" t="s">
        <v>24</v>
      </c>
      <c r="N2512" s="26" t="s">
        <v>25</v>
      </c>
      <c r="O2512" s="27">
        <v>2.1E7</v>
      </c>
      <c r="P2512" s="10">
        <f t="shared" si="2"/>
        <v>31691009</v>
      </c>
      <c r="Q2512" s="12">
        <f t="shared" si="3"/>
        <v>0</v>
      </c>
      <c r="R2512" s="26">
        <v>2011.0</v>
      </c>
      <c r="S2512" s="26">
        <v>6.6</v>
      </c>
    </row>
    <row r="2513" ht="15.75" customHeight="1">
      <c r="A2513" s="17" t="s">
        <v>1573</v>
      </c>
      <c r="B2513" s="8" t="str">
        <f>IFERROR(__xludf.DUMMYFUNCTION("REGEXREPLACE(A2513, ""[^0-9a-zA-Z .'Ã]"","""")"),"Ethan Coen")</f>
        <v>Ethan Coen</v>
      </c>
      <c r="C2513" s="18">
        <v>193.0</v>
      </c>
      <c r="D2513" s="19">
        <v>3.9692139E7</v>
      </c>
      <c r="E2513" s="18" t="s">
        <v>589</v>
      </c>
      <c r="F2513" s="9">
        <f t="shared" si="1"/>
        <v>3</v>
      </c>
      <c r="G2513" s="18" t="s">
        <v>878</v>
      </c>
      <c r="H2513" s="11" t="str">
        <f>IFERROR(__xludf.DUMMYFUNCTION("REGEXREPLACE(G2513, ""[^0-9a-zA-Z .'Ã]"","""")"),"J.K. Simmons")</f>
        <v>J.K. Simmons</v>
      </c>
      <c r="I2513" s="20" t="s">
        <v>8173</v>
      </c>
      <c r="J2513" s="18">
        <v>84131.0</v>
      </c>
      <c r="K2513" s="18" t="s">
        <v>8174</v>
      </c>
      <c r="L2513" s="18">
        <v>400.0</v>
      </c>
      <c r="M2513" s="18" t="s">
        <v>24</v>
      </c>
      <c r="N2513" s="18" t="s">
        <v>25</v>
      </c>
      <c r="O2513" s="19">
        <v>3.5E7</v>
      </c>
      <c r="P2513" s="10">
        <f t="shared" si="2"/>
        <v>4692139</v>
      </c>
      <c r="Q2513" s="12">
        <f t="shared" si="3"/>
        <v>0</v>
      </c>
      <c r="R2513" s="18">
        <v>2004.0</v>
      </c>
      <c r="S2513" s="18">
        <v>6.2</v>
      </c>
    </row>
    <row r="2514" ht="15.75" customHeight="1">
      <c r="A2514" s="7" t="s">
        <v>377</v>
      </c>
      <c r="B2514" s="8" t="str">
        <f>IFERROR(__xludf.DUMMYFUNCTION("REGEXREPLACE(A2514, ""[^0-9a-zA-Z .'Ã]"","""")"),"Jessie Nelson")</f>
        <v>Jessie Nelson</v>
      </c>
      <c r="C2514" s="9">
        <v>129.0</v>
      </c>
      <c r="D2514" s="10">
        <v>4.0270895E7</v>
      </c>
      <c r="E2514" s="9" t="s">
        <v>103</v>
      </c>
      <c r="F2514" s="9">
        <f t="shared" si="1"/>
        <v>1</v>
      </c>
      <c r="G2514" s="9" t="s">
        <v>2238</v>
      </c>
      <c r="H2514" s="11" t="str">
        <f>IFERROR(__xludf.DUMMYFUNCTION("REGEXREPLACE(G2514, ""[^0-9a-zA-Z .'Ã]"","""")"),"Dianne Wiest")</f>
        <v>Dianne Wiest</v>
      </c>
      <c r="I2514" s="11" t="s">
        <v>8175</v>
      </c>
      <c r="J2514" s="9">
        <v>121937.0</v>
      </c>
      <c r="K2514" s="9" t="s">
        <v>8176</v>
      </c>
      <c r="L2514" s="9">
        <v>431.0</v>
      </c>
      <c r="M2514" s="9" t="s">
        <v>24</v>
      </c>
      <c r="N2514" s="9" t="s">
        <v>25</v>
      </c>
      <c r="O2514" s="10">
        <v>2.2E7</v>
      </c>
      <c r="P2514" s="10">
        <f t="shared" si="2"/>
        <v>18270895</v>
      </c>
      <c r="Q2514" s="12">
        <f t="shared" si="3"/>
        <v>0</v>
      </c>
      <c r="R2514" s="9">
        <v>2001.0</v>
      </c>
      <c r="S2514" s="9">
        <v>7.6</v>
      </c>
    </row>
    <row r="2515" ht="15.75" customHeight="1">
      <c r="A2515" s="7" t="s">
        <v>8177</v>
      </c>
      <c r="B2515" s="8" t="str">
        <f>IFERROR(__xludf.DUMMYFUNCTION("REGEXREPLACE(A2515, ""[^0-9a-zA-Z .'Ã]"","""")"),"Peter MacDonald")</f>
        <v>Peter MacDonald</v>
      </c>
      <c r="C2515" s="9">
        <v>84.0</v>
      </c>
      <c r="D2515" s="10">
        <v>5.3715611E7</v>
      </c>
      <c r="E2515" s="9" t="s">
        <v>7375</v>
      </c>
      <c r="F2515" s="9">
        <f t="shared" si="1"/>
        <v>4</v>
      </c>
      <c r="G2515" s="9" t="s">
        <v>2532</v>
      </c>
      <c r="H2515" s="11" t="str">
        <f>IFERROR(__xludf.DUMMYFUNCTION("REGEXREPLACE(G2515, ""[^0-9a-zA-Z .'Ã]"","""")"),"Sylvester Stallone")</f>
        <v>Sylvester Stallone</v>
      </c>
      <c r="I2515" s="11" t="s">
        <v>8178</v>
      </c>
      <c r="J2515" s="9">
        <v>92106.0</v>
      </c>
      <c r="K2515" s="9" t="s">
        <v>8179</v>
      </c>
      <c r="L2515" s="9">
        <v>171.0</v>
      </c>
      <c r="M2515" s="9" t="s">
        <v>24</v>
      </c>
      <c r="N2515" s="9" t="s">
        <v>25</v>
      </c>
      <c r="O2515" s="10">
        <v>6.3E7</v>
      </c>
      <c r="P2515" s="10">
        <f t="shared" si="2"/>
        <v>0</v>
      </c>
      <c r="Q2515" s="12">
        <f t="shared" si="3"/>
        <v>9284389</v>
      </c>
      <c r="R2515" s="9">
        <v>1988.0</v>
      </c>
      <c r="S2515" s="9">
        <v>5.7</v>
      </c>
    </row>
    <row r="2516" ht="15.75" customHeight="1">
      <c r="A2516" s="25" t="s">
        <v>654</v>
      </c>
      <c r="B2516" s="8" t="str">
        <f>IFERROR(__xludf.DUMMYFUNCTION("REGEXREPLACE(A2516, ""[^0-9a-zA-Z -.'Ã]"","""")"),"Jean-Pierre Jeunet")</f>
        <v>Jean-Pierre Jeunet</v>
      </c>
      <c r="C2516" s="26">
        <v>213.0</v>
      </c>
      <c r="D2516" s="27">
        <v>1260917.0</v>
      </c>
      <c r="E2516" s="26" t="s">
        <v>265</v>
      </c>
      <c r="F2516" s="9">
        <f t="shared" si="1"/>
        <v>3</v>
      </c>
      <c r="G2516" s="26" t="s">
        <v>8180</v>
      </c>
      <c r="H2516" s="11" t="str">
        <f>IFERROR(__xludf.DUMMYFUNCTION("REGEXREPLACE(G2516, ""[^0-9a-zA-Z .'Ã]"","""")"),"Omar Sy")</f>
        <v>Omar Sy</v>
      </c>
      <c r="I2516" s="28" t="s">
        <v>8181</v>
      </c>
      <c r="J2516" s="26">
        <v>24657.0</v>
      </c>
      <c r="K2516" s="26" t="s">
        <v>8182</v>
      </c>
      <c r="L2516" s="26">
        <v>71.0</v>
      </c>
      <c r="M2516" s="26" t="s">
        <v>658</v>
      </c>
      <c r="N2516" s="26" t="s">
        <v>608</v>
      </c>
      <c r="O2516" s="27">
        <v>2.7E7</v>
      </c>
      <c r="P2516" s="10">
        <f t="shared" si="2"/>
        <v>0</v>
      </c>
      <c r="Q2516" s="12">
        <f t="shared" si="3"/>
        <v>25739083</v>
      </c>
      <c r="R2516" s="26">
        <v>2009.0</v>
      </c>
      <c r="S2516" s="26">
        <v>7.2</v>
      </c>
    </row>
    <row r="2517" ht="15.75" customHeight="1">
      <c r="A2517" s="13" t="s">
        <v>8183</v>
      </c>
      <c r="B2517" s="8" t="str">
        <f>IFERROR(__xludf.DUMMYFUNCTION("REGEXREPLACE(A2517, ""[^0-9a-zA-Z .'Ã]"","""")"),"John Curran")</f>
        <v>John Curran</v>
      </c>
      <c r="C2517" s="14">
        <v>138.0</v>
      </c>
      <c r="D2517" s="15">
        <v>1796024.0</v>
      </c>
      <c r="E2517" s="14" t="s">
        <v>369</v>
      </c>
      <c r="F2517" s="9">
        <f t="shared" si="1"/>
        <v>2</v>
      </c>
      <c r="G2517" s="14" t="s">
        <v>883</v>
      </c>
      <c r="H2517" s="11" t="str">
        <f>IFERROR(__xludf.DUMMYFUNCTION("REGEXREPLACE(G2517, ""[^0-9a-zA-Z .'Ã]"","""")"),"Robert De Niro")</f>
        <v>Robert De Niro</v>
      </c>
      <c r="I2517" s="16" t="s">
        <v>8184</v>
      </c>
      <c r="J2517" s="14">
        <v>34985.0</v>
      </c>
      <c r="K2517" s="14" t="s">
        <v>8185</v>
      </c>
      <c r="L2517" s="14">
        <v>135.0</v>
      </c>
      <c r="M2517" s="14" t="s">
        <v>24</v>
      </c>
      <c r="N2517" s="14" t="s">
        <v>25</v>
      </c>
      <c r="O2517" s="15">
        <v>2.2E7</v>
      </c>
      <c r="P2517" s="10">
        <f t="shared" si="2"/>
        <v>0</v>
      </c>
      <c r="Q2517" s="12">
        <f t="shared" si="3"/>
        <v>20203976</v>
      </c>
      <c r="R2517" s="14">
        <v>2010.0</v>
      </c>
      <c r="S2517" s="14">
        <v>5.4</v>
      </c>
    </row>
    <row r="2518" ht="15.75" customHeight="1">
      <c r="A2518" s="13" t="s">
        <v>8186</v>
      </c>
      <c r="B2518" s="8" t="str">
        <f>IFERROR(__xludf.DUMMYFUNCTION("REGEXREPLACE(A2518, ""[^0-9a-zA-Z .'Ã]"","""")"),"Lee Toland Krieger")</f>
        <v>Lee Toland Krieger</v>
      </c>
      <c r="C2518" s="14">
        <v>214.0</v>
      </c>
      <c r="D2518" s="15">
        <v>4.2478175E7</v>
      </c>
      <c r="E2518" s="14" t="s">
        <v>3253</v>
      </c>
      <c r="F2518" s="9">
        <f t="shared" si="1"/>
        <v>3</v>
      </c>
      <c r="G2518" s="14" t="s">
        <v>637</v>
      </c>
      <c r="H2518" s="11" t="str">
        <f>IFERROR(__xludf.DUMMYFUNCTION("REGEXREPLACE(G2518, ""[^0-9a-zA-Z .'Ã]"","""")"),"Harrison Ford")</f>
        <v>Harrison Ford</v>
      </c>
      <c r="I2518" s="16" t="s">
        <v>8187</v>
      </c>
      <c r="J2518" s="14">
        <v>93767.0</v>
      </c>
      <c r="K2518" s="14" t="s">
        <v>8188</v>
      </c>
      <c r="L2518" s="14">
        <v>209.0</v>
      </c>
      <c r="M2518" s="14" t="s">
        <v>24</v>
      </c>
      <c r="N2518" s="14" t="s">
        <v>25</v>
      </c>
      <c r="O2518" s="15">
        <v>2.5E7</v>
      </c>
      <c r="P2518" s="10">
        <f t="shared" si="2"/>
        <v>17478175</v>
      </c>
      <c r="Q2518" s="12">
        <f t="shared" si="3"/>
        <v>0</v>
      </c>
      <c r="R2518" s="14">
        <v>2015.0</v>
      </c>
      <c r="S2518" s="14">
        <v>7.2</v>
      </c>
    </row>
    <row r="2519" ht="15.75" customHeight="1">
      <c r="A2519" s="25" t="s">
        <v>4516</v>
      </c>
      <c r="B2519" s="8" t="str">
        <f>IFERROR(__xludf.DUMMYFUNCTION("REGEXREPLACE(A2519, ""[^0-9a-zA-Z .'Ã]"","""")"),"George Miller")</f>
        <v>George Miller</v>
      </c>
      <c r="C2519" s="26">
        <v>61.0</v>
      </c>
      <c r="D2519" s="27">
        <v>1.8318E7</v>
      </c>
      <c r="E2519" s="26" t="s">
        <v>7090</v>
      </c>
      <c r="F2519" s="9">
        <f t="shared" si="1"/>
        <v>5</v>
      </c>
      <c r="G2519" s="26" t="s">
        <v>786</v>
      </c>
      <c r="H2519" s="11" t="str">
        <f>IFERROR(__xludf.DUMMYFUNCTION("REGEXREPLACE(G2519, ""[^0-9a-zA-Z .'Ã]"","""")"),"Adam Goldberg")</f>
        <v>Adam Goldberg</v>
      </c>
      <c r="I2519" s="28" t="s">
        <v>8189</v>
      </c>
      <c r="J2519" s="26">
        <v>24868.0</v>
      </c>
      <c r="K2519" s="26" t="s">
        <v>8190</v>
      </c>
      <c r="L2519" s="26">
        <v>216.0</v>
      </c>
      <c r="M2519" s="26" t="s">
        <v>24</v>
      </c>
      <c r="N2519" s="26" t="s">
        <v>146</v>
      </c>
      <c r="O2519" s="27">
        <v>8.0E7</v>
      </c>
      <c r="P2519" s="10">
        <f t="shared" si="2"/>
        <v>0</v>
      </c>
      <c r="Q2519" s="12">
        <f t="shared" si="3"/>
        <v>61682000</v>
      </c>
      <c r="R2519" s="26">
        <v>1998.0</v>
      </c>
      <c r="S2519" s="26">
        <v>5.8</v>
      </c>
    </row>
    <row r="2520" ht="15.75" customHeight="1">
      <c r="A2520" s="7" t="s">
        <v>4429</v>
      </c>
      <c r="B2520" s="8" t="str">
        <f>IFERROR(__xludf.DUMMYFUNCTION("REGEXREPLACE(A2520, ""[^0-9a-zA-Z .'Ã]"","""")"),"Charles Martin Smith")</f>
        <v>Charles Martin Smith</v>
      </c>
      <c r="C2520" s="9">
        <v>131.0</v>
      </c>
      <c r="D2520" s="10">
        <v>7.227969E7</v>
      </c>
      <c r="E2520" s="9" t="s">
        <v>2166</v>
      </c>
      <c r="F2520" s="9">
        <f t="shared" si="1"/>
        <v>2</v>
      </c>
      <c r="G2520" s="9" t="s">
        <v>170</v>
      </c>
      <c r="H2520" s="11" t="str">
        <f>IFERROR(__xludf.DUMMYFUNCTION("REGEXREPLACE(G2520, ""[^0-9a-zA-Z .'Ã]"","""")"),"Morgan Freeman")</f>
        <v>Morgan Freeman</v>
      </c>
      <c r="I2520" s="11" t="s">
        <v>8191</v>
      </c>
      <c r="J2520" s="9">
        <v>17948.0</v>
      </c>
      <c r="K2520" s="9" t="s">
        <v>8192</v>
      </c>
      <c r="L2520" s="9">
        <v>86.0</v>
      </c>
      <c r="M2520" s="9" t="s">
        <v>24</v>
      </c>
      <c r="N2520" s="9" t="s">
        <v>25</v>
      </c>
      <c r="O2520" s="10">
        <v>3.7E7</v>
      </c>
      <c r="P2520" s="10">
        <f t="shared" si="2"/>
        <v>35279690</v>
      </c>
      <c r="Q2520" s="12">
        <f t="shared" si="3"/>
        <v>0</v>
      </c>
      <c r="R2520" s="9">
        <v>2011.0</v>
      </c>
      <c r="S2520" s="9">
        <v>6.9</v>
      </c>
    </row>
    <row r="2521" ht="15.75" customHeight="1">
      <c r="A2521" s="7" t="s">
        <v>502</v>
      </c>
      <c r="B2521" s="8" t="str">
        <f>IFERROR(__xludf.DUMMYFUNCTION("REGEXREPLACE(A2521, ""[^0-9a-zA-Z .'Ã]"","""")"),"Bill Duke")</f>
        <v>Bill Duke</v>
      </c>
      <c r="C2521" s="9">
        <v>45.0</v>
      </c>
      <c r="D2521" s="10">
        <v>1.0572742E7</v>
      </c>
      <c r="E2521" s="9" t="s">
        <v>232</v>
      </c>
      <c r="F2521" s="9">
        <f t="shared" si="1"/>
        <v>2</v>
      </c>
      <c r="G2521" s="9" t="s">
        <v>122</v>
      </c>
      <c r="H2521" s="11" t="str">
        <f>IFERROR(__xludf.DUMMYFUNCTION("REGEXREPLACE(G2521, ""[^0-9a-zA-Z .'Ã]"","""")"),"Eddie Cibrian")</f>
        <v>Eddie Cibrian</v>
      </c>
      <c r="I2521" s="11" t="s">
        <v>8193</v>
      </c>
      <c r="J2521" s="9">
        <v>2326.0</v>
      </c>
      <c r="K2521" s="9" t="s">
        <v>8194</v>
      </c>
      <c r="L2521" s="9">
        <v>21.0</v>
      </c>
      <c r="M2521" s="9" t="s">
        <v>24</v>
      </c>
      <c r="N2521" s="9" t="s">
        <v>25</v>
      </c>
      <c r="O2521" s="10">
        <v>8000000.0</v>
      </c>
      <c r="P2521" s="10">
        <f t="shared" si="2"/>
        <v>2572742</v>
      </c>
      <c r="Q2521" s="12">
        <f t="shared" si="3"/>
        <v>0</v>
      </c>
      <c r="R2521" s="9">
        <v>2009.0</v>
      </c>
      <c r="S2521" s="9">
        <v>6.1</v>
      </c>
    </row>
    <row r="2522" ht="15.75" customHeight="1">
      <c r="A2522" s="7" t="s">
        <v>8195</v>
      </c>
      <c r="B2522" s="8" t="str">
        <f>IFERROR(__xludf.DUMMYFUNCTION("REGEXREPLACE(A2522, ""[^0-9a-zA-Z .'Ã]"","""")"),"Barry W. Blaustein")</f>
        <v>Barry W. Blaustein</v>
      </c>
      <c r="C2522" s="9">
        <v>70.0</v>
      </c>
      <c r="D2522" s="10">
        <v>2047570.0</v>
      </c>
      <c r="E2522" s="9" t="s">
        <v>8196</v>
      </c>
      <c r="F2522" s="9">
        <f t="shared" si="1"/>
        <v>3</v>
      </c>
      <c r="G2522" s="9" t="s">
        <v>8197</v>
      </c>
      <c r="H2522" s="11" t="str">
        <f>IFERROR(__xludf.DUMMYFUNCTION("REGEXREPLACE(G2522, ""[^0-9a-zA-Z .'Ã]"","""")"),"Terry Funk")</f>
        <v>Terry Funk</v>
      </c>
      <c r="I2522" s="11" t="s">
        <v>8198</v>
      </c>
      <c r="J2522" s="9">
        <v>6790.0</v>
      </c>
      <c r="K2522" s="9" t="s">
        <v>8199</v>
      </c>
      <c r="L2522" s="9">
        <v>80.0</v>
      </c>
      <c r="M2522" s="9" t="s">
        <v>24</v>
      </c>
      <c r="N2522" s="9" t="s">
        <v>25</v>
      </c>
      <c r="O2522" s="10">
        <v>500000.0</v>
      </c>
      <c r="P2522" s="10">
        <f t="shared" si="2"/>
        <v>1547570</v>
      </c>
      <c r="Q2522" s="12">
        <f t="shared" si="3"/>
        <v>0</v>
      </c>
      <c r="R2522" s="9">
        <v>1999.0</v>
      </c>
      <c r="S2522" s="9">
        <v>7.6</v>
      </c>
    </row>
    <row r="2523" ht="15.75" customHeight="1">
      <c r="A2523" s="17" t="s">
        <v>625</v>
      </c>
      <c r="B2523" s="8" t="str">
        <f>IFERROR(__xludf.DUMMYFUNCTION("REGEXREPLACE(A2523, ""[^0-9a-zA-Z .'Ã]"","""")"),"Edward Zwick")</f>
        <v>Edward Zwick</v>
      </c>
      <c r="C2523" s="18">
        <v>120.0</v>
      </c>
      <c r="D2523" s="19">
        <v>4.0932372E7</v>
      </c>
      <c r="E2523" s="18" t="s">
        <v>1096</v>
      </c>
      <c r="F2523" s="9">
        <f t="shared" si="1"/>
        <v>2</v>
      </c>
      <c r="G2523" s="18" t="s">
        <v>70</v>
      </c>
      <c r="H2523" s="11" t="str">
        <f>IFERROR(__xludf.DUMMYFUNCTION("REGEXREPLACE(G2523, ""[^0-9a-zA-Z .'Ã]"","""")"),"Denzel Washington")</f>
        <v>Denzel Washington</v>
      </c>
      <c r="I2523" s="20" t="s">
        <v>8200</v>
      </c>
      <c r="J2523" s="18">
        <v>58023.0</v>
      </c>
      <c r="K2523" s="18" t="s">
        <v>8201</v>
      </c>
      <c r="L2523" s="18">
        <v>281.0</v>
      </c>
      <c r="M2523" s="18" t="s">
        <v>24</v>
      </c>
      <c r="N2523" s="18" t="s">
        <v>25</v>
      </c>
      <c r="O2523" s="19">
        <v>7.0E7</v>
      </c>
      <c r="P2523" s="10">
        <f t="shared" si="2"/>
        <v>0</v>
      </c>
      <c r="Q2523" s="12">
        <f t="shared" si="3"/>
        <v>29067628</v>
      </c>
      <c r="R2523" s="18">
        <v>1998.0</v>
      </c>
      <c r="S2523" s="18">
        <v>6.3</v>
      </c>
    </row>
    <row r="2524" ht="15.75" customHeight="1">
      <c r="A2524" s="7" t="s">
        <v>4575</v>
      </c>
      <c r="B2524" s="8" t="str">
        <f>IFERROR(__xludf.DUMMYFUNCTION("REGEXREPLACE(A2524, ""[^0-9a-zA-Z .'Ã]"","""")"),"David Gordon Green")</f>
        <v>David Gordon Green</v>
      </c>
      <c r="C2524" s="9">
        <v>88.0</v>
      </c>
      <c r="D2524" s="10">
        <v>548712.0</v>
      </c>
      <c r="E2524" s="9" t="s">
        <v>232</v>
      </c>
      <c r="F2524" s="9">
        <f t="shared" si="1"/>
        <v>2</v>
      </c>
      <c r="G2524" s="9" t="s">
        <v>3033</v>
      </c>
      <c r="H2524" s="11" t="str">
        <f>IFERROR(__xludf.DUMMYFUNCTION("REGEXREPLACE(G2524, ""[^0-9a-zA-Z .'Ã]"","""")"),"Zooey Deschanel")</f>
        <v>Zooey Deschanel</v>
      </c>
      <c r="I2524" s="11" t="s">
        <v>8202</v>
      </c>
      <c r="J2524" s="9">
        <v>9233.0</v>
      </c>
      <c r="K2524" s="9" t="s">
        <v>8203</v>
      </c>
      <c r="L2524" s="9">
        <v>126.0</v>
      </c>
      <c r="M2524" s="9" t="s">
        <v>24</v>
      </c>
      <c r="N2524" s="9" t="s">
        <v>25</v>
      </c>
      <c r="O2524" s="10">
        <v>2500000.0</v>
      </c>
      <c r="P2524" s="10">
        <f t="shared" si="2"/>
        <v>0</v>
      </c>
      <c r="Q2524" s="12">
        <f t="shared" si="3"/>
        <v>1951288</v>
      </c>
      <c r="R2524" s="9">
        <v>2003.0</v>
      </c>
      <c r="S2524" s="9">
        <v>6.9</v>
      </c>
    </row>
    <row r="2525" ht="15.75" customHeight="1">
      <c r="A2525" s="21" t="s">
        <v>38</v>
      </c>
      <c r="B2525" s="8" t="str">
        <f>IFERROR(__xludf.DUMMYFUNCTION("REGEXREPLACE(A2525, ""[^0-9a-zA-Z .'Ã]"","""")"),"Clint Eastwood")</f>
        <v>Clint Eastwood</v>
      </c>
      <c r="C2525" s="22">
        <v>306.0</v>
      </c>
      <c r="D2525" s="23">
        <v>3.7479778E7</v>
      </c>
      <c r="E2525" s="22" t="s">
        <v>32</v>
      </c>
      <c r="F2525" s="9">
        <f t="shared" si="1"/>
        <v>4</v>
      </c>
      <c r="G2525" s="22" t="s">
        <v>585</v>
      </c>
      <c r="H2525" s="11" t="str">
        <f>IFERROR(__xludf.DUMMYFUNCTION("REGEXREPLACE(G2525, ""[^0-9a-zA-Z .'Ã]"","""")"),"Matt Damon")</f>
        <v>Matt Damon</v>
      </c>
      <c r="I2525" s="24" t="s">
        <v>8204</v>
      </c>
      <c r="J2525" s="22">
        <v>124222.0</v>
      </c>
      <c r="K2525" s="22" t="s">
        <v>8205</v>
      </c>
      <c r="L2525" s="22">
        <v>259.0</v>
      </c>
      <c r="M2525" s="22" t="s">
        <v>24</v>
      </c>
      <c r="N2525" s="22" t="s">
        <v>25</v>
      </c>
      <c r="O2525" s="23">
        <v>6.0E7</v>
      </c>
      <c r="P2525" s="10">
        <f t="shared" si="2"/>
        <v>0</v>
      </c>
      <c r="Q2525" s="12">
        <f t="shared" si="3"/>
        <v>22520222</v>
      </c>
      <c r="R2525" s="22">
        <v>2009.0</v>
      </c>
      <c r="S2525" s="22">
        <v>7.4</v>
      </c>
    </row>
    <row r="2526" ht="15.75" customHeight="1">
      <c r="A2526" s="29" t="s">
        <v>3707</v>
      </c>
      <c r="B2526" s="8" t="str">
        <f>IFERROR(__xludf.DUMMYFUNCTION("REGEXREPLACE(A2526, ""[^0-9a-zA-Z .'Ã]"","""")"),"Eli Roth")</f>
        <v>Eli Roth</v>
      </c>
      <c r="C2526" s="30">
        <v>285.0</v>
      </c>
      <c r="D2526" s="31">
        <v>7186670.0</v>
      </c>
      <c r="E2526" s="30" t="s">
        <v>8206</v>
      </c>
      <c r="F2526" s="9">
        <f t="shared" si="1"/>
        <v>2</v>
      </c>
      <c r="G2526" s="30" t="s">
        <v>6886</v>
      </c>
      <c r="H2526" s="11" t="str">
        <f>IFERROR(__xludf.DUMMYFUNCTION("REGEXREPLACE(G2526, ""[^0-9a-zA-Z .'Ã]"","""")"),"Daryl Sabara")</f>
        <v>Daryl Sabara</v>
      </c>
      <c r="I2526" s="32" t="s">
        <v>8207</v>
      </c>
      <c r="J2526" s="30">
        <v>21468.0</v>
      </c>
      <c r="K2526" s="30" t="s">
        <v>8208</v>
      </c>
      <c r="L2526" s="30">
        <v>164.0</v>
      </c>
      <c r="M2526" s="30" t="s">
        <v>24</v>
      </c>
      <c r="N2526" s="30" t="s">
        <v>25</v>
      </c>
      <c r="O2526" s="31">
        <v>6000000.0</v>
      </c>
      <c r="P2526" s="10">
        <f t="shared" si="2"/>
        <v>1186670</v>
      </c>
      <c r="Q2526" s="12">
        <f t="shared" si="3"/>
        <v>0</v>
      </c>
      <c r="R2526" s="30">
        <v>2013.0</v>
      </c>
      <c r="S2526" s="30">
        <v>5.4</v>
      </c>
    </row>
    <row r="2527" ht="15.75" customHeight="1">
      <c r="A2527" s="21" t="s">
        <v>8209</v>
      </c>
      <c r="B2527" s="8" t="str">
        <f>IFERROR(__xludf.DUMMYFUNCTION("REGEXREPLACE(A2527, ""[^0-9a-zA-Z .'Ã]"","""")"),"Tommy Lee Jones")</f>
        <v>Tommy Lee Jones</v>
      </c>
      <c r="C2527" s="22">
        <v>208.0</v>
      </c>
      <c r="D2527" s="23">
        <v>2428883.0</v>
      </c>
      <c r="E2527" s="22" t="s">
        <v>3765</v>
      </c>
      <c r="F2527" s="9">
        <f t="shared" si="1"/>
        <v>2</v>
      </c>
      <c r="G2527" s="22" t="s">
        <v>4082</v>
      </c>
      <c r="H2527" s="11" t="str">
        <f>IFERROR(__xludf.DUMMYFUNCTION("REGEXREPLACE(G2527, ""[^0-9a-zA-Z .'Ã]"","""")"),"Barry Corbin")</f>
        <v>Barry Corbin</v>
      </c>
      <c r="I2527" s="24" t="s">
        <v>8210</v>
      </c>
      <c r="J2527" s="22">
        <v>21370.0</v>
      </c>
      <c r="K2527" s="22" t="s">
        <v>8211</v>
      </c>
      <c r="L2527" s="22">
        <v>132.0</v>
      </c>
      <c r="M2527" s="22" t="s">
        <v>24</v>
      </c>
      <c r="N2527" s="22" t="s">
        <v>25</v>
      </c>
      <c r="O2527" s="23">
        <v>1.6E7</v>
      </c>
      <c r="P2527" s="10">
        <f t="shared" si="2"/>
        <v>0</v>
      </c>
      <c r="Q2527" s="12">
        <f t="shared" si="3"/>
        <v>13571117</v>
      </c>
      <c r="R2527" s="22">
        <v>2014.0</v>
      </c>
      <c r="S2527" s="22">
        <v>6.6</v>
      </c>
    </row>
    <row r="2528" ht="15.75" customHeight="1">
      <c r="A2528" s="7" t="s">
        <v>3625</v>
      </c>
      <c r="B2528" s="8" t="str">
        <f>IFERROR(__xludf.DUMMYFUNCTION("REGEXREPLACE(A2528, ""[^0-9a-zA-Z .'Ã]"","""")"),"Frank Darabont")</f>
        <v>Frank Darabont</v>
      </c>
      <c r="C2528" s="9">
        <v>186.0</v>
      </c>
      <c r="D2528" s="10">
        <v>1.36801374E8</v>
      </c>
      <c r="E2528" s="9" t="s">
        <v>8212</v>
      </c>
      <c r="F2528" s="9">
        <f t="shared" si="1"/>
        <v>4</v>
      </c>
      <c r="G2528" s="9" t="s">
        <v>461</v>
      </c>
      <c r="H2528" s="11" t="str">
        <f>IFERROR(__xludf.DUMMYFUNCTION("REGEXREPLACE(G2528, ""[^0-9a-zA-Z .'Ã]"","""")"),"Tom Hanks")</f>
        <v>Tom Hanks</v>
      </c>
      <c r="I2528" s="11" t="s">
        <v>8213</v>
      </c>
      <c r="J2528" s="9">
        <v>782610.0</v>
      </c>
      <c r="K2528" s="9" t="s">
        <v>8214</v>
      </c>
      <c r="L2528" s="9">
        <v>1377.0</v>
      </c>
      <c r="M2528" s="9" t="s">
        <v>24</v>
      </c>
      <c r="N2528" s="9" t="s">
        <v>25</v>
      </c>
      <c r="O2528" s="10">
        <v>6.0E7</v>
      </c>
      <c r="P2528" s="10">
        <f t="shared" si="2"/>
        <v>76801374</v>
      </c>
      <c r="Q2528" s="12">
        <f t="shared" si="3"/>
        <v>0</v>
      </c>
      <c r="R2528" s="9">
        <v>1999.0</v>
      </c>
      <c r="S2528" s="9">
        <v>8.5</v>
      </c>
    </row>
    <row r="2529" ht="15.75" customHeight="1">
      <c r="A2529" s="17" t="s">
        <v>8215</v>
      </c>
      <c r="B2529" s="8" t="str">
        <f>IFERROR(__xludf.DUMMYFUNCTION("REGEXREPLACE(A2529, ""[^0-9a-zA-Z .'Ã]"","""")"),"Sherman Alexie")</f>
        <v>Sherman Alexie</v>
      </c>
      <c r="C2529" s="18">
        <v>12.0</v>
      </c>
      <c r="D2529" s="19">
        <v>174682.0</v>
      </c>
      <c r="E2529" s="18" t="s">
        <v>418</v>
      </c>
      <c r="F2529" s="9">
        <f t="shared" si="1"/>
        <v>2</v>
      </c>
      <c r="G2529" s="18" t="s">
        <v>8216</v>
      </c>
      <c r="H2529" s="11" t="str">
        <f>IFERROR(__xludf.DUMMYFUNCTION("REGEXREPLACE(G2529, ""[^0-9a-zA-Z .'Ã]"","""")"),"William Joseph Elk III")</f>
        <v>William Joseph Elk III</v>
      </c>
      <c r="I2529" s="20" t="s">
        <v>8217</v>
      </c>
      <c r="J2529" s="18">
        <v>460.0</v>
      </c>
      <c r="K2529" s="18" t="s">
        <v>8218</v>
      </c>
      <c r="L2529" s="18">
        <v>14.0</v>
      </c>
      <c r="M2529" s="18" t="s">
        <v>24</v>
      </c>
      <c r="N2529" s="18" t="s">
        <v>25</v>
      </c>
      <c r="O2529" s="19">
        <v>200000.0</v>
      </c>
      <c r="P2529" s="10">
        <f t="shared" si="2"/>
        <v>0</v>
      </c>
      <c r="Q2529" s="12">
        <f t="shared" si="3"/>
        <v>25318</v>
      </c>
      <c r="R2529" s="18">
        <v>2002.0</v>
      </c>
      <c r="S2529" s="18">
        <v>6.9</v>
      </c>
    </row>
    <row r="2530" ht="15.75" customHeight="1">
      <c r="A2530" s="17" t="s">
        <v>408</v>
      </c>
      <c r="B2530" s="8" t="str">
        <f>IFERROR(__xludf.DUMMYFUNCTION("REGEXREPLACE(A2530, ""[^0-9a-zA-Z .'Ã]"","""")"),"Roger Spottiswoode")</f>
        <v>Roger Spottiswoode</v>
      </c>
      <c r="C2530" s="18">
        <v>67.0</v>
      </c>
      <c r="D2530" s="19">
        <v>1027749.0</v>
      </c>
      <c r="E2530" s="18" t="s">
        <v>679</v>
      </c>
      <c r="F2530" s="9">
        <f t="shared" si="1"/>
        <v>2</v>
      </c>
      <c r="G2530" s="18" t="s">
        <v>4097</v>
      </c>
      <c r="H2530" s="11" t="str">
        <f>IFERROR(__xludf.DUMMYFUNCTION("REGEXREPLACE(G2530, ""[^0-9a-zA-Z .'Ã]"","""")"),"Radha Mitchell")</f>
        <v>Radha Mitchell</v>
      </c>
      <c r="I2530" s="20" t="s">
        <v>8219</v>
      </c>
      <c r="J2530" s="18">
        <v>8087.0</v>
      </c>
      <c r="K2530" s="18" t="s">
        <v>8220</v>
      </c>
      <c r="L2530" s="18">
        <v>33.0</v>
      </c>
      <c r="M2530" s="18" t="s">
        <v>24</v>
      </c>
      <c r="N2530" s="18" t="s">
        <v>146</v>
      </c>
      <c r="O2530" s="19">
        <v>4.0E7</v>
      </c>
      <c r="P2530" s="10">
        <f t="shared" si="2"/>
        <v>0</v>
      </c>
      <c r="Q2530" s="12">
        <f t="shared" si="3"/>
        <v>38972251</v>
      </c>
      <c r="R2530" s="18">
        <v>2008.0</v>
      </c>
      <c r="S2530" s="18">
        <v>7.1</v>
      </c>
    </row>
    <row r="2531" ht="15.75" customHeight="1">
      <c r="A2531" s="7" t="s">
        <v>7579</v>
      </c>
      <c r="B2531" s="8" t="str">
        <f>IFERROR(__xludf.DUMMYFUNCTION("REGEXREPLACE(A2531, ""[^0-9a-zA-Z .'Ã]"","""")"),"Tony Gilroy")</f>
        <v>Tony Gilroy</v>
      </c>
      <c r="C2531" s="9">
        <v>211.0</v>
      </c>
      <c r="D2531" s="10">
        <v>4.055993E7</v>
      </c>
      <c r="E2531" s="9" t="s">
        <v>6084</v>
      </c>
      <c r="F2531" s="9">
        <f t="shared" si="1"/>
        <v>4</v>
      </c>
      <c r="G2531" s="9" t="s">
        <v>533</v>
      </c>
      <c r="H2531" s="11" t="str">
        <f>IFERROR(__xludf.DUMMYFUNCTION("REGEXREPLACE(G2531, ""[^0-9a-zA-Z .'Ã]"","""")"),"Julia Roberts")</f>
        <v>Julia Roberts</v>
      </c>
      <c r="I2531" s="11" t="s">
        <v>8221</v>
      </c>
      <c r="J2531" s="9">
        <v>41727.0</v>
      </c>
      <c r="K2531" s="9" t="s">
        <v>8222</v>
      </c>
      <c r="L2531" s="9">
        <v>184.0</v>
      </c>
      <c r="M2531" s="9" t="s">
        <v>24</v>
      </c>
      <c r="N2531" s="9" t="s">
        <v>25</v>
      </c>
      <c r="O2531" s="10">
        <v>6.0E7</v>
      </c>
      <c r="P2531" s="10">
        <f t="shared" si="2"/>
        <v>0</v>
      </c>
      <c r="Q2531" s="12">
        <f t="shared" si="3"/>
        <v>19440070</v>
      </c>
      <c r="R2531" s="9">
        <v>2009.0</v>
      </c>
      <c r="S2531" s="9">
        <v>6.2</v>
      </c>
    </row>
    <row r="2532" ht="15.75" customHeight="1">
      <c r="A2532" s="17" t="s">
        <v>2252</v>
      </c>
      <c r="B2532" s="8" t="str">
        <f>IFERROR(__xludf.DUMMYFUNCTION("REGEXREPLACE(A2532, ""[^0-9a-zA-Z .'Ã]"","""")"),"Ruben Fleischer")</f>
        <v>Ruben Fleischer</v>
      </c>
      <c r="C2532" s="18">
        <v>220.0</v>
      </c>
      <c r="D2532" s="19">
        <v>3.7053924E7</v>
      </c>
      <c r="E2532" s="18" t="s">
        <v>265</v>
      </c>
      <c r="F2532" s="9">
        <f t="shared" si="1"/>
        <v>3</v>
      </c>
      <c r="G2532" s="18" t="s">
        <v>8223</v>
      </c>
      <c r="H2532" s="11" t="str">
        <f>IFERROR(__xludf.DUMMYFUNCTION("REGEXREPLACE(G2532, ""[^0-9a-zA-Z .'Ã]"","""")"),"Bianca Kajlich")</f>
        <v>Bianca Kajlich</v>
      </c>
      <c r="I2532" s="20" t="s">
        <v>8224</v>
      </c>
      <c r="J2532" s="18">
        <v>77935.0</v>
      </c>
      <c r="K2532" s="18" t="s">
        <v>8225</v>
      </c>
      <c r="L2532" s="18">
        <v>122.0</v>
      </c>
      <c r="M2532" s="18" t="s">
        <v>24</v>
      </c>
      <c r="N2532" s="18" t="s">
        <v>173</v>
      </c>
      <c r="O2532" s="19">
        <v>2.8E7</v>
      </c>
      <c r="P2532" s="10">
        <f t="shared" si="2"/>
        <v>9053924</v>
      </c>
      <c r="Q2532" s="12">
        <f t="shared" si="3"/>
        <v>0</v>
      </c>
      <c r="R2532" s="18">
        <v>2011.0</v>
      </c>
      <c r="S2532" s="18">
        <v>6.1</v>
      </c>
    </row>
    <row r="2533" ht="15.75" customHeight="1">
      <c r="A2533" s="7" t="s">
        <v>8226</v>
      </c>
      <c r="B2533" s="8" t="str">
        <f>IFERROR(__xludf.DUMMYFUNCTION("REGEXREPLACE(A2533, ""[^0-9a-zA-Z .'Ã]"","""")"),"Reed Cowan")</f>
        <v>Reed Cowan</v>
      </c>
      <c r="C2533" s="9">
        <v>28.0</v>
      </c>
      <c r="D2533" s="10">
        <v>99851.0</v>
      </c>
      <c r="E2533" s="9" t="s">
        <v>251</v>
      </c>
      <c r="F2533" s="9">
        <f t="shared" si="1"/>
        <v>1</v>
      </c>
      <c r="G2533" s="9" t="s">
        <v>8227</v>
      </c>
      <c r="H2533" s="11" t="str">
        <f>IFERROR(__xludf.DUMMYFUNCTION("REGEXREPLACE(G2533, ""[^0-9a-zA-Z .'Ã]"","""")"),"Dustin Lance Black")</f>
        <v>Dustin Lance Black</v>
      </c>
      <c r="I2533" s="11" t="s">
        <v>8228</v>
      </c>
      <c r="J2533" s="9">
        <v>1138.0</v>
      </c>
      <c r="K2533" s="9" t="s">
        <v>8229</v>
      </c>
      <c r="L2533" s="9">
        <v>30.0</v>
      </c>
      <c r="M2533" s="9" t="s">
        <v>24</v>
      </c>
      <c r="N2533" s="9" t="s">
        <v>25</v>
      </c>
      <c r="O2533" s="10">
        <v>2500000.0</v>
      </c>
      <c r="P2533" s="10">
        <f t="shared" si="2"/>
        <v>0</v>
      </c>
      <c r="Q2533" s="12">
        <f t="shared" si="3"/>
        <v>2400149</v>
      </c>
      <c r="R2533" s="9">
        <v>2010.0</v>
      </c>
      <c r="S2533" s="9">
        <v>7.1</v>
      </c>
    </row>
    <row r="2534" ht="15.75" customHeight="1">
      <c r="A2534" s="7" t="s">
        <v>315</v>
      </c>
      <c r="B2534" s="8" t="str">
        <f>IFERROR(__xludf.DUMMYFUNCTION("REGEXREPLACE(A2534, ""[^0-9a-zA-Z .'Ã]"","""")"),"Steven Soderbergh")</f>
        <v>Steven Soderbergh</v>
      </c>
      <c r="C2534" s="9">
        <v>248.0</v>
      </c>
      <c r="D2534" s="10">
        <v>3.3313582E7</v>
      </c>
      <c r="E2534" s="9" t="s">
        <v>3215</v>
      </c>
      <c r="F2534" s="9">
        <f t="shared" si="1"/>
        <v>4</v>
      </c>
      <c r="G2534" s="9" t="s">
        <v>585</v>
      </c>
      <c r="H2534" s="11" t="str">
        <f>IFERROR(__xludf.DUMMYFUNCTION("REGEXREPLACE(G2534, ""[^0-9a-zA-Z .'Ã]"","""")"),"Matt Damon")</f>
        <v>Matt Damon</v>
      </c>
      <c r="I2534" s="11" t="s">
        <v>8230</v>
      </c>
      <c r="J2534" s="9">
        <v>52888.0</v>
      </c>
      <c r="K2534" s="9" t="s">
        <v>8231</v>
      </c>
      <c r="L2534" s="9">
        <v>175.0</v>
      </c>
      <c r="M2534" s="9" t="s">
        <v>24</v>
      </c>
      <c r="N2534" s="9" t="s">
        <v>25</v>
      </c>
      <c r="O2534" s="10">
        <v>2.1E7</v>
      </c>
      <c r="P2534" s="10">
        <f t="shared" si="2"/>
        <v>12313582</v>
      </c>
      <c r="Q2534" s="12">
        <f t="shared" si="3"/>
        <v>0</v>
      </c>
      <c r="R2534" s="9">
        <v>2009.0</v>
      </c>
      <c r="S2534" s="9">
        <v>6.5</v>
      </c>
    </row>
    <row r="2535" ht="15.75" customHeight="1">
      <c r="A2535" s="7" t="s">
        <v>536</v>
      </c>
      <c r="B2535" s="8" t="str">
        <f>IFERROR(__xludf.DUMMYFUNCTION("REGEXREPLACE(A2535, ""[^0-9a-zA-Z .'Ã]"","""")"),"Robert Zemeckis")</f>
        <v>Robert Zemeckis</v>
      </c>
      <c r="C2535" s="9">
        <v>240.0</v>
      </c>
      <c r="D2535" s="10">
        <v>1.37850096E8</v>
      </c>
      <c r="E2535" s="9" t="s">
        <v>8232</v>
      </c>
      <c r="F2535" s="9">
        <f t="shared" si="1"/>
        <v>4</v>
      </c>
      <c r="G2535" s="9" t="s">
        <v>233</v>
      </c>
      <c r="H2535" s="11" t="str">
        <f>IFERROR(__xludf.DUMMYFUNCTION("REGEXREPLACE(G2535, ""[^0-9a-zA-Z .'Ã]"","""")"),"Robin Wright")</f>
        <v>Robin Wright</v>
      </c>
      <c r="I2535" s="11" t="s">
        <v>8233</v>
      </c>
      <c r="J2535" s="9">
        <v>72809.0</v>
      </c>
      <c r="K2535" s="9" t="s">
        <v>8234</v>
      </c>
      <c r="L2535" s="9">
        <v>249.0</v>
      </c>
      <c r="M2535" s="9" t="s">
        <v>24</v>
      </c>
      <c r="N2535" s="9" t="s">
        <v>25</v>
      </c>
      <c r="O2535" s="10">
        <v>2.0E8</v>
      </c>
      <c r="P2535" s="10">
        <f t="shared" si="2"/>
        <v>0</v>
      </c>
      <c r="Q2535" s="12">
        <f t="shared" si="3"/>
        <v>62149904</v>
      </c>
      <c r="R2535" s="9">
        <v>2009.0</v>
      </c>
      <c r="S2535" s="9">
        <v>6.8</v>
      </c>
    </row>
    <row r="2536" ht="15.75" customHeight="1">
      <c r="A2536" s="7" t="s">
        <v>877</v>
      </c>
      <c r="B2536" s="8" t="str">
        <f>IFERROR(__xludf.DUMMYFUNCTION("REGEXREPLACE(A2536, ""[^0-9a-zA-Z .'Ã]"","""")"),"David Ayer")</f>
        <v>David Ayer</v>
      </c>
      <c r="C2536" s="9">
        <v>190.0</v>
      </c>
      <c r="D2536" s="10">
        <v>2.6415649E7</v>
      </c>
      <c r="E2536" s="9" t="s">
        <v>501</v>
      </c>
      <c r="F2536" s="9">
        <f t="shared" si="1"/>
        <v>4</v>
      </c>
      <c r="G2536" s="9" t="s">
        <v>1170</v>
      </c>
      <c r="H2536" s="11" t="str">
        <f>IFERROR(__xludf.DUMMYFUNCTION("REGEXREPLACE(G2536, ""[^0-9a-zA-Z .'Ã]"","""")"),"Keanu Reeves")</f>
        <v>Keanu Reeves</v>
      </c>
      <c r="I2536" s="11" t="s">
        <v>8235</v>
      </c>
      <c r="J2536" s="9">
        <v>94892.0</v>
      </c>
      <c r="K2536" s="9" t="s">
        <v>8236</v>
      </c>
      <c r="L2536" s="9">
        <v>189.0</v>
      </c>
      <c r="M2536" s="9" t="s">
        <v>24</v>
      </c>
      <c r="N2536" s="9" t="s">
        <v>25</v>
      </c>
      <c r="O2536" s="10">
        <v>2.0E7</v>
      </c>
      <c r="P2536" s="10">
        <f t="shared" si="2"/>
        <v>6415649</v>
      </c>
      <c r="Q2536" s="12">
        <f t="shared" si="3"/>
        <v>0</v>
      </c>
      <c r="R2536" s="9">
        <v>2008.0</v>
      </c>
      <c r="S2536" s="9">
        <v>6.8</v>
      </c>
    </row>
    <row r="2537" ht="15.75" customHeight="1">
      <c r="A2537" s="17" t="s">
        <v>8237</v>
      </c>
      <c r="B2537" s="8" t="str">
        <f>IFERROR(__xludf.DUMMYFUNCTION("REGEXREPLACE(A2537, ""[^0-9a-zA-Z .'Ã]"","""")"),"David Nutter")</f>
        <v>David Nutter</v>
      </c>
      <c r="C2537" s="18">
        <v>96.0</v>
      </c>
      <c r="D2537" s="19">
        <v>1.7411331E7</v>
      </c>
      <c r="E2537" s="18" t="s">
        <v>1907</v>
      </c>
      <c r="F2537" s="9">
        <f t="shared" si="1"/>
        <v>4</v>
      </c>
      <c r="G2537" s="18" t="s">
        <v>3555</v>
      </c>
      <c r="H2537" s="11" t="str">
        <f>IFERROR(__xludf.DUMMYFUNCTION("REGEXREPLACE(G2537, ""[^0-9a-zA-Z .'Ã]"","""")"),"Bruce Greenwood")</f>
        <v>Bruce Greenwood</v>
      </c>
      <c r="I2537" s="20" t="s">
        <v>8238</v>
      </c>
      <c r="J2537" s="18">
        <v>17328.0</v>
      </c>
      <c r="K2537" s="18" t="s">
        <v>8239</v>
      </c>
      <c r="L2537" s="18">
        <v>237.0</v>
      </c>
      <c r="M2537" s="18" t="s">
        <v>24</v>
      </c>
      <c r="N2537" s="18" t="s">
        <v>146</v>
      </c>
      <c r="O2537" s="19">
        <v>1.5E7</v>
      </c>
      <c r="P2537" s="10">
        <f t="shared" si="2"/>
        <v>2411331</v>
      </c>
      <c r="Q2537" s="12">
        <f t="shared" si="3"/>
        <v>0</v>
      </c>
      <c r="R2537" s="18">
        <v>1998.0</v>
      </c>
      <c r="S2537" s="18">
        <v>5.5</v>
      </c>
    </row>
    <row r="2538" ht="15.75" customHeight="1">
      <c r="A2538" s="17" t="s">
        <v>3535</v>
      </c>
      <c r="B2538" s="8" t="str">
        <f>IFERROR(__xludf.DUMMYFUNCTION("REGEXREPLACE(A2538, ""[^0-9a-zA-Z .'Ã]"","""")"),"Sergey Bodrov")</f>
        <v>Sergey Bodrov</v>
      </c>
      <c r="C2538" s="18">
        <v>160.0</v>
      </c>
      <c r="D2538" s="19">
        <v>5701643.0</v>
      </c>
      <c r="E2538" s="18" t="s">
        <v>1895</v>
      </c>
      <c r="F2538" s="9">
        <f t="shared" si="1"/>
        <v>5</v>
      </c>
      <c r="G2538" s="18" t="s">
        <v>8240</v>
      </c>
      <c r="H2538" s="11" t="str">
        <f>IFERROR(__xludf.DUMMYFUNCTION("REGEXREPLACE(G2538, ""[^0-9a-zA-Z .'Ã]"","""")"),"Tadanobu Asano")</f>
        <v>Tadanobu Asano</v>
      </c>
      <c r="I2538" s="20" t="s">
        <v>8241</v>
      </c>
      <c r="J2538" s="18">
        <v>37635.0</v>
      </c>
      <c r="K2538" s="18" t="s">
        <v>8242</v>
      </c>
      <c r="L2538" s="18">
        <v>165.0</v>
      </c>
      <c r="M2538" s="18" t="s">
        <v>8243</v>
      </c>
      <c r="N2538" s="18" t="s">
        <v>7865</v>
      </c>
      <c r="O2538" s="19">
        <v>2.0E7</v>
      </c>
      <c r="P2538" s="10">
        <f t="shared" si="2"/>
        <v>0</v>
      </c>
      <c r="Q2538" s="12">
        <f t="shared" si="3"/>
        <v>14298357</v>
      </c>
      <c r="R2538" s="18">
        <v>2007.0</v>
      </c>
      <c r="S2538" s="18">
        <v>7.3</v>
      </c>
    </row>
    <row r="2539" ht="15.75" customHeight="1">
      <c r="A2539" s="7" t="s">
        <v>635</v>
      </c>
      <c r="B2539" s="8" t="str">
        <f>IFERROR(__xludf.DUMMYFUNCTION("REGEXREPLACE(A2539, ""[^0-9a-zA-Z .'Ã]"","""")"),"Steven Spielberg")</f>
        <v>Steven Spielberg</v>
      </c>
      <c r="C2539" s="9">
        <v>440.0</v>
      </c>
      <c r="D2539" s="10">
        <v>7.7564037E7</v>
      </c>
      <c r="E2539" s="9" t="s">
        <v>8244</v>
      </c>
      <c r="F2539" s="9">
        <f t="shared" si="1"/>
        <v>4</v>
      </c>
      <c r="G2539" s="9" t="s">
        <v>6867</v>
      </c>
      <c r="H2539" s="11" t="str">
        <f>IFERROR(__xludf.DUMMYFUNCTION("REGEXREPLACE(G2539, ""[^0-9a-zA-Z .'Ã]"","""")"),"Toby Jones")</f>
        <v>Toby Jones</v>
      </c>
      <c r="I2539" s="11" t="s">
        <v>8245</v>
      </c>
      <c r="J2539" s="9">
        <v>177383.0</v>
      </c>
      <c r="K2539" s="9" t="s">
        <v>8246</v>
      </c>
      <c r="L2539" s="9">
        <v>447.0</v>
      </c>
      <c r="M2539" s="9" t="s">
        <v>24</v>
      </c>
      <c r="N2539" s="9" t="s">
        <v>25</v>
      </c>
      <c r="O2539" s="10">
        <v>1.35E8</v>
      </c>
      <c r="P2539" s="10">
        <f t="shared" si="2"/>
        <v>0</v>
      </c>
      <c r="Q2539" s="12">
        <f t="shared" si="3"/>
        <v>57435963</v>
      </c>
      <c r="R2539" s="9">
        <v>2011.0</v>
      </c>
      <c r="S2539" s="9">
        <v>7.4</v>
      </c>
    </row>
    <row r="2540" ht="15.75" customHeight="1">
      <c r="A2540" s="17" t="s">
        <v>4151</v>
      </c>
      <c r="B2540" s="8" t="str">
        <f>IFERROR(__xludf.DUMMYFUNCTION("REGEXREPLACE(A2540, ""[^0-9a-zA-Z .'Ã]"","""")"),"Frank Coraci")</f>
        <v>Frank Coraci</v>
      </c>
      <c r="C2540" s="18">
        <v>173.0</v>
      </c>
      <c r="D2540" s="19">
        <v>4.6280507E7</v>
      </c>
      <c r="E2540" s="18" t="s">
        <v>89</v>
      </c>
      <c r="F2540" s="9">
        <f t="shared" si="1"/>
        <v>2</v>
      </c>
      <c r="G2540" s="18" t="s">
        <v>2548</v>
      </c>
      <c r="H2540" s="11" t="str">
        <f>IFERROR(__xludf.DUMMYFUNCTION("REGEXREPLACE(G2540, ""[^0-9a-zA-Z .'Ã]"","""")"),"Bella Thorne")</f>
        <v>Bella Thorne</v>
      </c>
      <c r="I2540" s="20" t="s">
        <v>8247</v>
      </c>
      <c r="J2540" s="18">
        <v>87165.0</v>
      </c>
      <c r="K2540" s="18" t="s">
        <v>8248</v>
      </c>
      <c r="L2540" s="18">
        <v>184.0</v>
      </c>
      <c r="M2540" s="18" t="s">
        <v>24</v>
      </c>
      <c r="N2540" s="18" t="s">
        <v>25</v>
      </c>
      <c r="O2540" s="19">
        <v>4.0E7</v>
      </c>
      <c r="P2540" s="10">
        <f t="shared" si="2"/>
        <v>6280507</v>
      </c>
      <c r="Q2540" s="12">
        <f t="shared" si="3"/>
        <v>0</v>
      </c>
      <c r="R2540" s="18">
        <v>2014.0</v>
      </c>
      <c r="S2540" s="18">
        <v>6.5</v>
      </c>
    </row>
    <row r="2541" ht="15.75" customHeight="1">
      <c r="A2541" s="7" t="s">
        <v>6885</v>
      </c>
      <c r="B2541" s="8" t="str">
        <f>IFERROR(__xludf.DUMMYFUNCTION("REGEXREPLACE(A2541, ""[^0-9a-zA-Z .'Ã]"","""")"),"Andrew Stanton")</f>
        <v>Andrew Stanton</v>
      </c>
      <c r="C2541" s="9">
        <v>421.0</v>
      </c>
      <c r="D2541" s="10">
        <v>2.23806889E8</v>
      </c>
      <c r="E2541" s="9" t="s">
        <v>8249</v>
      </c>
      <c r="F2541" s="9">
        <f t="shared" si="1"/>
        <v>4</v>
      </c>
      <c r="G2541" s="9" t="s">
        <v>2431</v>
      </c>
      <c r="H2541" s="11" t="str">
        <f>IFERROR(__xludf.DUMMYFUNCTION("REGEXREPLACE(G2541, ""[^0-9a-zA-Z .'Ã]"","""")"),"John Ratzenberger")</f>
        <v>John Ratzenberger</v>
      </c>
      <c r="I2541" s="11" t="s">
        <v>8250</v>
      </c>
      <c r="J2541" s="9">
        <v>718837.0</v>
      </c>
      <c r="K2541" s="9" t="s">
        <v>8251</v>
      </c>
      <c r="L2541" s="9">
        <v>1043.0</v>
      </c>
      <c r="M2541" s="9" t="s">
        <v>24</v>
      </c>
      <c r="N2541" s="9" t="s">
        <v>25</v>
      </c>
      <c r="O2541" s="10">
        <v>1.8E8</v>
      </c>
      <c r="P2541" s="10">
        <f t="shared" si="2"/>
        <v>43806889</v>
      </c>
      <c r="Q2541" s="12">
        <f t="shared" si="3"/>
        <v>0</v>
      </c>
      <c r="R2541" s="9">
        <v>2008.0</v>
      </c>
      <c r="S2541" s="9">
        <v>8.4</v>
      </c>
    </row>
    <row r="2542" ht="15.75" customHeight="1">
      <c r="A2542" s="7" t="s">
        <v>8252</v>
      </c>
      <c r="B2542" s="8" t="str">
        <f>IFERROR(__xludf.DUMMYFUNCTION("REGEXREPLACE(A2542, ""[^0-9a-zA-Z .'Ã]"","""")"),"Carmen Marron")</f>
        <v>Carmen Marron</v>
      </c>
      <c r="C2542" s="9">
        <v>8.0</v>
      </c>
      <c r="D2542" s="10">
        <v>178739.0</v>
      </c>
      <c r="E2542" s="9" t="s">
        <v>2764</v>
      </c>
      <c r="F2542" s="9">
        <f t="shared" si="1"/>
        <v>2</v>
      </c>
      <c r="G2542" s="9" t="s">
        <v>8253</v>
      </c>
      <c r="H2542" s="11" t="str">
        <f>IFERROR(__xludf.DUMMYFUNCTION("REGEXREPLACE(G2542, ""[^0-9a-zA-Z .'Ã]"","""")"),"Jossara Jinaro")</f>
        <v>Jossara Jinaro</v>
      </c>
      <c r="I2542" s="11" t="s">
        <v>8254</v>
      </c>
      <c r="J2542" s="9">
        <v>1015.0</v>
      </c>
      <c r="K2542" s="9" t="s">
        <v>8255</v>
      </c>
      <c r="L2542" s="9">
        <v>10.0</v>
      </c>
      <c r="M2542" s="9" t="s">
        <v>24</v>
      </c>
      <c r="N2542" s="9" t="s">
        <v>25</v>
      </c>
      <c r="O2542" s="10">
        <v>2450000.0</v>
      </c>
      <c r="P2542" s="10">
        <f t="shared" si="2"/>
        <v>0</v>
      </c>
      <c r="Q2542" s="12">
        <f t="shared" si="3"/>
        <v>2271261</v>
      </c>
      <c r="R2542" s="9">
        <v>2011.0</v>
      </c>
      <c r="S2542" s="9">
        <v>3.9</v>
      </c>
    </row>
    <row r="2543" ht="15.75" customHeight="1">
      <c r="A2543" s="7" t="s">
        <v>3132</v>
      </c>
      <c r="B2543" s="8" t="str">
        <f>IFERROR(__xludf.DUMMYFUNCTION("REGEXREPLACE(A2543, ""[^0-9a-zA-Z .'Ã]"","""")"),"Rob Zombie")</f>
        <v>Rob Zombie</v>
      </c>
      <c r="C2543" s="9">
        <v>202.0</v>
      </c>
      <c r="D2543" s="10">
        <v>1.258351E7</v>
      </c>
      <c r="E2543" s="9" t="s">
        <v>148</v>
      </c>
      <c r="F2543" s="9">
        <f t="shared" si="1"/>
        <v>1</v>
      </c>
      <c r="G2543" s="9" t="s">
        <v>3134</v>
      </c>
      <c r="H2543" s="11" t="str">
        <f>IFERROR(__xludf.DUMMYFUNCTION("REGEXREPLACE(G2543, ""[^0-9a-zA-Z .'Ã]"","""")"),"Sid Haig")</f>
        <v>Sid Haig</v>
      </c>
      <c r="I2543" s="11" t="s">
        <v>8256</v>
      </c>
      <c r="J2543" s="9">
        <v>60709.0</v>
      </c>
      <c r="K2543" s="9" t="s">
        <v>8257</v>
      </c>
      <c r="L2543" s="9">
        <v>922.0</v>
      </c>
      <c r="M2543" s="9" t="s">
        <v>24</v>
      </c>
      <c r="N2543" s="9" t="s">
        <v>25</v>
      </c>
      <c r="O2543" s="10">
        <v>7000000.0</v>
      </c>
      <c r="P2543" s="10">
        <f t="shared" si="2"/>
        <v>5583510</v>
      </c>
      <c r="Q2543" s="12">
        <f t="shared" si="3"/>
        <v>0</v>
      </c>
      <c r="R2543" s="9">
        <v>2003.0</v>
      </c>
      <c r="S2543" s="9">
        <v>6.0</v>
      </c>
    </row>
    <row r="2544" ht="15.75" customHeight="1">
      <c r="A2544" s="25" t="s">
        <v>4326</v>
      </c>
      <c r="B2544" s="8" t="str">
        <f>IFERROR(__xludf.DUMMYFUNCTION("REGEXREPLACE(A2544, ""[^0-9a-zA-Z .'Ã]"","""")"),"John Lee Hancock")</f>
        <v>John Lee Hancock</v>
      </c>
      <c r="C2544" s="26">
        <v>106.0</v>
      </c>
      <c r="D2544" s="27">
        <v>2.2406362E7</v>
      </c>
      <c r="E2544" s="26" t="s">
        <v>8258</v>
      </c>
      <c r="F2544" s="9">
        <f t="shared" si="1"/>
        <v>4</v>
      </c>
      <c r="G2544" s="26" t="s">
        <v>45</v>
      </c>
      <c r="H2544" s="11" t="str">
        <f>IFERROR(__xludf.DUMMYFUNCTION("REGEXREPLACE(G2544, ""[^0-9a-zA-Z .'Ã]"","""")"),"Dennis Quaid")</f>
        <v>Dennis Quaid</v>
      </c>
      <c r="I2544" s="28" t="s">
        <v>8259</v>
      </c>
      <c r="J2544" s="26">
        <v>16832.0</v>
      </c>
      <c r="K2544" s="26" t="s">
        <v>8260</v>
      </c>
      <c r="L2544" s="26">
        <v>267.0</v>
      </c>
      <c r="M2544" s="26" t="s">
        <v>24</v>
      </c>
      <c r="N2544" s="26" t="s">
        <v>25</v>
      </c>
      <c r="O2544" s="27">
        <v>1.07E8</v>
      </c>
      <c r="P2544" s="10">
        <f t="shared" si="2"/>
        <v>0</v>
      </c>
      <c r="Q2544" s="12">
        <f t="shared" si="3"/>
        <v>84593638</v>
      </c>
      <c r="R2544" s="26">
        <v>2004.0</v>
      </c>
      <c r="S2544" s="26">
        <v>6.0</v>
      </c>
    </row>
    <row r="2545" ht="15.75" customHeight="1">
      <c r="A2545" s="25" t="s">
        <v>8261</v>
      </c>
      <c r="B2545" s="8" t="str">
        <f>IFERROR(__xludf.DUMMYFUNCTION("REGEXREPLACE(A2545, ""[^0-9a-zA-Z .'Ã]"","""")"),"Gary Chapman")</f>
        <v>Gary Chapman</v>
      </c>
      <c r="C2545" s="26">
        <v>93.0</v>
      </c>
      <c r="D2545" s="27">
        <v>1.9447478E7</v>
      </c>
      <c r="E2545" s="26" t="s">
        <v>8262</v>
      </c>
      <c r="F2545" s="9">
        <f t="shared" si="1"/>
        <v>5</v>
      </c>
      <c r="G2545" s="26" t="s">
        <v>1846</v>
      </c>
      <c r="H2545" s="11" t="str">
        <f>IFERROR(__xludf.DUMMYFUNCTION("REGEXREPLACE(G2545, ""[^0-9a-zA-Z .'Ã]"","""")"),"Jim Broadbent")</f>
        <v>Jim Broadbent</v>
      </c>
      <c r="I2545" s="28" t="s">
        <v>8263</v>
      </c>
      <c r="J2545" s="26">
        <v>15788.0</v>
      </c>
      <c r="K2545" s="26" t="s">
        <v>8264</v>
      </c>
      <c r="L2545" s="26">
        <v>80.0</v>
      </c>
      <c r="M2545" s="26" t="s">
        <v>24</v>
      </c>
      <c r="N2545" s="26" t="s">
        <v>130</v>
      </c>
      <c r="O2545" s="27">
        <v>3.5E7</v>
      </c>
      <c r="P2545" s="10">
        <f t="shared" si="2"/>
        <v>0</v>
      </c>
      <c r="Q2545" s="12">
        <f t="shared" si="3"/>
        <v>15552522</v>
      </c>
      <c r="R2545" s="26">
        <v>2005.0</v>
      </c>
      <c r="S2545" s="26">
        <v>5.6</v>
      </c>
    </row>
    <row r="2546" ht="15.75" customHeight="1">
      <c r="A2546" s="21" t="s">
        <v>1691</v>
      </c>
      <c r="B2546" s="8" t="str">
        <f>IFERROR(__xludf.DUMMYFUNCTION("REGEXREPLACE(A2546, ""[^0-9a-zA-Z -.'Ã]"","""")"),"Alejandro G. IÃÃrritu")</f>
        <v>Alejandro G. IÃÃrritu</v>
      </c>
      <c r="C2546" s="22">
        <v>285.0</v>
      </c>
      <c r="D2546" s="23">
        <v>3.4300771E7</v>
      </c>
      <c r="E2546" s="22" t="s">
        <v>103</v>
      </c>
      <c r="F2546" s="9">
        <f t="shared" si="1"/>
        <v>1</v>
      </c>
      <c r="G2546" s="22" t="s">
        <v>1426</v>
      </c>
      <c r="H2546" s="11" t="str">
        <f>IFERROR(__xludf.DUMMYFUNCTION("REGEXREPLACE(G2546, ""[^0-9a-zA-Z .'Ã]"","""")"),"Brad Pitt")</f>
        <v>Brad Pitt</v>
      </c>
      <c r="I2546" s="24" t="s">
        <v>8265</v>
      </c>
      <c r="J2546" s="22">
        <v>243799.0</v>
      </c>
      <c r="K2546" s="22" t="s">
        <v>8266</v>
      </c>
      <c r="L2546" s="22">
        <v>908.0</v>
      </c>
      <c r="M2546" s="22" t="s">
        <v>24</v>
      </c>
      <c r="N2546" s="22" t="s">
        <v>608</v>
      </c>
      <c r="O2546" s="23">
        <v>2.5E7</v>
      </c>
      <c r="P2546" s="10">
        <f t="shared" si="2"/>
        <v>9300771</v>
      </c>
      <c r="Q2546" s="12">
        <f t="shared" si="3"/>
        <v>0</v>
      </c>
      <c r="R2546" s="22">
        <v>2006.0</v>
      </c>
      <c r="S2546" s="22">
        <v>7.5</v>
      </c>
    </row>
    <row r="2547" ht="15.75" customHeight="1">
      <c r="A2547" s="7" t="s">
        <v>8267</v>
      </c>
      <c r="B2547" s="8" t="str">
        <f>IFERROR(__xludf.DUMMYFUNCTION("REGEXREPLACE(A2547, ""[^0-9a-zA-Z .'Ã]"","""")"),"Stefen Fangmeier")</f>
        <v>Stefen Fangmeier</v>
      </c>
      <c r="C2547" s="9">
        <v>170.0</v>
      </c>
      <c r="D2547" s="10">
        <v>7.5030163E7</v>
      </c>
      <c r="E2547" s="9" t="s">
        <v>348</v>
      </c>
      <c r="F2547" s="9">
        <f t="shared" si="1"/>
        <v>4</v>
      </c>
      <c r="G2547" s="9" t="s">
        <v>2785</v>
      </c>
      <c r="H2547" s="11" t="str">
        <f>IFERROR(__xludf.DUMMYFUNCTION("REGEXREPLACE(G2547, ""[^0-9a-zA-Z .'Ã]"","""")"),"Djimon Hounsou")</f>
        <v>Djimon Hounsou</v>
      </c>
      <c r="I2547" s="11" t="s">
        <v>8268</v>
      </c>
      <c r="J2547" s="9">
        <v>108076.0</v>
      </c>
      <c r="K2547" s="9" t="s">
        <v>8269</v>
      </c>
      <c r="L2547" s="9">
        <v>1690.0</v>
      </c>
      <c r="M2547" s="9" t="s">
        <v>24</v>
      </c>
      <c r="N2547" s="9" t="s">
        <v>25</v>
      </c>
      <c r="O2547" s="10">
        <v>1.0E8</v>
      </c>
      <c r="P2547" s="10">
        <f t="shared" si="2"/>
        <v>0</v>
      </c>
      <c r="Q2547" s="12">
        <f t="shared" si="3"/>
        <v>24969837</v>
      </c>
      <c r="R2547" s="9">
        <v>2006.0</v>
      </c>
      <c r="S2547" s="9">
        <v>5.1</v>
      </c>
    </row>
    <row r="2548" ht="15.75" customHeight="1">
      <c r="A2548" s="7" t="s">
        <v>8270</v>
      </c>
      <c r="B2548" s="8" t="str">
        <f>IFERROR(__xludf.DUMMYFUNCTION("REGEXREPLACE(A2548, ""[^0-9a-zA-Z .'Ã]"","""")"),"Emilio Estevez")</f>
        <v>Emilio Estevez</v>
      </c>
      <c r="C2548" s="9">
        <v>195.0</v>
      </c>
      <c r="D2548" s="10">
        <v>1.1204499E7</v>
      </c>
      <c r="E2548" s="9" t="s">
        <v>213</v>
      </c>
      <c r="F2548" s="9">
        <f t="shared" si="1"/>
        <v>2</v>
      </c>
      <c r="G2548" s="9" t="s">
        <v>237</v>
      </c>
      <c r="H2548" s="11" t="str">
        <f>IFERROR(__xludf.DUMMYFUNCTION("REGEXREPLACE(G2548, ""[^0-9a-zA-Z .'Ã]"","""")"),"Anthony Hopkins")</f>
        <v>Anthony Hopkins</v>
      </c>
      <c r="I2548" s="11" t="s">
        <v>8271</v>
      </c>
      <c r="J2548" s="9">
        <v>38142.0</v>
      </c>
      <c r="K2548" s="9" t="s">
        <v>8272</v>
      </c>
      <c r="L2548" s="9">
        <v>270.0</v>
      </c>
      <c r="M2548" s="9" t="s">
        <v>24</v>
      </c>
      <c r="N2548" s="9" t="s">
        <v>25</v>
      </c>
      <c r="O2548" s="10">
        <v>1.4E7</v>
      </c>
      <c r="P2548" s="10">
        <f t="shared" si="2"/>
        <v>0</v>
      </c>
      <c r="Q2548" s="12">
        <f t="shared" si="3"/>
        <v>2795501</v>
      </c>
      <c r="R2548" s="9">
        <v>2006.0</v>
      </c>
      <c r="S2548" s="9">
        <v>7.0</v>
      </c>
    </row>
    <row r="2549" ht="15.75" customHeight="1">
      <c r="A2549" s="7" t="s">
        <v>8273</v>
      </c>
      <c r="B2549" s="8" t="str">
        <f>IFERROR(__xludf.DUMMYFUNCTION("REGEXREPLACE(A2549, ""[^0-9a-zA-Z .'Ã]"","""")"),"Joshua Tickell")</f>
        <v>Joshua Tickell</v>
      </c>
      <c r="C2549" s="9">
        <v>14.0</v>
      </c>
      <c r="D2549" s="10">
        <v>173783.0</v>
      </c>
      <c r="E2549" s="9" t="s">
        <v>251</v>
      </c>
      <c r="F2549" s="9">
        <f t="shared" si="1"/>
        <v>1</v>
      </c>
      <c r="G2549" s="9" t="s">
        <v>7586</v>
      </c>
      <c r="H2549" s="11" t="str">
        <f>IFERROR(__xludf.DUMMYFUNCTION("REGEXREPLACE(G2549, ""[^0-9a-zA-Z .'Ã]"","""")"),"Larry David")</f>
        <v>Larry David</v>
      </c>
      <c r="I2549" s="11" t="s">
        <v>8274</v>
      </c>
      <c r="J2549" s="9">
        <v>578.0</v>
      </c>
      <c r="K2549" s="9" t="s">
        <v>8275</v>
      </c>
      <c r="L2549" s="9">
        <v>34.0</v>
      </c>
      <c r="M2549" s="9" t="s">
        <v>24</v>
      </c>
      <c r="N2549" s="9" t="s">
        <v>25</v>
      </c>
      <c r="O2549" s="10">
        <v>2500000.0</v>
      </c>
      <c r="P2549" s="10">
        <f t="shared" si="2"/>
        <v>0</v>
      </c>
      <c r="Q2549" s="12">
        <f t="shared" si="3"/>
        <v>2326217</v>
      </c>
      <c r="R2549" s="9">
        <v>2008.0</v>
      </c>
      <c r="S2549" s="9">
        <v>7.6</v>
      </c>
    </row>
    <row r="2550" ht="15.75" customHeight="1">
      <c r="A2550" s="7" t="s">
        <v>2160</v>
      </c>
      <c r="B2550" s="8" t="str">
        <f>IFERROR(__xludf.DUMMYFUNCTION("REGEXREPLACE(A2550, ""[^0-9a-zA-Z .'Ã]"","""")"),"David Bowers")</f>
        <v>David Bowers</v>
      </c>
      <c r="C2550" s="9">
        <v>88.0</v>
      </c>
      <c r="D2550" s="10">
        <v>4.9002815E7</v>
      </c>
      <c r="E2550" s="9" t="s">
        <v>857</v>
      </c>
      <c r="F2550" s="9">
        <f t="shared" si="1"/>
        <v>2</v>
      </c>
      <c r="G2550" s="9" t="s">
        <v>4753</v>
      </c>
      <c r="H2550" s="11" t="str">
        <f>IFERROR(__xludf.DUMMYFUNCTION("REGEXREPLACE(G2550, ""[^0-9a-zA-Z .'Ã]"","""")"),"Zachary Gordon")</f>
        <v>Zachary Gordon</v>
      </c>
      <c r="I2550" s="11" t="s">
        <v>8276</v>
      </c>
      <c r="J2550" s="9">
        <v>15665.0</v>
      </c>
      <c r="K2550" s="9" t="s">
        <v>8277</v>
      </c>
      <c r="L2550" s="9">
        <v>35.0</v>
      </c>
      <c r="M2550" s="9" t="s">
        <v>24</v>
      </c>
      <c r="N2550" s="9" t="s">
        <v>25</v>
      </c>
      <c r="O2550" s="10">
        <v>2.2E7</v>
      </c>
      <c r="P2550" s="10">
        <f t="shared" si="2"/>
        <v>27002815</v>
      </c>
      <c r="Q2550" s="12">
        <f t="shared" si="3"/>
        <v>0</v>
      </c>
      <c r="R2550" s="9">
        <v>2012.0</v>
      </c>
      <c r="S2550" s="9">
        <v>6.4</v>
      </c>
    </row>
    <row r="2551" ht="15.75" customHeight="1">
      <c r="A2551" s="21" t="s">
        <v>8278</v>
      </c>
      <c r="B2551" s="8" t="str">
        <f>IFERROR(__xludf.DUMMYFUNCTION("REGEXREPLACE(A2551, ""[^0-9a-zA-Z .'Ã]"","""")"),"Stefan Schwartz")</f>
        <v>Stefan Schwartz</v>
      </c>
      <c r="C2551" s="22">
        <v>43.0</v>
      </c>
      <c r="D2551" s="23">
        <v>302204.0</v>
      </c>
      <c r="E2551" s="22" t="s">
        <v>241</v>
      </c>
      <c r="F2551" s="9">
        <f t="shared" si="1"/>
        <v>3</v>
      </c>
      <c r="G2551" s="22" t="s">
        <v>8279</v>
      </c>
      <c r="H2551" s="11" t="str">
        <f>IFERROR(__xludf.DUMMYFUNCTION("REGEXREPLACE(G2551, ""[^0-9a-zA-Z .'Ã]"","""")"),"Peter McNamara")</f>
        <v>Peter McNamara</v>
      </c>
      <c r="I2551" s="24" t="s">
        <v>8280</v>
      </c>
      <c r="J2551" s="22">
        <v>6705.0</v>
      </c>
      <c r="K2551" s="22" t="s">
        <v>8281</v>
      </c>
      <c r="L2551" s="22">
        <v>53.0</v>
      </c>
      <c r="M2551" s="22" t="s">
        <v>24</v>
      </c>
      <c r="N2551" s="22" t="s">
        <v>130</v>
      </c>
      <c r="O2551" s="23">
        <v>3000000.0</v>
      </c>
      <c r="P2551" s="10">
        <f t="shared" si="2"/>
        <v>0</v>
      </c>
      <c r="Q2551" s="12">
        <f t="shared" si="3"/>
        <v>2697796</v>
      </c>
      <c r="R2551" s="22">
        <v>1997.0</v>
      </c>
      <c r="S2551" s="22">
        <v>6.6</v>
      </c>
    </row>
    <row r="2552" ht="15.75" customHeight="1">
      <c r="A2552" s="29" t="s">
        <v>8282</v>
      </c>
      <c r="B2552" s="8" t="str">
        <f>IFERROR(__xludf.DUMMYFUNCTION("REGEXREPLACE(A2552, ""[^0-9a-zA-Z .'Ã]"","""")"),"Quentin Dupieux")</f>
        <v>Quentin Dupieux</v>
      </c>
      <c r="C2552" s="30">
        <v>230.0</v>
      </c>
      <c r="D2552" s="31">
        <v>98017.0</v>
      </c>
      <c r="E2552" s="30" t="s">
        <v>1099</v>
      </c>
      <c r="F2552" s="9">
        <f t="shared" si="1"/>
        <v>3</v>
      </c>
      <c r="G2552" s="30" t="s">
        <v>8283</v>
      </c>
      <c r="H2552" s="11" t="str">
        <f>IFERROR(__xludf.DUMMYFUNCTION("REGEXREPLACE(G2552, ""[^0-9a-zA-Z .'Ã]"","""")"),"Haley Ramm")</f>
        <v>Haley Ramm</v>
      </c>
      <c r="I2552" s="32" t="s">
        <v>8284</v>
      </c>
      <c r="J2552" s="30">
        <v>26185.0</v>
      </c>
      <c r="K2552" s="30" t="s">
        <v>8285</v>
      </c>
      <c r="L2552" s="30">
        <v>170.0</v>
      </c>
      <c r="M2552" s="30" t="s">
        <v>24</v>
      </c>
      <c r="N2552" s="30" t="s">
        <v>608</v>
      </c>
      <c r="O2552" s="31">
        <v>500000.0</v>
      </c>
      <c r="P2552" s="10">
        <f t="shared" si="2"/>
        <v>0</v>
      </c>
      <c r="Q2552" s="12">
        <f t="shared" si="3"/>
        <v>401983</v>
      </c>
      <c r="R2552" s="30">
        <v>2010.0</v>
      </c>
      <c r="S2552" s="30">
        <v>5.8</v>
      </c>
    </row>
    <row r="2553" ht="15.75" customHeight="1">
      <c r="A2553" s="21" t="s">
        <v>4081</v>
      </c>
      <c r="B2553" s="8" t="str">
        <f>IFERROR(__xludf.DUMMYFUNCTION("REGEXREPLACE(A2553, ""[^0-9a-zA-Z .'Ã]"","""")"),"Steve Rash")</f>
        <v>Steve Rash</v>
      </c>
      <c r="C2553" s="22">
        <v>13.0</v>
      </c>
      <c r="D2553" s="23">
        <v>8500000.0</v>
      </c>
      <c r="E2553" s="22" t="s">
        <v>137</v>
      </c>
      <c r="F2553" s="9">
        <f t="shared" si="1"/>
        <v>1</v>
      </c>
      <c r="G2553" s="22" t="s">
        <v>8286</v>
      </c>
      <c r="H2553" s="11" t="str">
        <f>IFERROR(__xludf.DUMMYFUNCTION("REGEXREPLACE(G2553, ""[^0-9a-zA-Z .'Ã]"","""")"),"Mako")</f>
        <v>Mako</v>
      </c>
      <c r="I2553" s="24" t="s">
        <v>8287</v>
      </c>
      <c r="J2553" s="22">
        <v>2061.0</v>
      </c>
      <c r="K2553" s="22" t="s">
        <v>8288</v>
      </c>
      <c r="L2553" s="22">
        <v>34.0</v>
      </c>
      <c r="M2553" s="22" t="s">
        <v>24</v>
      </c>
      <c r="N2553" s="22" t="s">
        <v>25</v>
      </c>
      <c r="O2553" s="23">
        <v>2.0E7</v>
      </c>
      <c r="P2553" s="10">
        <f t="shared" si="2"/>
        <v>0</v>
      </c>
      <c r="Q2553" s="12">
        <f t="shared" si="3"/>
        <v>11500000</v>
      </c>
      <c r="R2553" s="22">
        <v>1981.0</v>
      </c>
      <c r="S2553" s="22">
        <v>5.4</v>
      </c>
    </row>
    <row r="2554" ht="15.75" customHeight="1">
      <c r="A2554" s="13" t="s">
        <v>293</v>
      </c>
      <c r="B2554" s="8" t="str">
        <f>IFERROR(__xludf.DUMMYFUNCTION("REGEXREPLACE(A2554, ""[^0-9a-zA-Z .'Ã]"","""")"),"Michael Moore")</f>
        <v>Michael Moore</v>
      </c>
      <c r="C2554" s="14">
        <v>215.0</v>
      </c>
      <c r="D2554" s="15">
        <v>2.1244913E7</v>
      </c>
      <c r="E2554" s="14" t="s">
        <v>8289</v>
      </c>
      <c r="F2554" s="9">
        <f t="shared" si="1"/>
        <v>3</v>
      </c>
      <c r="G2554" s="14" t="s">
        <v>293</v>
      </c>
      <c r="H2554" s="11" t="str">
        <f>IFERROR(__xludf.DUMMYFUNCTION("REGEXREPLACE(G2554, ""[^0-9a-zA-Z .'Ã]"","""")"),"Michael Moore")</f>
        <v>Michael Moore</v>
      </c>
      <c r="I2554" s="16" t="s">
        <v>8290</v>
      </c>
      <c r="J2554" s="14">
        <v>123090.0</v>
      </c>
      <c r="K2554" s="14" t="s">
        <v>8291</v>
      </c>
      <c r="L2554" s="14">
        <v>888.0</v>
      </c>
      <c r="M2554" s="14" t="s">
        <v>24</v>
      </c>
      <c r="N2554" s="14" t="s">
        <v>173</v>
      </c>
      <c r="O2554" s="15">
        <v>4000000.0</v>
      </c>
      <c r="P2554" s="10">
        <f t="shared" si="2"/>
        <v>17244913</v>
      </c>
      <c r="Q2554" s="12">
        <f t="shared" si="3"/>
        <v>0</v>
      </c>
      <c r="R2554" s="14">
        <v>2002.0</v>
      </c>
      <c r="S2554" s="14">
        <v>8.0</v>
      </c>
    </row>
    <row r="2555" ht="15.75" customHeight="1">
      <c r="A2555" s="21" t="s">
        <v>4393</v>
      </c>
      <c r="B2555" s="8" t="str">
        <f>IFERROR(__xludf.DUMMYFUNCTION("REGEXREPLACE(A2555, ""[^0-9a-zA-Z .'Ã]"","""")"),"Pierre Morel")</f>
        <v>Pierre Morel</v>
      </c>
      <c r="C2555" s="22">
        <v>309.0</v>
      </c>
      <c r="D2555" s="23">
        <v>1.45000989E8</v>
      </c>
      <c r="E2555" s="22" t="s">
        <v>1096</v>
      </c>
      <c r="F2555" s="9">
        <f t="shared" si="1"/>
        <v>2</v>
      </c>
      <c r="G2555" s="22" t="s">
        <v>605</v>
      </c>
      <c r="H2555" s="11" t="str">
        <f>IFERROR(__xludf.DUMMYFUNCTION("REGEXREPLACE(G2555, ""[^0-9a-zA-Z .'Ã]"","""")"),"Liam Neeson")</f>
        <v>Liam Neeson</v>
      </c>
      <c r="I2555" s="24" t="s">
        <v>8292</v>
      </c>
      <c r="J2555" s="22">
        <v>483756.0</v>
      </c>
      <c r="K2555" s="22" t="s">
        <v>8293</v>
      </c>
      <c r="L2555" s="22">
        <v>974.0</v>
      </c>
      <c r="M2555" s="22" t="s">
        <v>24</v>
      </c>
      <c r="N2555" s="22" t="s">
        <v>608</v>
      </c>
      <c r="O2555" s="23">
        <v>2.5E7</v>
      </c>
      <c r="P2555" s="10">
        <f t="shared" si="2"/>
        <v>120000989</v>
      </c>
      <c r="Q2555" s="12">
        <f t="shared" si="3"/>
        <v>0</v>
      </c>
      <c r="R2555" s="22">
        <v>2008.0</v>
      </c>
      <c r="S2555" s="22">
        <v>7.9</v>
      </c>
    </row>
    <row r="2556" ht="15.75" customHeight="1">
      <c r="A2556" s="7" t="s">
        <v>8294</v>
      </c>
      <c r="B2556" s="8" t="str">
        <f>IFERROR(__xludf.DUMMYFUNCTION("REGEXREPLACE(A2556, ""[^0-9a-zA-Z .'Ã]"","""")"),"Fred Walton")</f>
        <v>Fred Walton</v>
      </c>
      <c r="C2556" s="9">
        <v>96.0</v>
      </c>
      <c r="D2556" s="10">
        <v>1.2947763E7</v>
      </c>
      <c r="E2556" s="9" t="s">
        <v>565</v>
      </c>
      <c r="F2556" s="9">
        <f t="shared" si="1"/>
        <v>2</v>
      </c>
      <c r="G2556" s="9" t="s">
        <v>2586</v>
      </c>
      <c r="H2556" s="11" t="str">
        <f>IFERROR(__xludf.DUMMYFUNCTION("REGEXREPLACE(G2556, ""[^0-9a-zA-Z .'Ã]"","""")"),"Thomas F. Wilson")</f>
        <v>Thomas F. Wilson</v>
      </c>
      <c r="I2556" s="11" t="s">
        <v>8295</v>
      </c>
      <c r="J2556" s="9">
        <v>10624.0</v>
      </c>
      <c r="K2556" s="9" t="s">
        <v>8296</v>
      </c>
      <c r="L2556" s="9">
        <v>125.0</v>
      </c>
      <c r="M2556" s="9" t="s">
        <v>24</v>
      </c>
      <c r="N2556" s="9" t="s">
        <v>25</v>
      </c>
      <c r="O2556" s="10">
        <v>5000000.0</v>
      </c>
      <c r="P2556" s="10">
        <f t="shared" si="2"/>
        <v>7947763</v>
      </c>
      <c r="Q2556" s="12">
        <f t="shared" si="3"/>
        <v>0</v>
      </c>
      <c r="R2556" s="9">
        <v>1986.0</v>
      </c>
      <c r="S2556" s="9">
        <v>6.2</v>
      </c>
    </row>
    <row r="2557" ht="15.75" customHeight="1">
      <c r="A2557" s="17" t="s">
        <v>5039</v>
      </c>
      <c r="B2557" s="8" t="str">
        <f>IFERROR(__xludf.DUMMYFUNCTION("REGEXREPLACE(A2557, ""[^0-9a-zA-Z .'Ã]"","""")"),"Roger Allers")</f>
        <v>Roger Allers</v>
      </c>
      <c r="C2557" s="18">
        <v>107.0</v>
      </c>
      <c r="D2557" s="19">
        <v>8.4303558E7</v>
      </c>
      <c r="E2557" s="18" t="s">
        <v>1813</v>
      </c>
      <c r="F2557" s="9">
        <f t="shared" si="1"/>
        <v>4</v>
      </c>
      <c r="G2557" s="18" t="s">
        <v>505</v>
      </c>
      <c r="H2557" s="11" t="str">
        <f>IFERROR(__xludf.DUMMYFUNCTION("REGEXREPLACE(G2557, ""[^0-9a-zA-Z .'Ã]"","""")"),"Jon Favreau")</f>
        <v>Jon Favreau</v>
      </c>
      <c r="I2557" s="20" t="s">
        <v>8297</v>
      </c>
      <c r="J2557" s="18">
        <v>65270.0</v>
      </c>
      <c r="K2557" s="18" t="s">
        <v>8298</v>
      </c>
      <c r="L2557" s="18">
        <v>100.0</v>
      </c>
      <c r="M2557" s="18" t="s">
        <v>24</v>
      </c>
      <c r="N2557" s="18" t="s">
        <v>25</v>
      </c>
      <c r="O2557" s="19">
        <v>8.5E7</v>
      </c>
      <c r="P2557" s="10">
        <f t="shared" si="2"/>
        <v>0</v>
      </c>
      <c r="Q2557" s="12">
        <f t="shared" si="3"/>
        <v>696442</v>
      </c>
      <c r="R2557" s="18">
        <v>2006.0</v>
      </c>
      <c r="S2557" s="18">
        <v>6.2</v>
      </c>
    </row>
    <row r="2558" ht="15.75" customHeight="1">
      <c r="A2558" s="17" t="s">
        <v>3218</v>
      </c>
      <c r="B2558" s="8" t="str">
        <f>IFERROR(__xludf.DUMMYFUNCTION("REGEXREPLACE(A2558, ""[^0-9a-zA-Z .'Ã]"","""")"),"John Frankenheimer")</f>
        <v>John Frankenheimer</v>
      </c>
      <c r="C2558" s="18">
        <v>126.0</v>
      </c>
      <c r="D2558" s="19">
        <v>2.3360779E7</v>
      </c>
      <c r="E2558" s="18" t="s">
        <v>8299</v>
      </c>
      <c r="F2558" s="9">
        <f t="shared" si="1"/>
        <v>8</v>
      </c>
      <c r="G2558" s="18" t="s">
        <v>3186</v>
      </c>
      <c r="H2558" s="11" t="str">
        <f>IFERROR(__xludf.DUMMYFUNCTION("REGEXREPLACE(G2558, ""[^0-9a-zA-Z .'Ã]"","""")"),"Charlize Theron")</f>
        <v>Charlize Theron</v>
      </c>
      <c r="I2558" s="20" t="s">
        <v>8300</v>
      </c>
      <c r="J2558" s="18">
        <v>31113.0</v>
      </c>
      <c r="K2558" s="18" t="s">
        <v>8301</v>
      </c>
      <c r="L2558" s="18">
        <v>212.0</v>
      </c>
      <c r="M2558" s="18" t="s">
        <v>24</v>
      </c>
      <c r="N2558" s="18" t="s">
        <v>25</v>
      </c>
      <c r="O2558" s="19">
        <v>3.4E7</v>
      </c>
      <c r="P2558" s="10">
        <f t="shared" si="2"/>
        <v>0</v>
      </c>
      <c r="Q2558" s="12">
        <f t="shared" si="3"/>
        <v>10639221</v>
      </c>
      <c r="R2558" s="18">
        <v>2000.0</v>
      </c>
      <c r="S2558" s="18">
        <v>5.7</v>
      </c>
    </row>
    <row r="2559" ht="15.75" customHeight="1">
      <c r="A2559" s="7" t="s">
        <v>4516</v>
      </c>
      <c r="B2559" s="8" t="str">
        <f>IFERROR(__xludf.DUMMYFUNCTION("REGEXREPLACE(A2559, ""[^0-9a-zA-Z .'Ã]"","""")"),"George Miller")</f>
        <v>George Miller</v>
      </c>
      <c r="C2559" s="9">
        <v>206.0</v>
      </c>
      <c r="D2559" s="10">
        <v>1.97992827E8</v>
      </c>
      <c r="E2559" s="9" t="s">
        <v>8302</v>
      </c>
      <c r="F2559" s="9">
        <f t="shared" si="1"/>
        <v>5</v>
      </c>
      <c r="G2559" s="9" t="s">
        <v>673</v>
      </c>
      <c r="H2559" s="11" t="str">
        <f>IFERROR(__xludf.DUMMYFUNCTION("REGEXREPLACE(G2559, ""[^0-9a-zA-Z .'Ã]"","""")"),"Robin Williams")</f>
        <v>Robin Williams</v>
      </c>
      <c r="I2559" s="11" t="s">
        <v>8303</v>
      </c>
      <c r="J2559" s="9">
        <v>132501.0</v>
      </c>
      <c r="K2559" s="9" t="s">
        <v>8304</v>
      </c>
      <c r="L2559" s="9">
        <v>548.0</v>
      </c>
      <c r="M2559" s="9" t="s">
        <v>24</v>
      </c>
      <c r="N2559" s="9" t="s">
        <v>25</v>
      </c>
      <c r="O2559" s="10">
        <v>1.0E8</v>
      </c>
      <c r="P2559" s="10">
        <f t="shared" si="2"/>
        <v>97992827</v>
      </c>
      <c r="Q2559" s="12">
        <f t="shared" si="3"/>
        <v>0</v>
      </c>
      <c r="R2559" s="9">
        <v>2006.0</v>
      </c>
      <c r="S2559" s="9">
        <v>6.5</v>
      </c>
    </row>
    <row r="2560" ht="15.75" customHeight="1">
      <c r="A2560" s="7" t="s">
        <v>8305</v>
      </c>
      <c r="B2560" s="8" t="str">
        <f>IFERROR(__xludf.DUMMYFUNCTION("REGEXREPLACE(A2560, ""[^0-9a-zA-Z .'Ã]"","""")"),"Luc Jacquet")</f>
        <v>Luc Jacquet</v>
      </c>
      <c r="C2560" s="9">
        <v>169.0</v>
      </c>
      <c r="D2560" s="10">
        <v>7.7413017E7</v>
      </c>
      <c r="E2560" s="9" t="s">
        <v>251</v>
      </c>
      <c r="F2560" s="9">
        <f t="shared" si="1"/>
        <v>1</v>
      </c>
      <c r="G2560" s="9" t="s">
        <v>170</v>
      </c>
      <c r="H2560" s="11" t="str">
        <f>IFERROR(__xludf.DUMMYFUNCTION("REGEXREPLACE(G2560, ""[^0-9a-zA-Z .'Ã]"","""")"),"Morgan Freeman")</f>
        <v>Morgan Freeman</v>
      </c>
      <c r="I2560" s="11" t="s">
        <v>8306</v>
      </c>
      <c r="J2560" s="9">
        <v>45984.0</v>
      </c>
      <c r="K2560" s="9" t="s">
        <v>8307</v>
      </c>
      <c r="L2560" s="9">
        <v>331.0</v>
      </c>
      <c r="M2560" s="9" t="s">
        <v>658</v>
      </c>
      <c r="N2560" s="9" t="s">
        <v>608</v>
      </c>
      <c r="O2560" s="10">
        <v>8000000.0</v>
      </c>
      <c r="P2560" s="10">
        <f t="shared" si="2"/>
        <v>69413017</v>
      </c>
      <c r="Q2560" s="12">
        <f t="shared" si="3"/>
        <v>0</v>
      </c>
      <c r="R2560" s="9">
        <v>2005.0</v>
      </c>
      <c r="S2560" s="9">
        <v>7.6</v>
      </c>
    </row>
    <row r="2561" ht="15.75" customHeight="1">
      <c r="A2561" s="21" t="s">
        <v>4226</v>
      </c>
      <c r="B2561" s="8" t="str">
        <f>IFERROR(__xludf.DUMMYFUNCTION("REGEXREPLACE(A2561, ""[^0-9a-zA-Z .'Ã]"","""")"),"Gurinder Chadha")</f>
        <v>Gurinder Chadha</v>
      </c>
      <c r="C2561" s="22">
        <v>161.0</v>
      </c>
      <c r="D2561" s="23">
        <v>3.2541719E7</v>
      </c>
      <c r="E2561" s="22" t="s">
        <v>1038</v>
      </c>
      <c r="F2561" s="9">
        <f t="shared" si="1"/>
        <v>4</v>
      </c>
      <c r="G2561" s="22" t="s">
        <v>1596</v>
      </c>
      <c r="H2561" s="11" t="str">
        <f>IFERROR(__xludf.DUMMYFUNCTION("REGEXREPLACE(G2561, ""[^0-9a-zA-Z .'Ã]"","""")"),"Archie Panjabi")</f>
        <v>Archie Panjabi</v>
      </c>
      <c r="I2561" s="24" t="s">
        <v>8308</v>
      </c>
      <c r="J2561" s="22">
        <v>89806.0</v>
      </c>
      <c r="K2561" s="22" t="s">
        <v>8309</v>
      </c>
      <c r="L2561" s="22">
        <v>438.0</v>
      </c>
      <c r="M2561" s="22" t="s">
        <v>24</v>
      </c>
      <c r="N2561" s="22" t="s">
        <v>130</v>
      </c>
      <c r="O2561" s="23">
        <v>3500159.0</v>
      </c>
      <c r="P2561" s="10">
        <f t="shared" si="2"/>
        <v>29041560</v>
      </c>
      <c r="Q2561" s="12">
        <f t="shared" si="3"/>
        <v>0</v>
      </c>
      <c r="R2561" s="22">
        <v>2002.0</v>
      </c>
      <c r="S2561" s="22">
        <v>6.7</v>
      </c>
    </row>
    <row r="2562" ht="15.75" customHeight="1">
      <c r="A2562" s="21" t="s">
        <v>1558</v>
      </c>
      <c r="B2562" s="8" t="str">
        <f>IFERROR(__xludf.DUMMYFUNCTION("REGEXREPLACE(A2562, ""[^0-9a-zA-Z .'Ã]"","""")"),"McG")</f>
        <v>McG</v>
      </c>
      <c r="C2562" s="22">
        <v>181.0</v>
      </c>
      <c r="D2562" s="23">
        <v>1.25305545E8</v>
      </c>
      <c r="E2562" s="22" t="s">
        <v>8310</v>
      </c>
      <c r="F2562" s="9">
        <f t="shared" si="1"/>
        <v>5</v>
      </c>
      <c r="G2562" s="22" t="s">
        <v>470</v>
      </c>
      <c r="H2562" s="11" t="str">
        <f>IFERROR(__xludf.DUMMYFUNCTION("REGEXREPLACE(G2562, ""[^0-9a-zA-Z .'Ã]"","""")"),"Bill Murray")</f>
        <v>Bill Murray</v>
      </c>
      <c r="I2562" s="24" t="s">
        <v>8311</v>
      </c>
      <c r="J2562" s="22">
        <v>145350.0</v>
      </c>
      <c r="K2562" s="22" t="s">
        <v>8312</v>
      </c>
      <c r="L2562" s="22">
        <v>643.0</v>
      </c>
      <c r="M2562" s="22" t="s">
        <v>24</v>
      </c>
      <c r="N2562" s="22" t="s">
        <v>25</v>
      </c>
      <c r="O2562" s="23">
        <v>9.2E7</v>
      </c>
      <c r="P2562" s="10">
        <f t="shared" si="2"/>
        <v>33305545</v>
      </c>
      <c r="Q2562" s="12">
        <f t="shared" si="3"/>
        <v>0</v>
      </c>
      <c r="R2562" s="22">
        <v>2000.0</v>
      </c>
      <c r="S2562" s="22">
        <v>5.5</v>
      </c>
    </row>
    <row r="2563" ht="15.75" customHeight="1">
      <c r="A2563" s="7" t="s">
        <v>505</v>
      </c>
      <c r="B2563" s="8" t="str">
        <f>IFERROR(__xludf.DUMMYFUNCTION("REGEXREPLACE(A2563, ""[^0-9a-zA-Z .'Ã]"","""")"),"Jon Favreau")</f>
        <v>Jon Favreau</v>
      </c>
      <c r="C2563" s="9">
        <v>152.0</v>
      </c>
      <c r="D2563" s="10">
        <v>1.73381405E8</v>
      </c>
      <c r="E2563" s="9" t="s">
        <v>4725</v>
      </c>
      <c r="F2563" s="9">
        <f t="shared" si="1"/>
        <v>4</v>
      </c>
      <c r="G2563" s="9" t="s">
        <v>349</v>
      </c>
      <c r="H2563" s="11" t="str">
        <f>IFERROR(__xludf.DUMMYFUNCTION("REGEXREPLACE(G2563, ""[^0-9a-zA-Z .'Ã]"","""")"),"Peter Dinklage")</f>
        <v>Peter Dinklage</v>
      </c>
      <c r="I2563" s="11" t="s">
        <v>8313</v>
      </c>
      <c r="J2563" s="9">
        <v>147597.0</v>
      </c>
      <c r="K2563" s="9" t="s">
        <v>8314</v>
      </c>
      <c r="L2563" s="9">
        <v>395.0</v>
      </c>
      <c r="M2563" s="9" t="s">
        <v>24</v>
      </c>
      <c r="N2563" s="9" t="s">
        <v>25</v>
      </c>
      <c r="O2563" s="10">
        <v>3.3E7</v>
      </c>
      <c r="P2563" s="10">
        <f t="shared" si="2"/>
        <v>140381405</v>
      </c>
      <c r="Q2563" s="12">
        <f t="shared" si="3"/>
        <v>0</v>
      </c>
      <c r="R2563" s="9">
        <v>2003.0</v>
      </c>
      <c r="S2563" s="9">
        <v>6.9</v>
      </c>
    </row>
    <row r="2564" ht="15.75" customHeight="1">
      <c r="A2564" s="21" t="s">
        <v>2348</v>
      </c>
      <c r="B2564" s="8" t="str">
        <f>IFERROR(__xludf.DUMMYFUNCTION("REGEXREPLACE(A2564, ""[^0-9a-zA-Z .'Ã]"","""")"),"Carlos Saldanha")</f>
        <v>Carlos Saldanha</v>
      </c>
      <c r="C2564" s="22">
        <v>240.0</v>
      </c>
      <c r="D2564" s="23">
        <v>1.43618384E8</v>
      </c>
      <c r="E2564" s="22" t="s">
        <v>6007</v>
      </c>
      <c r="F2564" s="9">
        <f t="shared" si="1"/>
        <v>5</v>
      </c>
      <c r="G2564" s="22" t="s">
        <v>419</v>
      </c>
      <c r="H2564" s="11" t="str">
        <f>IFERROR(__xludf.DUMMYFUNCTION("REGEXREPLACE(G2564, ""[^0-9a-zA-Z .'Ã]"","""")"),"Anne Hathaway")</f>
        <v>Anne Hathaway</v>
      </c>
      <c r="I2564" s="24" t="s">
        <v>8315</v>
      </c>
      <c r="J2564" s="22">
        <v>165333.0</v>
      </c>
      <c r="K2564" s="22" t="s">
        <v>8316</v>
      </c>
      <c r="L2564" s="22">
        <v>186.0</v>
      </c>
      <c r="M2564" s="22" t="s">
        <v>24</v>
      </c>
      <c r="N2564" s="22" t="s">
        <v>25</v>
      </c>
      <c r="O2564" s="23">
        <v>9.0E7</v>
      </c>
      <c r="P2564" s="10">
        <f t="shared" si="2"/>
        <v>53618384</v>
      </c>
      <c r="Q2564" s="12">
        <f t="shared" si="3"/>
        <v>0</v>
      </c>
      <c r="R2564" s="22">
        <v>2011.0</v>
      </c>
      <c r="S2564" s="22">
        <v>7.0</v>
      </c>
    </row>
    <row r="2565" ht="15.75" customHeight="1">
      <c r="A2565" s="7" t="s">
        <v>5036</v>
      </c>
      <c r="B2565" s="8" t="str">
        <f>IFERROR(__xludf.DUMMYFUNCTION("REGEXREPLACE(A2565, ""[^0-9a-zA-Z .'Ã]"","""")"),"Stephen Kay")</f>
        <v>Stephen Kay</v>
      </c>
      <c r="C2565" s="9">
        <v>140.0</v>
      </c>
      <c r="D2565" s="10">
        <v>4.6363118E7</v>
      </c>
      <c r="E2565" s="9" t="s">
        <v>2384</v>
      </c>
      <c r="F2565" s="9">
        <f t="shared" si="1"/>
        <v>4</v>
      </c>
      <c r="G2565" s="9" t="s">
        <v>8317</v>
      </c>
      <c r="H2565" s="11" t="str">
        <f>IFERROR(__xludf.DUMMYFUNCTION("REGEXREPLACE(G2565, ""[^0-9a-zA-Z .'Ã]"","""")"),"Barry Watson")</f>
        <v>Barry Watson</v>
      </c>
      <c r="I2565" s="11" t="s">
        <v>8318</v>
      </c>
      <c r="J2565" s="9">
        <v>25960.0</v>
      </c>
      <c r="K2565" s="9" t="s">
        <v>8319</v>
      </c>
      <c r="L2565" s="9">
        <v>389.0</v>
      </c>
      <c r="M2565" s="9" t="s">
        <v>24</v>
      </c>
      <c r="N2565" s="9" t="s">
        <v>25</v>
      </c>
      <c r="O2565" s="10">
        <v>2.0E7</v>
      </c>
      <c r="P2565" s="10">
        <f t="shared" si="2"/>
        <v>26363118</v>
      </c>
      <c r="Q2565" s="12">
        <f t="shared" si="3"/>
        <v>0</v>
      </c>
      <c r="R2565" s="9">
        <v>2005.0</v>
      </c>
      <c r="S2565" s="9">
        <v>4.1</v>
      </c>
    </row>
    <row r="2566" ht="15.75" customHeight="1">
      <c r="A2566" s="17" t="s">
        <v>3199</v>
      </c>
      <c r="B2566" s="8" t="str">
        <f>IFERROR(__xludf.DUMMYFUNCTION("REGEXREPLACE(A2566, ""[^0-9a-zA-Z .'Ã]"","""")"),"Kenneth Branagh")</f>
        <v>Kenneth Branagh</v>
      </c>
      <c r="C2566" s="18">
        <v>46.0</v>
      </c>
      <c r="D2566" s="19">
        <v>1.0161099E7</v>
      </c>
      <c r="E2566" s="18" t="s">
        <v>8320</v>
      </c>
      <c r="F2566" s="9">
        <f t="shared" si="1"/>
        <v>6</v>
      </c>
      <c r="G2566" s="18" t="s">
        <v>8321</v>
      </c>
      <c r="H2566" s="11" t="str">
        <f>IFERROR(__xludf.DUMMYFUNCTION("REGEXREPLACE(G2566, ""[^0-9a-zA-Z .'Ã]"","""")"),"Brian Blessed")</f>
        <v>Brian Blessed</v>
      </c>
      <c r="I2566" s="20" t="s">
        <v>8322</v>
      </c>
      <c r="J2566" s="18">
        <v>23441.0</v>
      </c>
      <c r="K2566" s="18" t="s">
        <v>8323</v>
      </c>
      <c r="L2566" s="18">
        <v>108.0</v>
      </c>
      <c r="M2566" s="18" t="s">
        <v>24</v>
      </c>
      <c r="N2566" s="18" t="s">
        <v>130</v>
      </c>
      <c r="O2566" s="19">
        <v>9000000.0</v>
      </c>
      <c r="P2566" s="10">
        <f t="shared" si="2"/>
        <v>1161099</v>
      </c>
      <c r="Q2566" s="12">
        <f t="shared" si="3"/>
        <v>0</v>
      </c>
      <c r="R2566" s="18">
        <v>1989.0</v>
      </c>
      <c r="S2566" s="18">
        <v>7.7</v>
      </c>
    </row>
    <row r="2567" ht="15.75" customHeight="1">
      <c r="A2567" s="17" t="s">
        <v>1573</v>
      </c>
      <c r="B2567" s="8" t="str">
        <f>IFERROR(__xludf.DUMMYFUNCTION("REGEXREPLACE(A2567, ""[^0-9a-zA-Z .'Ã]"","""")"),"Ethan Coen")</f>
        <v>Ethan Coen</v>
      </c>
      <c r="C2567" s="18">
        <v>488.0</v>
      </c>
      <c r="D2567" s="19">
        <v>7.4273505E7</v>
      </c>
      <c r="E2567" s="18" t="s">
        <v>113</v>
      </c>
      <c r="F2567" s="9">
        <f t="shared" si="1"/>
        <v>3</v>
      </c>
      <c r="G2567" s="18" t="s">
        <v>7592</v>
      </c>
      <c r="H2567" s="11" t="str">
        <f>IFERROR(__xludf.DUMMYFUNCTION("REGEXREPLACE(G2567, ""[^0-9a-zA-Z .'Ã]"","""")"),"Kelly Macdonald")</f>
        <v>Kelly Macdonald</v>
      </c>
      <c r="I2567" s="20" t="s">
        <v>8324</v>
      </c>
      <c r="J2567" s="18">
        <v>612060.0</v>
      </c>
      <c r="K2567" s="18" t="s">
        <v>8325</v>
      </c>
      <c r="L2567" s="18">
        <v>1518.0</v>
      </c>
      <c r="M2567" s="18" t="s">
        <v>24</v>
      </c>
      <c r="N2567" s="18" t="s">
        <v>25</v>
      </c>
      <c r="O2567" s="19">
        <v>2.5E7</v>
      </c>
      <c r="P2567" s="10">
        <f t="shared" si="2"/>
        <v>49273505</v>
      </c>
      <c r="Q2567" s="12">
        <f t="shared" si="3"/>
        <v>0</v>
      </c>
      <c r="R2567" s="18">
        <v>2007.0</v>
      </c>
      <c r="S2567" s="18">
        <v>8.1</v>
      </c>
    </row>
    <row r="2568" ht="15.75" customHeight="1">
      <c r="A2568" s="17" t="s">
        <v>73</v>
      </c>
      <c r="B2568" s="8" t="str">
        <f>IFERROR(__xludf.DUMMYFUNCTION("REGEXREPLACE(A2568, ""[^0-9a-zA-Z .'Ã]"","""")"),"Ridley Scott")</f>
        <v>Ridley Scott</v>
      </c>
      <c r="C2568" s="18">
        <v>392.0</v>
      </c>
      <c r="D2568" s="19">
        <v>7.89E7</v>
      </c>
      <c r="E2568" s="18" t="s">
        <v>1321</v>
      </c>
      <c r="F2568" s="9">
        <f t="shared" si="1"/>
        <v>2</v>
      </c>
      <c r="G2568" s="18" t="s">
        <v>3203</v>
      </c>
      <c r="H2568" s="11" t="str">
        <f>IFERROR(__xludf.DUMMYFUNCTION("REGEXREPLACE(G2568, ""[^0-9a-zA-Z .'Ã]"","""")"),"Tom Skerritt")</f>
        <v>Tom Skerritt</v>
      </c>
      <c r="I2568" s="20" t="s">
        <v>8326</v>
      </c>
      <c r="J2568" s="18">
        <v>563827.0</v>
      </c>
      <c r="K2568" s="18" t="s">
        <v>8327</v>
      </c>
      <c r="L2568" s="18">
        <v>1110.0</v>
      </c>
      <c r="M2568" s="18" t="s">
        <v>24</v>
      </c>
      <c r="N2568" s="18" t="s">
        <v>130</v>
      </c>
      <c r="O2568" s="19">
        <v>1.1E7</v>
      </c>
      <c r="P2568" s="10">
        <f t="shared" si="2"/>
        <v>67900000</v>
      </c>
      <c r="Q2568" s="12">
        <f t="shared" si="3"/>
        <v>0</v>
      </c>
      <c r="R2568" s="18">
        <v>1979.0</v>
      </c>
      <c r="S2568" s="18">
        <v>8.5</v>
      </c>
    </row>
    <row r="2569" ht="15.75" customHeight="1">
      <c r="A2569" s="21" t="s">
        <v>8328</v>
      </c>
      <c r="B2569" s="8" t="str">
        <f>IFERROR(__xludf.DUMMYFUNCTION("REGEXREPLACE(A2569, ""[^0-9a-zA-Z .'Ã]"","""")"),"Richard Shepard")</f>
        <v>Richard Shepard</v>
      </c>
      <c r="C2569" s="22">
        <v>191.0</v>
      </c>
      <c r="D2569" s="23">
        <v>1.2570442E7</v>
      </c>
      <c r="E2569" s="22" t="s">
        <v>3215</v>
      </c>
      <c r="F2569" s="9">
        <f t="shared" si="1"/>
        <v>4</v>
      </c>
      <c r="G2569" s="22" t="s">
        <v>2667</v>
      </c>
      <c r="H2569" s="11" t="str">
        <f>IFERROR(__xludf.DUMMYFUNCTION("REGEXREPLACE(G2569, ""[^0-9a-zA-Z .'Ã]"","""")"),"Adam Scott")</f>
        <v>Adam Scott</v>
      </c>
      <c r="I2569" s="24" t="s">
        <v>8329</v>
      </c>
      <c r="J2569" s="22">
        <v>40514.0</v>
      </c>
      <c r="K2569" s="22" t="s">
        <v>8330</v>
      </c>
      <c r="L2569" s="22">
        <v>234.0</v>
      </c>
      <c r="M2569" s="22" t="s">
        <v>24</v>
      </c>
      <c r="N2569" s="22" t="s">
        <v>25</v>
      </c>
      <c r="O2569" s="23">
        <v>1.0E7</v>
      </c>
      <c r="P2569" s="10">
        <f t="shared" si="2"/>
        <v>2570442</v>
      </c>
      <c r="Q2569" s="12">
        <f t="shared" si="3"/>
        <v>0</v>
      </c>
      <c r="R2569" s="22">
        <v>2005.0</v>
      </c>
      <c r="S2569" s="22">
        <v>6.8</v>
      </c>
    </row>
    <row r="2570" ht="15.75" customHeight="1">
      <c r="A2570" s="7" t="s">
        <v>2734</v>
      </c>
      <c r="B2570" s="8" t="str">
        <f>IFERROR(__xludf.DUMMYFUNCTION("REGEXREPLACE(A2570, ""[^0-9a-zA-Z .'Ã]"","""")"),"Alexander Payne")</f>
        <v>Alexander Payne</v>
      </c>
      <c r="C2570" s="9">
        <v>549.0</v>
      </c>
      <c r="D2570" s="10">
        <v>8.2624961E7</v>
      </c>
      <c r="E2570" s="9" t="s">
        <v>454</v>
      </c>
      <c r="F2570" s="9">
        <f t="shared" si="1"/>
        <v>2</v>
      </c>
      <c r="G2570" s="9" t="s">
        <v>7263</v>
      </c>
      <c r="H2570" s="11" t="str">
        <f>IFERROR(__xludf.DUMMYFUNCTION("REGEXREPLACE(G2570, ""[^0-9a-zA-Z .'Ã]"","""")"),"Shailene Woodley")</f>
        <v>Shailene Woodley</v>
      </c>
      <c r="I2570" s="11" t="s">
        <v>8331</v>
      </c>
      <c r="J2570" s="9">
        <v>205284.0</v>
      </c>
      <c r="K2570" s="9" t="s">
        <v>8332</v>
      </c>
      <c r="L2570" s="9">
        <v>439.0</v>
      </c>
      <c r="M2570" s="9" t="s">
        <v>24</v>
      </c>
      <c r="N2570" s="9" t="s">
        <v>25</v>
      </c>
      <c r="O2570" s="10">
        <v>2.0E7</v>
      </c>
      <c r="P2570" s="10">
        <f t="shared" si="2"/>
        <v>62624961</v>
      </c>
      <c r="Q2570" s="12">
        <f t="shared" si="3"/>
        <v>0</v>
      </c>
      <c r="R2570" s="9">
        <v>2011.0</v>
      </c>
      <c r="S2570" s="9">
        <v>7.3</v>
      </c>
    </row>
    <row r="2571" ht="15.75" customHeight="1">
      <c r="A2571" s="7" t="s">
        <v>2636</v>
      </c>
      <c r="B2571" s="8" t="str">
        <f>IFERROR(__xludf.DUMMYFUNCTION("REGEXREPLACE(A2571, ""[^0-9a-zA-Z .'Ã]"","""")"),"Patricia Riggen")</f>
        <v>Patricia Riggen</v>
      </c>
      <c r="C2571" s="9">
        <v>120.0</v>
      </c>
      <c r="D2571" s="10">
        <v>1.2188642E7</v>
      </c>
      <c r="E2571" s="9" t="s">
        <v>620</v>
      </c>
      <c r="F2571" s="9">
        <f t="shared" si="1"/>
        <v>3</v>
      </c>
      <c r="G2571" s="9" t="s">
        <v>8333</v>
      </c>
      <c r="H2571" s="11" t="str">
        <f>IFERROR(__xludf.DUMMYFUNCTION("REGEXREPLACE(G2571, ""[^0-9a-zA-Z .'Ã]"","""")"),"Marco TreviÃo")</f>
        <v>Marco TreviÃo</v>
      </c>
      <c r="I2571" s="11" t="s">
        <v>8334</v>
      </c>
      <c r="J2571" s="9">
        <v>21098.0</v>
      </c>
      <c r="K2571" s="9" t="s">
        <v>8335</v>
      </c>
      <c r="L2571" s="9">
        <v>56.0</v>
      </c>
      <c r="M2571" s="9" t="s">
        <v>24</v>
      </c>
      <c r="N2571" s="9" t="s">
        <v>8336</v>
      </c>
      <c r="O2571" s="10">
        <v>2.6E7</v>
      </c>
      <c r="P2571" s="10">
        <f t="shared" si="2"/>
        <v>0</v>
      </c>
      <c r="Q2571" s="12">
        <f t="shared" si="3"/>
        <v>13811358</v>
      </c>
      <c r="R2571" s="9">
        <v>2015.0</v>
      </c>
      <c r="S2571" s="9">
        <v>6.9</v>
      </c>
    </row>
    <row r="2572" ht="15.75" customHeight="1">
      <c r="A2572" s="17" t="s">
        <v>73</v>
      </c>
      <c r="B2572" s="8" t="str">
        <f>IFERROR(__xludf.DUMMYFUNCTION("REGEXREPLACE(A2572, ""[^0-9a-zA-Z .'Ã]"","""")"),"Ridley Scott")</f>
        <v>Ridley Scott</v>
      </c>
      <c r="C2572" s="18">
        <v>63.0</v>
      </c>
      <c r="D2572" s="19">
        <v>4.5645204E7</v>
      </c>
      <c r="E2572" s="18" t="s">
        <v>152</v>
      </c>
      <c r="F2572" s="9">
        <f t="shared" si="1"/>
        <v>3</v>
      </c>
      <c r="G2572" s="18" t="s">
        <v>897</v>
      </c>
      <c r="H2572" s="11" t="str">
        <f>IFERROR(__xludf.DUMMYFUNCTION("REGEXREPLACE(G2572, ""[^0-9a-zA-Z .'Ã]"","""")"),"Stephen Root")</f>
        <v>Stephen Root</v>
      </c>
      <c r="I2572" s="20" t="s">
        <v>8337</v>
      </c>
      <c r="J2572" s="18">
        <v>39306.0</v>
      </c>
      <c r="K2572" s="18" t="s">
        <v>8338</v>
      </c>
      <c r="L2572" s="18">
        <v>119.0</v>
      </c>
      <c r="M2572" s="18" t="s">
        <v>24</v>
      </c>
      <c r="N2572" s="18" t="s">
        <v>25</v>
      </c>
      <c r="O2572" s="19">
        <v>3.0E7</v>
      </c>
      <c r="P2572" s="10">
        <f t="shared" si="2"/>
        <v>15645204</v>
      </c>
      <c r="Q2572" s="12">
        <f t="shared" si="3"/>
        <v>0</v>
      </c>
      <c r="R2572" s="18">
        <v>1989.0</v>
      </c>
      <c r="S2572" s="18">
        <v>6.6</v>
      </c>
    </row>
    <row r="2573" ht="15.75" customHeight="1">
      <c r="A2573" s="29" t="s">
        <v>672</v>
      </c>
      <c r="B2573" s="8" t="str">
        <f>IFERROR(__xludf.DUMMYFUNCTION("REGEXREPLACE(A2573, ""[^0-9a-zA-Z .'Ã]"","""")"),"Peter Weir")</f>
        <v>Peter Weir</v>
      </c>
      <c r="C2573" s="30">
        <v>244.0</v>
      </c>
      <c r="D2573" s="31">
        <v>9.3926386E7</v>
      </c>
      <c r="E2573" s="30" t="s">
        <v>1479</v>
      </c>
      <c r="F2573" s="9">
        <f t="shared" si="1"/>
        <v>5</v>
      </c>
      <c r="G2573" s="30" t="s">
        <v>7397</v>
      </c>
      <c r="H2573" s="11" t="str">
        <f>IFERROR(__xludf.DUMMYFUNCTION("REGEXREPLACE(G2573, ""[^0-9a-zA-Z .'Ã]"","""")"),"James D'Arcy")</f>
        <v>James D'Arcy</v>
      </c>
      <c r="I2573" s="32" t="s">
        <v>8339</v>
      </c>
      <c r="J2573" s="30">
        <v>168207.0</v>
      </c>
      <c r="K2573" s="30" t="s">
        <v>8340</v>
      </c>
      <c r="L2573" s="30">
        <v>684.0</v>
      </c>
      <c r="M2573" s="30" t="s">
        <v>24</v>
      </c>
      <c r="N2573" s="30" t="s">
        <v>25</v>
      </c>
      <c r="O2573" s="31">
        <v>1.5E8</v>
      </c>
      <c r="P2573" s="10">
        <f t="shared" si="2"/>
        <v>0</v>
      </c>
      <c r="Q2573" s="12">
        <f t="shared" si="3"/>
        <v>56073614</v>
      </c>
      <c r="R2573" s="30">
        <v>2003.0</v>
      </c>
      <c r="S2573" s="30">
        <v>7.4</v>
      </c>
    </row>
    <row r="2574" ht="15.75" customHeight="1">
      <c r="A2574" s="17" t="s">
        <v>212</v>
      </c>
      <c r="B2574" s="8" t="str">
        <f>IFERROR(__xludf.DUMMYFUNCTION("REGEXREPLACE(A2574, ""[^0-9a-zA-Z .'Ã]"","""")"),"Wayne Wang")</f>
        <v>Wayne Wang</v>
      </c>
      <c r="C2574" s="18">
        <v>99.0</v>
      </c>
      <c r="D2574" s="19">
        <v>3.8360195E7</v>
      </c>
      <c r="E2574" s="18" t="s">
        <v>5184</v>
      </c>
      <c r="F2574" s="9">
        <f t="shared" si="1"/>
        <v>3</v>
      </c>
      <c r="G2574" s="18" t="s">
        <v>1329</v>
      </c>
      <c r="H2574" s="11" t="str">
        <f>IFERROR(__xludf.DUMMYFUNCTION("REGEXREPLACE(G2574, ""[^0-9a-zA-Z .'Ã]"","""")"),"LL Cool J")</f>
        <v>LL Cool J</v>
      </c>
      <c r="I2574" s="20" t="s">
        <v>8341</v>
      </c>
      <c r="J2574" s="18">
        <v>21215.0</v>
      </c>
      <c r="K2574" s="18" t="s">
        <v>8342</v>
      </c>
      <c r="L2574" s="18">
        <v>116.0</v>
      </c>
      <c r="M2574" s="18" t="s">
        <v>24</v>
      </c>
      <c r="N2574" s="18" t="s">
        <v>25</v>
      </c>
      <c r="O2574" s="19">
        <v>4.5E7</v>
      </c>
      <c r="P2574" s="10">
        <f t="shared" si="2"/>
        <v>0</v>
      </c>
      <c r="Q2574" s="12">
        <f t="shared" si="3"/>
        <v>6639805</v>
      </c>
      <c r="R2574" s="18">
        <v>2006.0</v>
      </c>
      <c r="S2574" s="18">
        <v>6.4</v>
      </c>
    </row>
    <row r="2575" ht="15.75" customHeight="1">
      <c r="A2575" s="7" t="s">
        <v>8343</v>
      </c>
      <c r="B2575" s="8" t="str">
        <f>IFERROR(__xludf.DUMMYFUNCTION("REGEXREPLACE(A2575, ""[^0-9a-zA-Z .'Ã]"","""")"),"Fede Alvarez")</f>
        <v>Fede Alvarez</v>
      </c>
      <c r="C2575" s="9">
        <v>543.0</v>
      </c>
      <c r="D2575" s="10">
        <v>5.4239856E7</v>
      </c>
      <c r="E2575" s="9" t="s">
        <v>148</v>
      </c>
      <c r="F2575" s="9">
        <f t="shared" si="1"/>
        <v>1</v>
      </c>
      <c r="G2575" s="9" t="s">
        <v>8344</v>
      </c>
      <c r="H2575" s="11" t="str">
        <f>IFERROR(__xludf.DUMMYFUNCTION("REGEXREPLACE(G2575, ""[^0-9a-zA-Z .'Ã]"","""")"),"Lou Taylor Pucci")</f>
        <v>Lou Taylor Pucci</v>
      </c>
      <c r="I2575" s="11" t="s">
        <v>8345</v>
      </c>
      <c r="J2575" s="9">
        <v>125016.0</v>
      </c>
      <c r="K2575" s="9" t="s">
        <v>8346</v>
      </c>
      <c r="L2575" s="9">
        <v>789.0</v>
      </c>
      <c r="M2575" s="9" t="s">
        <v>24</v>
      </c>
      <c r="N2575" s="9" t="s">
        <v>25</v>
      </c>
      <c r="O2575" s="10">
        <v>1.7E7</v>
      </c>
      <c r="P2575" s="10">
        <f t="shared" si="2"/>
        <v>37239856</v>
      </c>
      <c r="Q2575" s="12">
        <f t="shared" si="3"/>
        <v>0</v>
      </c>
      <c r="R2575" s="9">
        <v>2013.0</v>
      </c>
      <c r="S2575" s="9">
        <v>6.5</v>
      </c>
    </row>
    <row r="2576" ht="15.75" customHeight="1">
      <c r="A2576" s="21" t="s">
        <v>1767</v>
      </c>
      <c r="B2576" s="8" t="str">
        <f>IFERROR(__xludf.DUMMYFUNCTION("REGEXREPLACE(A2576, ""[^0-9a-zA-Z .'Ã]"","""")"),"Barry Levinson")</f>
        <v>Barry Levinson</v>
      </c>
      <c r="C2576" s="22">
        <v>64.0</v>
      </c>
      <c r="D2576" s="23">
        <v>4250320.0</v>
      </c>
      <c r="E2576" s="22" t="s">
        <v>8347</v>
      </c>
      <c r="F2576" s="9">
        <f t="shared" si="1"/>
        <v>4</v>
      </c>
      <c r="G2576" s="22" t="s">
        <v>8348</v>
      </c>
      <c r="H2576" s="11" t="str">
        <f>IFERROR(__xludf.DUMMYFUNCTION("REGEXREPLACE(G2576, ""[^0-9a-zA-Z .'Ã]"","""")"),"Nicholas Rowe")</f>
        <v>Nicholas Rowe</v>
      </c>
      <c r="I2576" s="24" t="s">
        <v>8349</v>
      </c>
      <c r="J2576" s="22">
        <v>14870.0</v>
      </c>
      <c r="K2576" s="22" t="s">
        <v>8350</v>
      </c>
      <c r="L2576" s="22">
        <v>86.0</v>
      </c>
      <c r="M2576" s="22" t="s">
        <v>24</v>
      </c>
      <c r="N2576" s="22" t="s">
        <v>25</v>
      </c>
      <c r="O2576" s="23">
        <v>1.8E7</v>
      </c>
      <c r="P2576" s="10">
        <f t="shared" si="2"/>
        <v>0</v>
      </c>
      <c r="Q2576" s="12">
        <f t="shared" si="3"/>
        <v>13749680</v>
      </c>
      <c r="R2576" s="22">
        <v>1985.0</v>
      </c>
      <c r="S2576" s="22">
        <v>6.8</v>
      </c>
    </row>
    <row r="2577" ht="15.75" customHeight="1">
      <c r="A2577" s="17" t="s">
        <v>43</v>
      </c>
      <c r="B2577" s="8" t="str">
        <f>IFERROR(__xludf.DUMMYFUNCTION("REGEXREPLACE(A2577, ""[^0-9a-zA-Z .'Ã]"","""")"),"Gregory Hoblit")</f>
        <v>Gregory Hoblit</v>
      </c>
      <c r="C2577" s="18">
        <v>195.0</v>
      </c>
      <c r="D2577" s="19">
        <v>2.8687835E7</v>
      </c>
      <c r="E2577" s="18" t="s">
        <v>113</v>
      </c>
      <c r="F2577" s="9">
        <f t="shared" si="1"/>
        <v>3</v>
      </c>
      <c r="G2577" s="18" t="s">
        <v>1360</v>
      </c>
      <c r="H2577" s="11" t="str">
        <f>IFERROR(__xludf.DUMMYFUNCTION("REGEXREPLACE(G2577, ""[^0-9a-zA-Z .'Ã]"","""")"),"Billy Burke")</f>
        <v>Billy Burke</v>
      </c>
      <c r="I2577" s="20" t="s">
        <v>8351</v>
      </c>
      <c r="J2577" s="18">
        <v>40964.0</v>
      </c>
      <c r="K2577" s="18" t="s">
        <v>8352</v>
      </c>
      <c r="L2577" s="18">
        <v>245.0</v>
      </c>
      <c r="M2577" s="18" t="s">
        <v>24</v>
      </c>
      <c r="N2577" s="18" t="s">
        <v>25</v>
      </c>
      <c r="O2577" s="19">
        <v>3.5E7</v>
      </c>
      <c r="P2577" s="10">
        <f t="shared" si="2"/>
        <v>0</v>
      </c>
      <c r="Q2577" s="12">
        <f t="shared" si="3"/>
        <v>6312165</v>
      </c>
      <c r="R2577" s="18">
        <v>2008.0</v>
      </c>
      <c r="S2577" s="18">
        <v>6.2</v>
      </c>
    </row>
    <row r="2578" ht="15.75" customHeight="1">
      <c r="A2578" s="13" t="s">
        <v>977</v>
      </c>
      <c r="B2578" s="8" t="str">
        <f>IFERROR(__xludf.DUMMYFUNCTION("REGEXREPLACE(A2578, ""[^0-9a-zA-Z .'Ã]"","""")"),"Jon Gunn")</f>
        <v>Jon Gunn</v>
      </c>
      <c r="C2578" s="14">
        <v>43.0</v>
      </c>
      <c r="D2578" s="15">
        <v>85222.0</v>
      </c>
      <c r="E2578" s="14" t="s">
        <v>251</v>
      </c>
      <c r="F2578" s="9">
        <f t="shared" si="1"/>
        <v>1</v>
      </c>
      <c r="G2578" s="14" t="s">
        <v>8353</v>
      </c>
      <c r="H2578" s="11" t="str">
        <f>IFERROR(__xludf.DUMMYFUNCTION("REGEXREPLACE(G2578, ""[^0-9a-zA-Z .'Ã]"","""")"),"John August")</f>
        <v>John August</v>
      </c>
      <c r="I2578" s="16" t="s">
        <v>8354</v>
      </c>
      <c r="J2578" s="14">
        <v>4285.0</v>
      </c>
      <c r="K2578" s="14" t="s">
        <v>8355</v>
      </c>
      <c r="L2578" s="14">
        <v>84.0</v>
      </c>
      <c r="M2578" s="14" t="s">
        <v>24</v>
      </c>
      <c r="N2578" s="14" t="s">
        <v>25</v>
      </c>
      <c r="O2578" s="15">
        <v>1100.0</v>
      </c>
      <c r="P2578" s="10">
        <f t="shared" si="2"/>
        <v>84122</v>
      </c>
      <c r="Q2578" s="12">
        <f t="shared" si="3"/>
        <v>0</v>
      </c>
      <c r="R2578" s="14">
        <v>2004.0</v>
      </c>
      <c r="S2578" s="14">
        <v>6.6</v>
      </c>
    </row>
    <row r="2579" ht="15.75" customHeight="1">
      <c r="A2579" s="21" t="s">
        <v>473</v>
      </c>
      <c r="B2579" s="8" t="str">
        <f>IFERROR(__xludf.DUMMYFUNCTION("REGEXREPLACE(A2579, ""[^0-9a-zA-Z .'Ã]"","""")"),"John McTiernan")</f>
        <v>John McTiernan</v>
      </c>
      <c r="C2579" s="22">
        <v>131.0</v>
      </c>
      <c r="D2579" s="23">
        <v>2.653612E7</v>
      </c>
      <c r="E2579" s="22" t="s">
        <v>610</v>
      </c>
      <c r="F2579" s="9">
        <f t="shared" si="1"/>
        <v>5</v>
      </c>
      <c r="G2579" s="22" t="s">
        <v>2421</v>
      </c>
      <c r="H2579" s="11" t="str">
        <f>IFERROR(__xludf.DUMMYFUNCTION("REGEXREPLACE(G2579, ""[^0-9a-zA-Z .'Ã]"","""")"),"Connie Nielsen")</f>
        <v>Connie Nielsen</v>
      </c>
      <c r="I2579" s="24" t="s">
        <v>8356</v>
      </c>
      <c r="J2579" s="22">
        <v>49926.0</v>
      </c>
      <c r="K2579" s="22" t="s">
        <v>8357</v>
      </c>
      <c r="L2579" s="22">
        <v>286.0</v>
      </c>
      <c r="M2579" s="22" t="s">
        <v>24</v>
      </c>
      <c r="N2579" s="22" t="s">
        <v>173</v>
      </c>
      <c r="O2579" s="23">
        <v>5.0E7</v>
      </c>
      <c r="P2579" s="10">
        <f t="shared" si="2"/>
        <v>0</v>
      </c>
      <c r="Q2579" s="12">
        <f t="shared" si="3"/>
        <v>23463880</v>
      </c>
      <c r="R2579" s="22">
        <v>2003.0</v>
      </c>
      <c r="S2579" s="22">
        <v>6.5</v>
      </c>
    </row>
    <row r="2580" ht="15.75" customHeight="1">
      <c r="A2580" s="25" t="s">
        <v>2994</v>
      </c>
      <c r="B2580" s="8" t="str">
        <f>IFERROR(__xludf.DUMMYFUNCTION("REGEXREPLACE(A2580, ""[^0-9a-zA-Z .'Ã]"","""")"),"Kevin Rodney Sullivan")</f>
        <v>Kevin Rodney Sullivan</v>
      </c>
      <c r="C2580" s="26">
        <v>29.0</v>
      </c>
      <c r="D2580" s="27">
        <v>3.767235E7</v>
      </c>
      <c r="E2580" s="26" t="s">
        <v>159</v>
      </c>
      <c r="F2580" s="9">
        <f t="shared" si="1"/>
        <v>3</v>
      </c>
      <c r="G2580" s="26" t="s">
        <v>8358</v>
      </c>
      <c r="H2580" s="11" t="str">
        <f>IFERROR(__xludf.DUMMYFUNCTION("REGEXREPLACE(G2580, ""[^0-9a-zA-Z .'Ã]"","""")"),"Richard Lawson")</f>
        <v>Richard Lawson</v>
      </c>
      <c r="I2580" s="28" t="s">
        <v>8359</v>
      </c>
      <c r="J2580" s="26">
        <v>5427.0</v>
      </c>
      <c r="K2580" s="26" t="s">
        <v>8360</v>
      </c>
      <c r="L2580" s="26">
        <v>51.0</v>
      </c>
      <c r="M2580" s="26" t="s">
        <v>24</v>
      </c>
      <c r="N2580" s="26" t="s">
        <v>25</v>
      </c>
      <c r="O2580" s="27">
        <v>2.0E7</v>
      </c>
      <c r="P2580" s="10">
        <f t="shared" si="2"/>
        <v>17672350</v>
      </c>
      <c r="Q2580" s="12">
        <f t="shared" si="3"/>
        <v>0</v>
      </c>
      <c r="R2580" s="26">
        <v>1998.0</v>
      </c>
      <c r="S2580" s="26">
        <v>5.5</v>
      </c>
    </row>
    <row r="2581" ht="15.75" customHeight="1">
      <c r="A2581" s="29" t="s">
        <v>1429</v>
      </c>
      <c r="B2581" s="8" t="str">
        <f>IFERROR(__xludf.DUMMYFUNCTION("REGEXREPLACE(A2581, ""[^0-9a-zA-Z .'Ã]"","""")"),"Ron Underwood")</f>
        <v>Ron Underwood</v>
      </c>
      <c r="C2581" s="30">
        <v>35.0</v>
      </c>
      <c r="D2581" s="31">
        <v>5.0628009E7</v>
      </c>
      <c r="E2581" s="30" t="s">
        <v>8361</v>
      </c>
      <c r="F2581" s="9">
        <f t="shared" si="1"/>
        <v>5</v>
      </c>
      <c r="G2581" s="30" t="s">
        <v>3186</v>
      </c>
      <c r="H2581" s="11" t="str">
        <f>IFERROR(__xludf.DUMMYFUNCTION("REGEXREPLACE(G2581, ""[^0-9a-zA-Z .'Ã]"","""")"),"Charlize Theron")</f>
        <v>Charlize Theron</v>
      </c>
      <c r="I2581" s="32" t="s">
        <v>8362</v>
      </c>
      <c r="J2581" s="30">
        <v>22955.0</v>
      </c>
      <c r="K2581" s="30" t="s">
        <v>8363</v>
      </c>
      <c r="L2581" s="30">
        <v>88.0</v>
      </c>
      <c r="M2581" s="30" t="s">
        <v>24</v>
      </c>
      <c r="N2581" s="30" t="s">
        <v>25</v>
      </c>
      <c r="O2581" s="31">
        <v>9.0E7</v>
      </c>
      <c r="P2581" s="10">
        <f t="shared" si="2"/>
        <v>0</v>
      </c>
      <c r="Q2581" s="12">
        <f t="shared" si="3"/>
        <v>39371991</v>
      </c>
      <c r="R2581" s="30">
        <v>1998.0</v>
      </c>
      <c r="S2581" s="30">
        <v>5.6</v>
      </c>
    </row>
    <row r="2582" ht="15.75" customHeight="1">
      <c r="A2582" s="29" t="s">
        <v>1515</v>
      </c>
      <c r="B2582" s="8" t="str">
        <f>IFERROR(__xludf.DUMMYFUNCTION("REGEXREPLACE(A2582, ""[^0-9a-zA-Z .'Ã]"","""")"),"Marc Forster")</f>
        <v>Marc Forster</v>
      </c>
      <c r="C2582" s="30">
        <v>403.0</v>
      </c>
      <c r="D2582" s="31">
        <v>1.68368427E8</v>
      </c>
      <c r="E2582" s="30" t="s">
        <v>636</v>
      </c>
      <c r="F2582" s="9">
        <f t="shared" si="1"/>
        <v>2</v>
      </c>
      <c r="G2582" s="30" t="s">
        <v>8364</v>
      </c>
      <c r="H2582" s="11" t="str">
        <f>IFERROR(__xludf.DUMMYFUNCTION("REGEXREPLACE(G2582, ""[^0-9a-zA-Z .'Ã]"","""")"),"Giancarlo Giannini")</f>
        <v>Giancarlo Giannini</v>
      </c>
      <c r="I2582" s="32" t="s">
        <v>8365</v>
      </c>
      <c r="J2582" s="30">
        <v>330784.0</v>
      </c>
      <c r="K2582" s="30" t="s">
        <v>8366</v>
      </c>
      <c r="L2582" s="30">
        <v>1243.0</v>
      </c>
      <c r="M2582" s="30" t="s">
        <v>24</v>
      </c>
      <c r="N2582" s="30" t="s">
        <v>130</v>
      </c>
      <c r="O2582" s="31">
        <v>2.0E8</v>
      </c>
      <c r="P2582" s="10">
        <f t="shared" si="2"/>
        <v>0</v>
      </c>
      <c r="Q2582" s="12">
        <f t="shared" si="3"/>
        <v>31631573</v>
      </c>
      <c r="R2582" s="30">
        <v>2008.0</v>
      </c>
      <c r="S2582" s="30">
        <v>6.7</v>
      </c>
    </row>
    <row r="2583" ht="15.75" customHeight="1">
      <c r="A2583" s="17" t="s">
        <v>3977</v>
      </c>
      <c r="B2583" s="8" t="str">
        <f>IFERROR(__xludf.DUMMYFUNCTION("REGEXREPLACE(A2583, ""[^0-9a-zA-Z .'Ã]"","""")"),"David Lean")</f>
        <v>David Lean</v>
      </c>
      <c r="C2583" s="18">
        <v>122.0</v>
      </c>
      <c r="D2583" s="19">
        <v>2.72E7</v>
      </c>
      <c r="E2583" s="18" t="s">
        <v>8367</v>
      </c>
      <c r="F2583" s="9">
        <f t="shared" si="1"/>
        <v>3</v>
      </c>
      <c r="G2583" s="18" t="s">
        <v>8368</v>
      </c>
      <c r="H2583" s="11" t="str">
        <f>IFERROR(__xludf.DUMMYFUNCTION("REGEXREPLACE(G2583, ""[^0-9a-zA-Z .'Ã]"","""")"),"William Holden")</f>
        <v>William Holden</v>
      </c>
      <c r="I2583" s="20" t="s">
        <v>8369</v>
      </c>
      <c r="J2583" s="18">
        <v>149444.0</v>
      </c>
      <c r="K2583" s="18" t="s">
        <v>8370</v>
      </c>
      <c r="L2583" s="18">
        <v>273.0</v>
      </c>
      <c r="M2583" s="18" t="s">
        <v>24</v>
      </c>
      <c r="N2583" s="18" t="s">
        <v>130</v>
      </c>
      <c r="O2583" s="19">
        <v>3000000.0</v>
      </c>
      <c r="P2583" s="10">
        <f t="shared" si="2"/>
        <v>24200000</v>
      </c>
      <c r="Q2583" s="12">
        <f t="shared" si="3"/>
        <v>0</v>
      </c>
      <c r="R2583" s="18">
        <v>1957.0</v>
      </c>
      <c r="S2583" s="18">
        <v>8.2</v>
      </c>
    </row>
    <row r="2584" ht="15.75" customHeight="1">
      <c r="A2584" s="7" t="s">
        <v>347</v>
      </c>
      <c r="B2584" s="8" t="str">
        <f>IFERROR(__xludf.DUMMYFUNCTION("REGEXREPLACE(A2584, ""[^0-9a-zA-Z .'Ã]"","""")"),"Andrew Adamson")</f>
        <v>Andrew Adamson</v>
      </c>
      <c r="C2584" s="9">
        <v>284.0</v>
      </c>
      <c r="D2584" s="10">
        <v>2.91709845E8</v>
      </c>
      <c r="E2584" s="9" t="s">
        <v>1252</v>
      </c>
      <c r="F2584" s="9">
        <f t="shared" si="1"/>
        <v>3</v>
      </c>
      <c r="G2584" s="9" t="s">
        <v>1846</v>
      </c>
      <c r="H2584" s="11" t="str">
        <f>IFERROR(__xludf.DUMMYFUNCTION("REGEXREPLACE(G2584, ""[^0-9a-zA-Z .'Ã]"","""")"),"Jim Broadbent")</f>
        <v>Jim Broadbent</v>
      </c>
      <c r="I2584" s="11" t="s">
        <v>8371</v>
      </c>
      <c r="J2584" s="9">
        <v>286506.0</v>
      </c>
      <c r="K2584" s="9" t="s">
        <v>8372</v>
      </c>
      <c r="L2584" s="9">
        <v>1463.0</v>
      </c>
      <c r="M2584" s="9" t="s">
        <v>24</v>
      </c>
      <c r="N2584" s="9" t="s">
        <v>25</v>
      </c>
      <c r="O2584" s="10">
        <v>1.8E8</v>
      </c>
      <c r="P2584" s="10">
        <f t="shared" si="2"/>
        <v>111709845</v>
      </c>
      <c r="Q2584" s="12">
        <f t="shared" si="3"/>
        <v>0</v>
      </c>
      <c r="R2584" s="9">
        <v>2005.0</v>
      </c>
      <c r="S2584" s="9">
        <v>6.9</v>
      </c>
    </row>
    <row r="2585" ht="15.75" customHeight="1">
      <c r="A2585" s="7" t="s">
        <v>184</v>
      </c>
      <c r="B2585" s="8" t="str">
        <f>IFERROR(__xludf.DUMMYFUNCTION("REGEXREPLACE(A2585, ""[^0-9a-zA-Z .'Ã]"","""")"),"James Cameron")</f>
        <v>James Cameron</v>
      </c>
      <c r="C2585" s="9">
        <v>94.0</v>
      </c>
      <c r="D2585" s="10">
        <v>1.46282411E8</v>
      </c>
      <c r="E2585" s="9" t="s">
        <v>4263</v>
      </c>
      <c r="F2585" s="9">
        <f t="shared" si="1"/>
        <v>3</v>
      </c>
      <c r="G2585" s="9" t="s">
        <v>390</v>
      </c>
      <c r="H2585" s="11" t="str">
        <f>IFERROR(__xludf.DUMMYFUNCTION("REGEXREPLACE(G2585, ""[^0-9a-zA-Z .'Ã]"","""")"),"Jamie Lee Curtis")</f>
        <v>Jamie Lee Curtis</v>
      </c>
      <c r="I2585" s="11" t="s">
        <v>8373</v>
      </c>
      <c r="J2585" s="9">
        <v>190439.0</v>
      </c>
      <c r="K2585" s="9" t="s">
        <v>8374</v>
      </c>
      <c r="L2585" s="9">
        <v>351.0</v>
      </c>
      <c r="M2585" s="9" t="s">
        <v>24</v>
      </c>
      <c r="N2585" s="9" t="s">
        <v>25</v>
      </c>
      <c r="O2585" s="10">
        <v>1.15E8</v>
      </c>
      <c r="P2585" s="10">
        <f t="shared" si="2"/>
        <v>31282411</v>
      </c>
      <c r="Q2585" s="12">
        <f t="shared" si="3"/>
        <v>0</v>
      </c>
      <c r="R2585" s="9">
        <v>1994.0</v>
      </c>
      <c r="S2585" s="9">
        <v>7.2</v>
      </c>
    </row>
    <row r="2586" ht="15.75" customHeight="1">
      <c r="A2586" s="21" t="s">
        <v>8375</v>
      </c>
      <c r="B2586" s="8" t="str">
        <f>IFERROR(__xludf.DUMMYFUNCTION("REGEXREPLACE(A2586, ""[^0-9a-zA-Z .'Ã]"","""")"),"Peter Billingsley")</f>
        <v>Peter Billingsley</v>
      </c>
      <c r="C2586" s="22">
        <v>166.0</v>
      </c>
      <c r="D2586" s="23">
        <v>1.09176215E8</v>
      </c>
      <c r="E2586" s="22" t="s">
        <v>137</v>
      </c>
      <c r="F2586" s="9">
        <f t="shared" si="1"/>
        <v>1</v>
      </c>
      <c r="G2586" s="22" t="s">
        <v>505</v>
      </c>
      <c r="H2586" s="11" t="str">
        <f>IFERROR(__xludf.DUMMYFUNCTION("REGEXREPLACE(G2586, ""[^0-9a-zA-Z .'Ã]"","""")"),"Jon Favreau")</f>
        <v>Jon Favreau</v>
      </c>
      <c r="I2586" s="24" t="s">
        <v>8376</v>
      </c>
      <c r="J2586" s="22">
        <v>83506.0</v>
      </c>
      <c r="K2586" s="22" t="s">
        <v>8377</v>
      </c>
      <c r="L2586" s="22">
        <v>144.0</v>
      </c>
      <c r="M2586" s="22" t="s">
        <v>24</v>
      </c>
      <c r="N2586" s="22" t="s">
        <v>25</v>
      </c>
      <c r="O2586" s="23">
        <v>6.0E7</v>
      </c>
      <c r="P2586" s="10">
        <f t="shared" si="2"/>
        <v>49176215</v>
      </c>
      <c r="Q2586" s="12">
        <f t="shared" si="3"/>
        <v>0</v>
      </c>
      <c r="R2586" s="22">
        <v>2009.0</v>
      </c>
      <c r="S2586" s="22">
        <v>5.5</v>
      </c>
    </row>
    <row r="2587" ht="15.75" customHeight="1">
      <c r="A2587" s="17" t="s">
        <v>986</v>
      </c>
      <c r="B2587" s="8" t="str">
        <f>IFERROR(__xludf.DUMMYFUNCTION("REGEXREPLACE(A2587, ""[^0-9a-zA-Z .'Ã]"","""")"),"Simon West")</f>
        <v>Simon West</v>
      </c>
      <c r="C2587" s="18">
        <v>252.0</v>
      </c>
      <c r="D2587" s="19">
        <v>2.9113588E7</v>
      </c>
      <c r="E2587" s="18" t="s">
        <v>152</v>
      </c>
      <c r="F2587" s="9">
        <f t="shared" si="1"/>
        <v>3</v>
      </c>
      <c r="G2587" s="18" t="s">
        <v>815</v>
      </c>
      <c r="H2587" s="11" t="str">
        <f>IFERROR(__xludf.DUMMYFUNCTION("REGEXREPLACE(G2587, ""[^0-9a-zA-Z .'Ã]"","""")"),"Jason Statham")</f>
        <v>Jason Statham</v>
      </c>
      <c r="I2587" s="20" t="s">
        <v>8378</v>
      </c>
      <c r="J2587" s="18">
        <v>117999.0</v>
      </c>
      <c r="K2587" s="18" t="s">
        <v>8379</v>
      </c>
      <c r="L2587" s="18">
        <v>181.0</v>
      </c>
      <c r="M2587" s="18" t="s">
        <v>24</v>
      </c>
      <c r="N2587" s="18" t="s">
        <v>25</v>
      </c>
      <c r="O2587" s="19">
        <v>4.0E7</v>
      </c>
      <c r="P2587" s="10">
        <f t="shared" si="2"/>
        <v>0</v>
      </c>
      <c r="Q2587" s="12">
        <f t="shared" si="3"/>
        <v>10886412</v>
      </c>
      <c r="R2587" s="18">
        <v>2011.0</v>
      </c>
      <c r="S2587" s="18">
        <v>6.6</v>
      </c>
    </row>
    <row r="2588" ht="15.75" customHeight="1">
      <c r="A2588" s="25" t="s">
        <v>5573</v>
      </c>
      <c r="B2588" s="8" t="str">
        <f>IFERROR(__xludf.DUMMYFUNCTION("REGEXREPLACE(A2588, ""[^0-9a-zA-Z .'Ã]"","""")"),"Yimou Zhang")</f>
        <v>Yimou Zhang</v>
      </c>
      <c r="C2588" s="26">
        <v>283.0</v>
      </c>
      <c r="D2588" s="27">
        <v>84961.0</v>
      </c>
      <c r="E2588" s="26" t="s">
        <v>3271</v>
      </c>
      <c r="F2588" s="9">
        <f t="shared" si="1"/>
        <v>3</v>
      </c>
      <c r="G2588" s="26" t="s">
        <v>1555</v>
      </c>
      <c r="H2588" s="11" t="str">
        <f>IFERROR(__xludf.DUMMYFUNCTION("REGEXREPLACE(G2588, ""[^0-9a-zA-Z .'Ã]"","""")"),"Jet Li")</f>
        <v>Jet Li</v>
      </c>
      <c r="I2588" s="28" t="s">
        <v>8380</v>
      </c>
      <c r="J2588" s="26">
        <v>149414.0</v>
      </c>
      <c r="K2588" s="26" t="s">
        <v>8381</v>
      </c>
      <c r="L2588" s="26">
        <v>841.0</v>
      </c>
      <c r="M2588" s="26" t="s">
        <v>3260</v>
      </c>
      <c r="N2588" s="26" t="s">
        <v>217</v>
      </c>
      <c r="O2588" s="27">
        <v>3.1E7</v>
      </c>
      <c r="P2588" s="10">
        <f t="shared" si="2"/>
        <v>0</v>
      </c>
      <c r="Q2588" s="12">
        <f t="shared" si="3"/>
        <v>30915039</v>
      </c>
      <c r="R2588" s="26">
        <v>2002.0</v>
      </c>
      <c r="S2588" s="26">
        <v>7.9</v>
      </c>
    </row>
    <row r="2589" ht="15.75" customHeight="1">
      <c r="A2589" s="29" t="s">
        <v>529</v>
      </c>
      <c r="B2589" s="8" t="str">
        <f>IFERROR(__xludf.DUMMYFUNCTION("REGEXREPLACE(A2589, ""[^0-9a-zA-Z .'Ã]"","""")"),"Joel Schumacher")</f>
        <v>Joel Schumacher</v>
      </c>
      <c r="C2589" s="30">
        <v>71.0</v>
      </c>
      <c r="D2589" s="31">
        <v>1.08706165E8</v>
      </c>
      <c r="E2589" s="30" t="s">
        <v>113</v>
      </c>
      <c r="F2589" s="9">
        <f t="shared" si="1"/>
        <v>3</v>
      </c>
      <c r="G2589" s="30" t="s">
        <v>483</v>
      </c>
      <c r="H2589" s="11" t="str">
        <f>IFERROR(__xludf.DUMMYFUNCTION("REGEXREPLACE(G2589, ""[^0-9a-zA-Z .'Ã]"","""")"),"Kevin Spacey")</f>
        <v>Kevin Spacey</v>
      </c>
      <c r="I2589" s="32" t="s">
        <v>8382</v>
      </c>
      <c r="J2589" s="30">
        <v>99558.0</v>
      </c>
      <c r="K2589" s="30" t="s">
        <v>8383</v>
      </c>
      <c r="L2589" s="30">
        <v>236.0</v>
      </c>
      <c r="M2589" s="30" t="s">
        <v>24</v>
      </c>
      <c r="N2589" s="30" t="s">
        <v>25</v>
      </c>
      <c r="O2589" s="31">
        <v>4.0E7</v>
      </c>
      <c r="P2589" s="10">
        <f t="shared" si="2"/>
        <v>68706165</v>
      </c>
      <c r="Q2589" s="12">
        <f t="shared" si="3"/>
        <v>0</v>
      </c>
      <c r="R2589" s="30">
        <v>1996.0</v>
      </c>
      <c r="S2589" s="30">
        <v>7.4</v>
      </c>
    </row>
    <row r="2590" ht="15.75" customHeight="1">
      <c r="A2590" s="21" t="s">
        <v>8384</v>
      </c>
      <c r="B2590" s="8" t="str">
        <f>IFERROR(__xludf.DUMMYFUNCTION("REGEXREPLACE(A2590, ""[^0-9a-zA-Z .'Ã]"","""")"),"Nat Faxon")</f>
        <v>Nat Faxon</v>
      </c>
      <c r="C2590" s="22">
        <v>276.0</v>
      </c>
      <c r="D2590" s="23">
        <v>2.1501098E7</v>
      </c>
      <c r="E2590" s="22" t="s">
        <v>454</v>
      </c>
      <c r="F2590" s="9">
        <f t="shared" si="1"/>
        <v>2</v>
      </c>
      <c r="G2590" s="22" t="s">
        <v>1080</v>
      </c>
      <c r="H2590" s="11" t="str">
        <f>IFERROR(__xludf.DUMMYFUNCTION("REGEXREPLACE(G2590, ""[^0-9a-zA-Z .'Ã]"","""")"),"Steve Carell")</f>
        <v>Steve Carell</v>
      </c>
      <c r="I2590" s="24" t="s">
        <v>8385</v>
      </c>
      <c r="J2590" s="22">
        <v>115813.0</v>
      </c>
      <c r="K2590" s="22" t="s">
        <v>8386</v>
      </c>
      <c r="L2590" s="22">
        <v>216.0</v>
      </c>
      <c r="M2590" s="22" t="s">
        <v>24</v>
      </c>
      <c r="N2590" s="22" t="s">
        <v>25</v>
      </c>
      <c r="O2590" s="23">
        <v>5000000.0</v>
      </c>
      <c r="P2590" s="10">
        <f t="shared" si="2"/>
        <v>16501098</v>
      </c>
      <c r="Q2590" s="12">
        <f t="shared" si="3"/>
        <v>0</v>
      </c>
      <c r="R2590" s="22">
        <v>2013.0</v>
      </c>
      <c r="S2590" s="22">
        <v>7.4</v>
      </c>
    </row>
    <row r="2591" ht="15.75" customHeight="1">
      <c r="A2591" s="25" t="s">
        <v>8387</v>
      </c>
      <c r="B2591" s="8" t="str">
        <f>IFERROR(__xludf.DUMMYFUNCTION("REGEXREPLACE(A2591, ""[^0-9a-zA-Z .'Ã]"","""")"),"Stanley Tong")</f>
        <v>Stanley Tong</v>
      </c>
      <c r="C2591" s="26">
        <v>62.0</v>
      </c>
      <c r="D2591" s="27">
        <v>3.233386E7</v>
      </c>
      <c r="E2591" s="26" t="s">
        <v>968</v>
      </c>
      <c r="F2591" s="9">
        <f t="shared" si="1"/>
        <v>2</v>
      </c>
      <c r="G2591" s="26" t="s">
        <v>8388</v>
      </c>
      <c r="H2591" s="11" t="str">
        <f>IFERROR(__xludf.DUMMYFUNCTION("REGEXREPLACE(G2591, ""[^0-9a-zA-Z .'Ã]"","""")"),"FranÃoise Yip")</f>
        <v>FranÃoise Yip</v>
      </c>
      <c r="I2591" s="28" t="s">
        <v>8389</v>
      </c>
      <c r="J2591" s="26">
        <v>29843.0</v>
      </c>
      <c r="K2591" s="26" t="s">
        <v>8390</v>
      </c>
      <c r="L2591" s="26">
        <v>81.0</v>
      </c>
      <c r="M2591" s="26" t="s">
        <v>156</v>
      </c>
      <c r="N2591" s="26" t="s">
        <v>157</v>
      </c>
      <c r="O2591" s="27">
        <v>7500000.0</v>
      </c>
      <c r="P2591" s="10">
        <f t="shared" si="2"/>
        <v>24833860</v>
      </c>
      <c r="Q2591" s="12">
        <f t="shared" si="3"/>
        <v>0</v>
      </c>
      <c r="R2591" s="26">
        <v>1995.0</v>
      </c>
      <c r="S2591" s="26">
        <v>6.7</v>
      </c>
    </row>
    <row r="2592" ht="15.75" customHeight="1">
      <c r="A2592" s="7" t="s">
        <v>8391</v>
      </c>
      <c r="B2592" s="8" t="str">
        <f>IFERROR(__xludf.DUMMYFUNCTION("REGEXREPLACE(A2592, ""[^0-9a-zA-Z .'Ã]"","""")"),"Michael Rymer")</f>
        <v>Michael Rymer</v>
      </c>
      <c r="C2592" s="9">
        <v>137.0</v>
      </c>
      <c r="D2592" s="10">
        <v>3.0307804E7</v>
      </c>
      <c r="E2592" s="9" t="s">
        <v>5099</v>
      </c>
      <c r="F2592" s="9">
        <f t="shared" si="1"/>
        <v>3</v>
      </c>
      <c r="G2592" s="9" t="s">
        <v>8392</v>
      </c>
      <c r="H2592" s="11" t="str">
        <f>IFERROR(__xludf.DUMMYFUNCTION("REGEXREPLACE(G2592, ""[^0-9a-zA-Z .'Ã]"","""")"),"Aaliyah")</f>
        <v>Aaliyah</v>
      </c>
      <c r="I2592" s="11" t="s">
        <v>8393</v>
      </c>
      <c r="J2592" s="9">
        <v>43991.0</v>
      </c>
      <c r="K2592" s="9" t="s">
        <v>8394</v>
      </c>
      <c r="L2592" s="9">
        <v>695.0</v>
      </c>
      <c r="M2592" s="9" t="s">
        <v>24</v>
      </c>
      <c r="N2592" s="9" t="s">
        <v>25</v>
      </c>
      <c r="O2592" s="10">
        <v>3.5E7</v>
      </c>
      <c r="P2592" s="10">
        <f t="shared" si="2"/>
        <v>0</v>
      </c>
      <c r="Q2592" s="12">
        <f t="shared" si="3"/>
        <v>4692196</v>
      </c>
      <c r="R2592" s="9">
        <v>2002.0</v>
      </c>
      <c r="S2592" s="9">
        <v>5.2</v>
      </c>
    </row>
    <row r="2593" ht="15.75" customHeight="1">
      <c r="A2593" s="21" t="s">
        <v>1301</v>
      </c>
      <c r="B2593" s="8" t="str">
        <f>IFERROR(__xludf.DUMMYFUNCTION("REGEXREPLACE(A2593, ""[^0-9a-zA-Z .'Ã]"","""")"),"Julie Anne Robinson")</f>
        <v>Julie Anne Robinson</v>
      </c>
      <c r="C2593" s="22">
        <v>123.0</v>
      </c>
      <c r="D2593" s="23">
        <v>6.2933793E7</v>
      </c>
      <c r="E2593" s="22" t="s">
        <v>8395</v>
      </c>
      <c r="F2593" s="9">
        <f t="shared" si="1"/>
        <v>4</v>
      </c>
      <c r="G2593" s="22" t="s">
        <v>6200</v>
      </c>
      <c r="H2593" s="11" t="str">
        <f>IFERROR(__xludf.DUMMYFUNCTION("REGEXREPLACE(G2593, ""[^0-9a-zA-Z .'Ã]"","""")"),"Kelly Preston")</f>
        <v>Kelly Preston</v>
      </c>
      <c r="I2593" s="24" t="s">
        <v>8396</v>
      </c>
      <c r="J2593" s="22">
        <v>62421.0</v>
      </c>
      <c r="K2593" s="22" t="s">
        <v>8397</v>
      </c>
      <c r="L2593" s="22">
        <v>185.0</v>
      </c>
      <c r="M2593" s="22" t="s">
        <v>24</v>
      </c>
      <c r="N2593" s="22" t="s">
        <v>25</v>
      </c>
      <c r="O2593" s="23">
        <v>2.0E7</v>
      </c>
      <c r="P2593" s="10">
        <f t="shared" si="2"/>
        <v>42933793</v>
      </c>
      <c r="Q2593" s="12">
        <f t="shared" si="3"/>
        <v>0</v>
      </c>
      <c r="R2593" s="22">
        <v>2010.0</v>
      </c>
      <c r="S2593" s="22">
        <v>5.8</v>
      </c>
    </row>
    <row r="2594" ht="15.75" customHeight="1">
      <c r="A2594" s="7" t="s">
        <v>6885</v>
      </c>
      <c r="B2594" s="8" t="str">
        <f>IFERROR(__xludf.DUMMYFUNCTION("REGEXREPLACE(A2594, ""[^0-9a-zA-Z .'Ã]"","""")"),"Andrew Stanton")</f>
        <v>Andrew Stanton</v>
      </c>
      <c r="C2594" s="9">
        <v>301.0</v>
      </c>
      <c r="D2594" s="10">
        <v>3.8083887E8</v>
      </c>
      <c r="E2594" s="9" t="s">
        <v>1813</v>
      </c>
      <c r="F2594" s="9">
        <f t="shared" si="1"/>
        <v>4</v>
      </c>
      <c r="G2594" s="9" t="s">
        <v>4010</v>
      </c>
      <c r="H2594" s="11" t="str">
        <f>IFERROR(__xludf.DUMMYFUNCTION("REGEXREPLACE(G2594, ""[^0-9a-zA-Z .'Ã]"","""")"),"Alexander Gould")</f>
        <v>Alexander Gould</v>
      </c>
      <c r="I2594" s="11" t="s">
        <v>8398</v>
      </c>
      <c r="J2594" s="9">
        <v>692482.0</v>
      </c>
      <c r="K2594" s="9" t="s">
        <v>8399</v>
      </c>
      <c r="L2594" s="9">
        <v>866.0</v>
      </c>
      <c r="M2594" s="9" t="s">
        <v>24</v>
      </c>
      <c r="N2594" s="9" t="s">
        <v>25</v>
      </c>
      <c r="O2594" s="10">
        <v>9.4E7</v>
      </c>
      <c r="P2594" s="10">
        <f t="shared" si="2"/>
        <v>286838870</v>
      </c>
      <c r="Q2594" s="12">
        <f t="shared" si="3"/>
        <v>0</v>
      </c>
      <c r="R2594" s="9">
        <v>2003.0</v>
      </c>
      <c r="S2594" s="9">
        <v>8.2</v>
      </c>
    </row>
    <row r="2595" ht="15.75" customHeight="1">
      <c r="A2595" s="21" t="s">
        <v>5846</v>
      </c>
      <c r="B2595" s="8" t="str">
        <f>IFERROR(__xludf.DUMMYFUNCTION("REGEXREPLACE(A2595, ""[^0-9a-zA-Z .'Ã]"","""")"),"John Landis")</f>
        <v>John Landis</v>
      </c>
      <c r="C2595" s="22">
        <v>94.0</v>
      </c>
      <c r="D2595" s="23">
        <v>1.416E8</v>
      </c>
      <c r="E2595" s="22" t="s">
        <v>137</v>
      </c>
      <c r="F2595" s="9">
        <f t="shared" si="1"/>
        <v>1</v>
      </c>
      <c r="G2595" s="22" t="s">
        <v>8400</v>
      </c>
      <c r="H2595" s="11" t="str">
        <f>IFERROR(__xludf.DUMMYFUNCTION("REGEXREPLACE(G2595, ""[^0-9a-zA-Z .'Ã]"","""")"),"John Belushi")</f>
        <v>John Belushi</v>
      </c>
      <c r="I2595" s="24" t="s">
        <v>8401</v>
      </c>
      <c r="J2595" s="22">
        <v>90177.0</v>
      </c>
      <c r="K2595" s="22" t="s">
        <v>8402</v>
      </c>
      <c r="L2595" s="22">
        <v>257.0</v>
      </c>
      <c r="M2595" s="22" t="s">
        <v>24</v>
      </c>
      <c r="N2595" s="22" t="s">
        <v>25</v>
      </c>
      <c r="O2595" s="23">
        <v>3000000.0</v>
      </c>
      <c r="P2595" s="10">
        <f t="shared" si="2"/>
        <v>138600000</v>
      </c>
      <c r="Q2595" s="12">
        <f t="shared" si="3"/>
        <v>0</v>
      </c>
      <c r="R2595" s="22">
        <v>1978.0</v>
      </c>
      <c r="S2595" s="22">
        <v>7.6</v>
      </c>
    </row>
    <row r="2596" ht="15.75" customHeight="1">
      <c r="A2596" s="13" t="s">
        <v>8403</v>
      </c>
      <c r="B2596" s="8" t="str">
        <f>IFERROR(__xludf.DUMMYFUNCTION("REGEXREPLACE(A2596, ""[^0-9a-zA-Z .'Ã]"","""")"),"Adam Rifkin")</f>
        <v>Adam Rifkin</v>
      </c>
      <c r="C2596" s="14">
        <v>42.0</v>
      </c>
      <c r="D2596" s="15">
        <v>4193025.0</v>
      </c>
      <c r="E2596" s="14" t="s">
        <v>321</v>
      </c>
      <c r="F2596" s="9">
        <f t="shared" si="1"/>
        <v>2</v>
      </c>
      <c r="G2596" s="14" t="s">
        <v>8102</v>
      </c>
      <c r="H2596" s="11" t="str">
        <f>IFERROR(__xludf.DUMMYFUNCTION("REGEXREPLACE(G2596, ""[^0-9a-zA-Z .'Ã]"","""")"),"Natasha Lyonne")</f>
        <v>Natasha Lyonne</v>
      </c>
      <c r="I2596" s="16" t="s">
        <v>8404</v>
      </c>
      <c r="J2596" s="14">
        <v>30682.0</v>
      </c>
      <c r="K2596" s="14" t="s">
        <v>8405</v>
      </c>
      <c r="L2596" s="14">
        <v>194.0</v>
      </c>
      <c r="M2596" s="14" t="s">
        <v>24</v>
      </c>
      <c r="N2596" s="14" t="s">
        <v>25</v>
      </c>
      <c r="O2596" s="15">
        <v>1.5E7</v>
      </c>
      <c r="P2596" s="10">
        <f t="shared" si="2"/>
        <v>0</v>
      </c>
      <c r="Q2596" s="12">
        <f t="shared" si="3"/>
        <v>10806975</v>
      </c>
      <c r="R2596" s="14">
        <v>1999.0</v>
      </c>
      <c r="S2596" s="14">
        <v>6.8</v>
      </c>
    </row>
    <row r="2597" ht="15.75" customHeight="1">
      <c r="A2597" s="17" t="s">
        <v>7392</v>
      </c>
      <c r="B2597" s="8" t="str">
        <f>IFERROR(__xludf.DUMMYFUNCTION("REGEXREPLACE(A2597, ""[^0-9a-zA-Z .'Ã]"","""")"),"Peter Howitt")</f>
        <v>Peter Howitt</v>
      </c>
      <c r="C2597" s="18">
        <v>123.0</v>
      </c>
      <c r="D2597" s="19">
        <v>1.0965209E7</v>
      </c>
      <c r="E2597" s="18" t="s">
        <v>501</v>
      </c>
      <c r="F2597" s="9">
        <f t="shared" si="1"/>
        <v>4</v>
      </c>
      <c r="G2597" s="18" t="s">
        <v>8406</v>
      </c>
      <c r="H2597" s="11" t="str">
        <f>IFERROR(__xludf.DUMMYFUNCTION("REGEXREPLACE(G2597, ""[^0-9a-zA-Z .'Ã]"","""")"),"Tyler Labine")</f>
        <v>Tyler Labine</v>
      </c>
      <c r="I2597" s="20" t="s">
        <v>8407</v>
      </c>
      <c r="J2597" s="18">
        <v>25558.0</v>
      </c>
      <c r="K2597" s="18" t="s">
        <v>8408</v>
      </c>
      <c r="L2597" s="18">
        <v>221.0</v>
      </c>
      <c r="M2597" s="18" t="s">
        <v>24</v>
      </c>
      <c r="N2597" s="18" t="s">
        <v>25</v>
      </c>
      <c r="O2597" s="19">
        <v>3.0E7</v>
      </c>
      <c r="P2597" s="10">
        <f t="shared" si="2"/>
        <v>0</v>
      </c>
      <c r="Q2597" s="12">
        <f t="shared" si="3"/>
        <v>19034791</v>
      </c>
      <c r="R2597" s="18">
        <v>2001.0</v>
      </c>
      <c r="S2597" s="18">
        <v>6.1</v>
      </c>
    </row>
    <row r="2598" ht="15.75" customHeight="1">
      <c r="A2598" s="7" t="s">
        <v>797</v>
      </c>
      <c r="B2598" s="8" t="str">
        <f>IFERROR(__xludf.DUMMYFUNCTION("REGEXREPLACE(A2598, ""[^0-9a-zA-Z .'Ã]"","""")"),"Will Finn")</f>
        <v>Will Finn</v>
      </c>
      <c r="C2598" s="9">
        <v>104.0</v>
      </c>
      <c r="D2598" s="10">
        <v>5.0026353E7</v>
      </c>
      <c r="E2598" s="9" t="s">
        <v>8409</v>
      </c>
      <c r="F2598" s="9">
        <f t="shared" si="1"/>
        <v>5</v>
      </c>
      <c r="G2598" s="9" t="s">
        <v>453</v>
      </c>
      <c r="H2598" s="11" t="str">
        <f>IFERROR(__xludf.DUMMYFUNCTION("REGEXREPLACE(G2598, ""[^0-9a-zA-Z .'Ã]"","""")"),"Steve Buscemi")</f>
        <v>Steve Buscemi</v>
      </c>
      <c r="I2598" s="11" t="s">
        <v>8410</v>
      </c>
      <c r="J2598" s="9">
        <v>13581.0</v>
      </c>
      <c r="K2598" s="9" t="s">
        <v>8411</v>
      </c>
      <c r="L2598" s="9">
        <v>88.0</v>
      </c>
      <c r="M2598" s="9" t="s">
        <v>24</v>
      </c>
      <c r="N2598" s="9" t="s">
        <v>25</v>
      </c>
      <c r="O2598" s="10">
        <v>1.1E8</v>
      </c>
      <c r="P2598" s="10">
        <f t="shared" si="2"/>
        <v>0</v>
      </c>
      <c r="Q2598" s="12">
        <f t="shared" si="3"/>
        <v>59973647</v>
      </c>
      <c r="R2598" s="9">
        <v>2004.0</v>
      </c>
      <c r="S2598" s="9">
        <v>5.4</v>
      </c>
    </row>
    <row r="2599" ht="15.75" customHeight="1">
      <c r="A2599" s="21" t="s">
        <v>3437</v>
      </c>
      <c r="B2599" s="8" t="str">
        <f>IFERROR(__xludf.DUMMYFUNCTION("REGEXREPLACE(A2599, ""[^0-9a-zA-Z .'Ã]"","""")"),"Joe Roth")</f>
        <v>Joe Roth</v>
      </c>
      <c r="C2599" s="22">
        <v>105.0</v>
      </c>
      <c r="D2599" s="23">
        <v>7.3701902E7</v>
      </c>
      <c r="E2599" s="22" t="s">
        <v>857</v>
      </c>
      <c r="F2599" s="9">
        <f t="shared" si="1"/>
        <v>2</v>
      </c>
      <c r="G2599" s="22" t="s">
        <v>390</v>
      </c>
      <c r="H2599" s="11" t="str">
        <f>IFERROR(__xludf.DUMMYFUNCTION("REGEXREPLACE(G2599, ""[^0-9a-zA-Z .'Ã]"","""")"),"Jamie Lee Curtis")</f>
        <v>Jamie Lee Curtis</v>
      </c>
      <c r="I2599" s="24" t="s">
        <v>8412</v>
      </c>
      <c r="J2599" s="22">
        <v>27548.0</v>
      </c>
      <c r="K2599" s="22" t="s">
        <v>8413</v>
      </c>
      <c r="L2599" s="22">
        <v>209.0</v>
      </c>
      <c r="M2599" s="22" t="s">
        <v>24</v>
      </c>
      <c r="N2599" s="22" t="s">
        <v>25</v>
      </c>
      <c r="O2599" s="23">
        <v>6.0E7</v>
      </c>
      <c r="P2599" s="10">
        <f t="shared" si="2"/>
        <v>13701902</v>
      </c>
      <c r="Q2599" s="12">
        <f t="shared" si="3"/>
        <v>0</v>
      </c>
      <c r="R2599" s="22">
        <v>2004.0</v>
      </c>
      <c r="S2599" s="22">
        <v>5.2</v>
      </c>
    </row>
    <row r="2600" ht="15.75" customHeight="1">
      <c r="A2600" s="17" t="s">
        <v>1415</v>
      </c>
      <c r="B2600" s="8" t="str">
        <f>IFERROR(__xludf.DUMMYFUNCTION("REGEXREPLACE(A2600, ""[^0-9a-zA-Z .'Ã]"","""")"),"Robert Altman")</f>
        <v>Robert Altman</v>
      </c>
      <c r="C2600" s="18">
        <v>211.0</v>
      </c>
      <c r="D2600" s="19">
        <v>2.0338609E7</v>
      </c>
      <c r="E2600" s="18" t="s">
        <v>462</v>
      </c>
      <c r="F2600" s="9">
        <f t="shared" si="1"/>
        <v>3</v>
      </c>
      <c r="G2600" s="18" t="s">
        <v>1941</v>
      </c>
      <c r="H2600" s="11" t="str">
        <f>IFERROR(__xludf.DUMMYFUNCTION("REGEXREPLACE(G2600, ""[^0-9a-zA-Z .'Ã]"","""")"),"Meryl Streep")</f>
        <v>Meryl Streep</v>
      </c>
      <c r="I2600" s="20" t="s">
        <v>8414</v>
      </c>
      <c r="J2600" s="18">
        <v>19655.0</v>
      </c>
      <c r="K2600" s="18" t="s">
        <v>8415</v>
      </c>
      <c r="L2600" s="18">
        <v>280.0</v>
      </c>
      <c r="M2600" s="18" t="s">
        <v>24</v>
      </c>
      <c r="N2600" s="18" t="s">
        <v>25</v>
      </c>
      <c r="O2600" s="19">
        <v>1.0E7</v>
      </c>
      <c r="P2600" s="10">
        <f t="shared" si="2"/>
        <v>10338609</v>
      </c>
      <c r="Q2600" s="12">
        <f t="shared" si="3"/>
        <v>0</v>
      </c>
      <c r="R2600" s="18">
        <v>2006.0</v>
      </c>
      <c r="S2600" s="18">
        <v>6.8</v>
      </c>
    </row>
    <row r="2601" ht="15.75" customHeight="1">
      <c r="A2601" s="21" t="s">
        <v>8416</v>
      </c>
      <c r="B2601" s="8" t="str">
        <f>IFERROR(__xludf.DUMMYFUNCTION("REGEXREPLACE(A2601, ""[^0-9a-zA-Z .'Ã]"","""")"),"Joseph Zito")</f>
        <v>Joseph Zito</v>
      </c>
      <c r="C2601" s="22">
        <v>166.0</v>
      </c>
      <c r="D2601" s="23">
        <v>3.26E7</v>
      </c>
      <c r="E2601" s="22" t="s">
        <v>306</v>
      </c>
      <c r="F2601" s="9">
        <f t="shared" si="1"/>
        <v>2</v>
      </c>
      <c r="G2601" s="22" t="s">
        <v>8417</v>
      </c>
      <c r="H2601" s="11" t="str">
        <f>IFERROR(__xludf.DUMMYFUNCTION("REGEXREPLACE(G2601, ""[^0-9a-zA-Z .'Ã]"","""")"),"Judie Aronson")</f>
        <v>Judie Aronson</v>
      </c>
      <c r="I2601" s="24" t="s">
        <v>8418</v>
      </c>
      <c r="J2601" s="22">
        <v>29488.0</v>
      </c>
      <c r="K2601" s="22" t="s">
        <v>8419</v>
      </c>
      <c r="L2601" s="22">
        <v>326.0</v>
      </c>
      <c r="M2601" s="22" t="s">
        <v>24</v>
      </c>
      <c r="N2601" s="22" t="s">
        <v>25</v>
      </c>
      <c r="O2601" s="23">
        <v>1800000.0</v>
      </c>
      <c r="P2601" s="10">
        <f t="shared" si="2"/>
        <v>30800000</v>
      </c>
      <c r="Q2601" s="12">
        <f t="shared" si="3"/>
        <v>0</v>
      </c>
      <c r="R2601" s="22">
        <v>1984.0</v>
      </c>
      <c r="S2601" s="22">
        <v>5.9</v>
      </c>
    </row>
    <row r="2602" ht="15.75" customHeight="1">
      <c r="A2602" s="21" t="s">
        <v>1740</v>
      </c>
      <c r="B2602" s="8" t="str">
        <f>IFERROR(__xludf.DUMMYFUNCTION("REGEXREPLACE(A2602, ""[^0-9a-zA-Z .'Ã]"","""")"),"Woody Allen")</f>
        <v>Woody Allen</v>
      </c>
      <c r="C2602" s="22">
        <v>128.0</v>
      </c>
      <c r="D2602" s="23">
        <v>1.707123E7</v>
      </c>
      <c r="E2602" s="22" t="s">
        <v>440</v>
      </c>
      <c r="F2602" s="9">
        <f t="shared" si="1"/>
        <v>2</v>
      </c>
      <c r="G2602" s="22" t="s">
        <v>1740</v>
      </c>
      <c r="H2602" s="11" t="str">
        <f>IFERROR(__xludf.DUMMYFUNCTION("REGEXREPLACE(G2602, ""[^0-9a-zA-Z .'Ã]"","""")"),"Woody Allen")</f>
        <v>Woody Allen</v>
      </c>
      <c r="I2602" s="24" t="s">
        <v>8420</v>
      </c>
      <c r="J2602" s="22">
        <v>31169.0</v>
      </c>
      <c r="K2602" s="22" t="s">
        <v>8421</v>
      </c>
      <c r="L2602" s="22">
        <v>192.0</v>
      </c>
      <c r="M2602" s="22" t="s">
        <v>24</v>
      </c>
      <c r="N2602" s="22" t="s">
        <v>25</v>
      </c>
      <c r="O2602" s="23">
        <v>1.8E7</v>
      </c>
      <c r="P2602" s="10">
        <f t="shared" si="2"/>
        <v>0</v>
      </c>
      <c r="Q2602" s="12">
        <f t="shared" si="3"/>
        <v>928770</v>
      </c>
      <c r="R2602" s="22">
        <v>2000.0</v>
      </c>
      <c r="S2602" s="22">
        <v>6.7</v>
      </c>
    </row>
    <row r="2603" ht="15.75" customHeight="1">
      <c r="A2603" s="13" t="s">
        <v>8422</v>
      </c>
      <c r="B2603" s="8" t="str">
        <f>IFERROR(__xludf.DUMMYFUNCTION("REGEXREPLACE(A2603, ""[^0-9a-zA-Z .'Ã]"","""")"),"Michael J. Bassett")</f>
        <v>Michael J. Bassett</v>
      </c>
      <c r="C2603" s="14">
        <v>173.0</v>
      </c>
      <c r="D2603" s="15">
        <v>1.7529157E7</v>
      </c>
      <c r="E2603" s="14" t="s">
        <v>8423</v>
      </c>
      <c r="F2603" s="9">
        <f t="shared" si="1"/>
        <v>5</v>
      </c>
      <c r="G2603" s="14" t="s">
        <v>4097</v>
      </c>
      <c r="H2603" s="11" t="str">
        <f>IFERROR(__xludf.DUMMYFUNCTION("REGEXREPLACE(G2603, ""[^0-9a-zA-Z .'Ã]"","""")"),"Radha Mitchell")</f>
        <v>Radha Mitchell</v>
      </c>
      <c r="I2603" s="16" t="s">
        <v>8424</v>
      </c>
      <c r="J2603" s="14">
        <v>49888.0</v>
      </c>
      <c r="K2603" s="14" t="s">
        <v>8425</v>
      </c>
      <c r="L2603" s="14">
        <v>220.0</v>
      </c>
      <c r="M2603" s="14" t="s">
        <v>24</v>
      </c>
      <c r="N2603" s="14" t="s">
        <v>608</v>
      </c>
      <c r="O2603" s="15">
        <v>2.0E7</v>
      </c>
      <c r="P2603" s="10">
        <f t="shared" si="2"/>
        <v>0</v>
      </c>
      <c r="Q2603" s="12">
        <f t="shared" si="3"/>
        <v>2470843</v>
      </c>
      <c r="R2603" s="14">
        <v>2012.0</v>
      </c>
      <c r="S2603" s="14">
        <v>5.0</v>
      </c>
    </row>
    <row r="2604" ht="15.75" customHeight="1">
      <c r="A2604" s="7" t="s">
        <v>8426</v>
      </c>
      <c r="B2604" s="8" t="str">
        <f>IFERROR(__xludf.DUMMYFUNCTION("REGEXREPLACE(A2604, ""[^0-9a-zA-Z .'Ã]"","""")"),"Julian Schnabel")</f>
        <v>Julian Schnabel</v>
      </c>
      <c r="C2604" s="9">
        <v>42.0</v>
      </c>
      <c r="D2604" s="10">
        <v>2961991.0</v>
      </c>
      <c r="E2604" s="9" t="s">
        <v>359</v>
      </c>
      <c r="F2604" s="9">
        <f t="shared" si="1"/>
        <v>2</v>
      </c>
      <c r="G2604" s="9" t="s">
        <v>772</v>
      </c>
      <c r="H2604" s="11" t="str">
        <f>IFERROR(__xludf.DUMMYFUNCTION("REGEXREPLACE(G2604, ""[^0-9a-zA-Z .'Ã]"","""")"),"Gary Oldman")</f>
        <v>Gary Oldman</v>
      </c>
      <c r="I2604" s="11" t="s">
        <v>8427</v>
      </c>
      <c r="J2604" s="9">
        <v>15885.0</v>
      </c>
      <c r="K2604" s="9" t="s">
        <v>8428</v>
      </c>
      <c r="L2604" s="9">
        <v>78.0</v>
      </c>
      <c r="M2604" s="9" t="s">
        <v>24</v>
      </c>
      <c r="N2604" s="9" t="s">
        <v>25</v>
      </c>
      <c r="O2604" s="10">
        <v>3300000.0</v>
      </c>
      <c r="P2604" s="10">
        <f t="shared" si="2"/>
        <v>0</v>
      </c>
      <c r="Q2604" s="12">
        <f t="shared" si="3"/>
        <v>338009</v>
      </c>
      <c r="R2604" s="9">
        <v>1996.0</v>
      </c>
      <c r="S2604" s="9">
        <v>6.9</v>
      </c>
    </row>
    <row r="2605" ht="15.75" customHeight="1">
      <c r="A2605" s="25" t="s">
        <v>3716</v>
      </c>
      <c r="B2605" s="8" t="str">
        <f>IFERROR(__xludf.DUMMYFUNCTION("REGEXREPLACE(A2605, ""[^0-9a-zA-Z .'Ã]"","""")"),"Miguel Arteta")</f>
        <v>Miguel Arteta</v>
      </c>
      <c r="C2605" s="26">
        <v>107.0</v>
      </c>
      <c r="D2605" s="27">
        <v>1.4015786E7</v>
      </c>
      <c r="E2605" s="26" t="s">
        <v>232</v>
      </c>
      <c r="F2605" s="9">
        <f t="shared" si="1"/>
        <v>2</v>
      </c>
      <c r="G2605" s="26" t="s">
        <v>2509</v>
      </c>
      <c r="H2605" s="11" t="str">
        <f>IFERROR(__xludf.DUMMYFUNCTION("REGEXREPLACE(G2605, ""[^0-9a-zA-Z .'Ã]"","""")"),"Jake Gyllenhaal")</f>
        <v>Jake Gyllenhaal</v>
      </c>
      <c r="I2605" s="28" t="s">
        <v>8429</v>
      </c>
      <c r="J2605" s="26">
        <v>37952.0</v>
      </c>
      <c r="K2605" s="26" t="s">
        <v>8430</v>
      </c>
      <c r="L2605" s="26">
        <v>298.0</v>
      </c>
      <c r="M2605" s="26" t="s">
        <v>24</v>
      </c>
      <c r="N2605" s="26" t="s">
        <v>25</v>
      </c>
      <c r="O2605" s="27">
        <v>5000000.0</v>
      </c>
      <c r="P2605" s="10">
        <f t="shared" si="2"/>
        <v>9015786</v>
      </c>
      <c r="Q2605" s="12">
        <f t="shared" si="3"/>
        <v>0</v>
      </c>
      <c r="R2605" s="26">
        <v>2002.0</v>
      </c>
      <c r="S2605" s="26">
        <v>6.5</v>
      </c>
    </row>
    <row r="2606" ht="15.75" customHeight="1">
      <c r="A2606" s="25" t="s">
        <v>928</v>
      </c>
      <c r="B2606" s="8" t="str">
        <f>IFERROR(__xludf.DUMMYFUNCTION("REGEXREPLACE(A2606, ""[^0-9a-zA-Z .'Ã]"","""")"),"Rob Marshall")</f>
        <v>Rob Marshall</v>
      </c>
      <c r="C2606" s="26">
        <v>321.0</v>
      </c>
      <c r="D2606" s="27">
        <v>1.27997349E8</v>
      </c>
      <c r="E2606" s="26" t="s">
        <v>8431</v>
      </c>
      <c r="F2606" s="9">
        <f t="shared" si="1"/>
        <v>5</v>
      </c>
      <c r="G2606" s="26" t="s">
        <v>85</v>
      </c>
      <c r="H2606" s="11" t="str">
        <f>IFERROR(__xludf.DUMMYFUNCTION("REGEXREPLACE(G2606, ""[^0-9a-zA-Z .'Ã]"","""")"),"Johnny Depp")</f>
        <v>Johnny Depp</v>
      </c>
      <c r="I2606" s="28" t="s">
        <v>8432</v>
      </c>
      <c r="J2606" s="26">
        <v>101178.0</v>
      </c>
      <c r="K2606" s="26" t="s">
        <v>8433</v>
      </c>
      <c r="L2606" s="26">
        <v>779.0</v>
      </c>
      <c r="M2606" s="26" t="s">
        <v>24</v>
      </c>
      <c r="N2606" s="26" t="s">
        <v>25</v>
      </c>
      <c r="O2606" s="27">
        <v>5.0E7</v>
      </c>
      <c r="P2606" s="10">
        <f t="shared" si="2"/>
        <v>77997349</v>
      </c>
      <c r="Q2606" s="12">
        <f t="shared" si="3"/>
        <v>0</v>
      </c>
      <c r="R2606" s="26">
        <v>2014.0</v>
      </c>
      <c r="S2606" s="26">
        <v>6.0</v>
      </c>
    </row>
    <row r="2607" ht="15.75" customHeight="1">
      <c r="A2607" s="21" t="s">
        <v>2997</v>
      </c>
      <c r="B2607" s="8" t="str">
        <f>IFERROR(__xludf.DUMMYFUNCTION("REGEXREPLACE(A2607, ""[^0-9a-zA-Z .'Ã]"","""")"),"Chris Columbus")</f>
        <v>Chris Columbus</v>
      </c>
      <c r="C2607" s="22">
        <v>65.0</v>
      </c>
      <c r="D2607" s="23">
        <v>9.1030827E7</v>
      </c>
      <c r="E2607" s="22" t="s">
        <v>454</v>
      </c>
      <c r="F2607" s="9">
        <f t="shared" si="1"/>
        <v>2</v>
      </c>
      <c r="G2607" s="22" t="s">
        <v>533</v>
      </c>
      <c r="H2607" s="11" t="str">
        <f>IFERROR(__xludf.DUMMYFUNCTION("REGEXREPLACE(G2607, ""[^0-9a-zA-Z .'Ã]"","""")"),"Julia Roberts")</f>
        <v>Julia Roberts</v>
      </c>
      <c r="I2607" s="24" t="s">
        <v>8434</v>
      </c>
      <c r="J2607" s="22">
        <v>46482.0</v>
      </c>
      <c r="K2607" s="22" t="s">
        <v>8435</v>
      </c>
      <c r="L2607" s="22">
        <v>252.0</v>
      </c>
      <c r="M2607" s="22" t="s">
        <v>24</v>
      </c>
      <c r="N2607" s="22" t="s">
        <v>25</v>
      </c>
      <c r="O2607" s="23">
        <v>5.0E7</v>
      </c>
      <c r="P2607" s="10">
        <f t="shared" si="2"/>
        <v>41030827</v>
      </c>
      <c r="Q2607" s="12">
        <f t="shared" si="3"/>
        <v>0</v>
      </c>
      <c r="R2607" s="22">
        <v>1998.0</v>
      </c>
      <c r="S2607" s="22">
        <v>6.7</v>
      </c>
    </row>
    <row r="2608" ht="15.75" customHeight="1">
      <c r="A2608" s="21" t="s">
        <v>4920</v>
      </c>
      <c r="B2608" s="8" t="str">
        <f>IFERROR(__xludf.DUMMYFUNCTION("REGEXREPLACE(A2608, ""[^0-9a-zA-Z .'Ã]"","""")"),"Luke Greenfield")</f>
        <v>Luke Greenfield</v>
      </c>
      <c r="C2608" s="22">
        <v>75.0</v>
      </c>
      <c r="D2608" s="23">
        <v>5.5762229E7</v>
      </c>
      <c r="E2608" s="22" t="s">
        <v>3542</v>
      </c>
      <c r="F2608" s="9">
        <f t="shared" si="1"/>
        <v>2</v>
      </c>
      <c r="G2608" s="22" t="s">
        <v>1221</v>
      </c>
      <c r="H2608" s="11" t="str">
        <f>IFERROR(__xludf.DUMMYFUNCTION("REGEXREPLACE(G2608, ""[^0-9a-zA-Z .'Ã]"","""")"),"Louis Lombardi")</f>
        <v>Louis Lombardi</v>
      </c>
      <c r="I2608" s="24" t="s">
        <v>8436</v>
      </c>
      <c r="J2608" s="22">
        <v>47383.0</v>
      </c>
      <c r="K2608" s="22" t="s">
        <v>8437</v>
      </c>
      <c r="L2608" s="22">
        <v>132.0</v>
      </c>
      <c r="M2608" s="22" t="s">
        <v>24</v>
      </c>
      <c r="N2608" s="22" t="s">
        <v>25</v>
      </c>
      <c r="O2608" s="23">
        <v>2.2E7</v>
      </c>
      <c r="P2608" s="10">
        <f t="shared" si="2"/>
        <v>33762229</v>
      </c>
      <c r="Q2608" s="12">
        <f t="shared" si="3"/>
        <v>0</v>
      </c>
      <c r="R2608" s="22">
        <v>2001.0</v>
      </c>
      <c r="S2608" s="22">
        <v>4.8</v>
      </c>
    </row>
    <row r="2609" ht="15.75" customHeight="1">
      <c r="A2609" s="21" t="s">
        <v>8438</v>
      </c>
      <c r="B2609" s="8" t="str">
        <f>IFERROR(__xludf.DUMMYFUNCTION("REGEXREPLACE(A2609, ""[^0-9a-zA-Z .'Ã]"","""")"),"Colin Higgins")</f>
        <v>Colin Higgins</v>
      </c>
      <c r="C2609" s="22">
        <v>11.0</v>
      </c>
      <c r="D2609" s="23">
        <v>6.97E7</v>
      </c>
      <c r="E2609" s="22" t="s">
        <v>2468</v>
      </c>
      <c r="F2609" s="9">
        <f t="shared" si="1"/>
        <v>2</v>
      </c>
      <c r="G2609" s="22" t="s">
        <v>510</v>
      </c>
      <c r="H2609" s="11" t="str">
        <f>IFERROR(__xludf.DUMMYFUNCTION("REGEXREPLACE(G2609, ""[^0-9a-zA-Z .'Ã]"","""")"),"Dolly Parton")</f>
        <v>Dolly Parton</v>
      </c>
      <c r="I2609" s="24" t="s">
        <v>8439</v>
      </c>
      <c r="J2609" s="22">
        <v>7748.0</v>
      </c>
      <c r="K2609" s="22" t="s">
        <v>8440</v>
      </c>
      <c r="L2609" s="22">
        <v>48.0</v>
      </c>
      <c r="M2609" s="22" t="s">
        <v>24</v>
      </c>
      <c r="N2609" s="22" t="s">
        <v>25</v>
      </c>
      <c r="O2609" s="23">
        <v>3.5E7</v>
      </c>
      <c r="P2609" s="10">
        <f t="shared" si="2"/>
        <v>34700000</v>
      </c>
      <c r="Q2609" s="12">
        <f t="shared" si="3"/>
        <v>0</v>
      </c>
      <c r="R2609" s="22">
        <v>1982.0</v>
      </c>
      <c r="S2609" s="22">
        <v>5.8</v>
      </c>
    </row>
    <row r="2610" ht="15.75" customHeight="1">
      <c r="A2610" s="17" t="s">
        <v>529</v>
      </c>
      <c r="B2610" s="8" t="str">
        <f>IFERROR(__xludf.DUMMYFUNCTION("REGEXREPLACE(A2610, ""[^0-9a-zA-Z .'Ã]"","""")"),"Joel Schumacher")</f>
        <v>Joel Schumacher</v>
      </c>
      <c r="C2610" s="18">
        <v>216.0</v>
      </c>
      <c r="D2610" s="19">
        <v>4.6563158E7</v>
      </c>
      <c r="E2610" s="18" t="s">
        <v>316</v>
      </c>
      <c r="F2610" s="9">
        <f t="shared" si="1"/>
        <v>2</v>
      </c>
      <c r="G2610" s="18" t="s">
        <v>4097</v>
      </c>
      <c r="H2610" s="11" t="str">
        <f>IFERROR(__xludf.DUMMYFUNCTION("REGEXREPLACE(G2610, ""[^0-9a-zA-Z .'Ã]"","""")"),"Radha Mitchell")</f>
        <v>Radha Mitchell</v>
      </c>
      <c r="I2610" s="20" t="s">
        <v>8441</v>
      </c>
      <c r="J2610" s="18">
        <v>207934.0</v>
      </c>
      <c r="K2610" s="18" t="s">
        <v>8442</v>
      </c>
      <c r="L2610" s="18">
        <v>629.0</v>
      </c>
      <c r="M2610" s="18" t="s">
        <v>24</v>
      </c>
      <c r="N2610" s="18" t="s">
        <v>25</v>
      </c>
      <c r="O2610" s="19">
        <v>1.3E7</v>
      </c>
      <c r="P2610" s="10">
        <f t="shared" si="2"/>
        <v>33563158</v>
      </c>
      <c r="Q2610" s="12">
        <f t="shared" si="3"/>
        <v>0</v>
      </c>
      <c r="R2610" s="18">
        <v>2002.0</v>
      </c>
      <c r="S2610" s="18">
        <v>7.1</v>
      </c>
    </row>
    <row r="2611" ht="15.75" customHeight="1">
      <c r="A2611" s="7" t="s">
        <v>2768</v>
      </c>
      <c r="B2611" s="8" t="str">
        <f>IFERROR(__xludf.DUMMYFUNCTION("REGEXREPLACE(A2611, ""[^0-9a-zA-Z .'Ã]"","""")"),"Tony Goldwyn")</f>
        <v>Tony Goldwyn</v>
      </c>
      <c r="C2611" s="9">
        <v>92.0</v>
      </c>
      <c r="D2611" s="10">
        <v>2.7338033E7</v>
      </c>
      <c r="E2611" s="9" t="s">
        <v>89</v>
      </c>
      <c r="F2611" s="9">
        <f t="shared" si="1"/>
        <v>2</v>
      </c>
      <c r="G2611" s="9" t="s">
        <v>974</v>
      </c>
      <c r="H2611" s="11" t="str">
        <f>IFERROR(__xludf.DUMMYFUNCTION("REGEXREPLACE(G2611, ""[^0-9a-zA-Z .'Ã]"","""")"),"Hugh Jackman")</f>
        <v>Hugh Jackman</v>
      </c>
      <c r="I2611" s="11" t="s">
        <v>8443</v>
      </c>
      <c r="J2611" s="9">
        <v>19709.0</v>
      </c>
      <c r="K2611" s="9" t="s">
        <v>8444</v>
      </c>
      <c r="L2611" s="9">
        <v>167.0</v>
      </c>
      <c r="M2611" s="9" t="s">
        <v>24</v>
      </c>
      <c r="N2611" s="9" t="s">
        <v>25</v>
      </c>
      <c r="O2611" s="10">
        <v>2.3E7</v>
      </c>
      <c r="P2611" s="10">
        <f t="shared" si="2"/>
        <v>4338033</v>
      </c>
      <c r="Q2611" s="12">
        <f t="shared" si="3"/>
        <v>0</v>
      </c>
      <c r="R2611" s="9">
        <v>2001.0</v>
      </c>
      <c r="S2611" s="9">
        <v>6.1</v>
      </c>
    </row>
    <row r="2612" ht="15.75" customHeight="1">
      <c r="A2612" s="21" t="s">
        <v>4285</v>
      </c>
      <c r="B2612" s="8" t="str">
        <f>IFERROR(__xludf.DUMMYFUNCTION("REGEXREPLACE(A2612, ""[^0-9a-zA-Z .'Ã]"","""")"),"Jay Duplass")</f>
        <v>Jay Duplass</v>
      </c>
      <c r="C2612" s="22">
        <v>182.0</v>
      </c>
      <c r="D2612" s="23">
        <v>4244155.0</v>
      </c>
      <c r="E2612" s="22" t="s">
        <v>454</v>
      </c>
      <c r="F2612" s="9">
        <f t="shared" si="1"/>
        <v>2</v>
      </c>
      <c r="G2612" s="22" t="s">
        <v>642</v>
      </c>
      <c r="H2612" s="11" t="str">
        <f>IFERROR(__xludf.DUMMYFUNCTION("REGEXREPLACE(G2612, ""[^0-9a-zA-Z .'Ã]"","""")"),"Judy Greer")</f>
        <v>Judy Greer</v>
      </c>
      <c r="I2612" s="24" t="s">
        <v>8445</v>
      </c>
      <c r="J2612" s="22">
        <v>56005.0</v>
      </c>
      <c r="K2612" s="22" t="s">
        <v>8446</v>
      </c>
      <c r="L2612" s="22">
        <v>112.0</v>
      </c>
      <c r="M2612" s="22" t="s">
        <v>24</v>
      </c>
      <c r="N2612" s="22" t="s">
        <v>25</v>
      </c>
      <c r="O2612" s="23">
        <v>1.0E7</v>
      </c>
      <c r="P2612" s="10">
        <f t="shared" si="2"/>
        <v>0</v>
      </c>
      <c r="Q2612" s="12">
        <f t="shared" si="3"/>
        <v>5755845</v>
      </c>
      <c r="R2612" s="22">
        <v>2011.0</v>
      </c>
      <c r="S2612" s="22">
        <v>6.5</v>
      </c>
    </row>
    <row r="2613" ht="15.75" customHeight="1">
      <c r="A2613" s="25" t="s">
        <v>1816</v>
      </c>
      <c r="B2613" s="8" t="str">
        <f>IFERROR(__xludf.DUMMYFUNCTION("REGEXREPLACE(A2613, ""[^0-9a-zA-Z .'Ã]"","""")"),"Robert Redford")</f>
        <v>Robert Redford</v>
      </c>
      <c r="C2613" s="26">
        <v>125.0</v>
      </c>
      <c r="D2613" s="27">
        <v>3.0695227E7</v>
      </c>
      <c r="E2613" s="26" t="s">
        <v>8447</v>
      </c>
      <c r="F2613" s="9">
        <f t="shared" si="1"/>
        <v>3</v>
      </c>
      <c r="G2613" s="26" t="s">
        <v>585</v>
      </c>
      <c r="H2613" s="11" t="str">
        <f>IFERROR(__xludf.DUMMYFUNCTION("REGEXREPLACE(G2613, ""[^0-9a-zA-Z .'Ã]"","""")"),"Matt Damon")</f>
        <v>Matt Damon</v>
      </c>
      <c r="I2613" s="28" t="s">
        <v>8448</v>
      </c>
      <c r="J2613" s="26">
        <v>45296.0</v>
      </c>
      <c r="K2613" s="26" t="s">
        <v>8449</v>
      </c>
      <c r="L2613" s="26">
        <v>267.0</v>
      </c>
      <c r="M2613" s="26" t="s">
        <v>24</v>
      </c>
      <c r="N2613" s="26" t="s">
        <v>25</v>
      </c>
      <c r="O2613" s="27">
        <v>6.0E7</v>
      </c>
      <c r="P2613" s="10">
        <f t="shared" si="2"/>
        <v>0</v>
      </c>
      <c r="Q2613" s="12">
        <f t="shared" si="3"/>
        <v>29304773</v>
      </c>
      <c r="R2613" s="26">
        <v>2000.0</v>
      </c>
      <c r="S2613" s="26">
        <v>6.7</v>
      </c>
    </row>
    <row r="2614" ht="15.75" customHeight="1">
      <c r="A2614" s="17" t="s">
        <v>3586</v>
      </c>
      <c r="B2614" s="8" t="str">
        <f>IFERROR(__xludf.DUMMYFUNCTION("REGEXREPLACE(A2614, ""[^0-9a-zA-Z .'Ã]"","""")"),"Chris Noonan")</f>
        <v>Chris Noonan</v>
      </c>
      <c r="C2614" s="18">
        <v>124.0</v>
      </c>
      <c r="D2614" s="19">
        <v>2975649.0</v>
      </c>
      <c r="E2614" s="18" t="s">
        <v>887</v>
      </c>
      <c r="F2614" s="9">
        <f t="shared" si="1"/>
        <v>3</v>
      </c>
      <c r="G2614" s="18" t="s">
        <v>6817</v>
      </c>
      <c r="H2614" s="11" t="str">
        <f>IFERROR(__xludf.DUMMYFUNCTION("REGEXREPLACE(G2614, ""[^0-9a-zA-Z .'Ã]"","""")"),"Emily Watson")</f>
        <v>Emily Watson</v>
      </c>
      <c r="I2614" s="20" t="s">
        <v>8450</v>
      </c>
      <c r="J2614" s="18">
        <v>23864.0</v>
      </c>
      <c r="K2614" s="18" t="s">
        <v>8451</v>
      </c>
      <c r="L2614" s="18">
        <v>142.0</v>
      </c>
      <c r="M2614" s="18" t="s">
        <v>24</v>
      </c>
      <c r="N2614" s="18" t="s">
        <v>130</v>
      </c>
      <c r="O2614" s="19">
        <v>3.0E7</v>
      </c>
      <c r="P2614" s="10">
        <f t="shared" si="2"/>
        <v>0</v>
      </c>
      <c r="Q2614" s="12">
        <f t="shared" si="3"/>
        <v>27024351</v>
      </c>
      <c r="R2614" s="18">
        <v>2006.0</v>
      </c>
      <c r="S2614" s="18">
        <v>7.0</v>
      </c>
    </row>
    <row r="2615" ht="15.75" customHeight="1">
      <c r="A2615" s="21" t="s">
        <v>1588</v>
      </c>
      <c r="B2615" s="8" t="str">
        <f>IFERROR(__xludf.DUMMYFUNCTION("REGEXREPLACE(A2615, ""[^0-9a-zA-Z .'Ã]"","""")"),"Frank Oz")</f>
        <v>Frank Oz</v>
      </c>
      <c r="C2615" s="22">
        <v>63.0</v>
      </c>
      <c r="D2615" s="23">
        <v>3.8747385E7</v>
      </c>
      <c r="E2615" s="22" t="s">
        <v>8452</v>
      </c>
      <c r="F2615" s="9">
        <f t="shared" si="1"/>
        <v>4</v>
      </c>
      <c r="G2615" s="22" t="s">
        <v>470</v>
      </c>
      <c r="H2615" s="11" t="str">
        <f>IFERROR(__xludf.DUMMYFUNCTION("REGEXREPLACE(G2615, ""[^0-9a-zA-Z .'Ã]"","""")"),"Bill Murray")</f>
        <v>Bill Murray</v>
      </c>
      <c r="I2615" s="24" t="s">
        <v>8453</v>
      </c>
      <c r="J2615" s="22">
        <v>49349.0</v>
      </c>
      <c r="K2615" s="22" t="s">
        <v>8454</v>
      </c>
      <c r="L2615" s="22">
        <v>165.0</v>
      </c>
      <c r="M2615" s="22" t="s">
        <v>24</v>
      </c>
      <c r="N2615" s="22" t="s">
        <v>25</v>
      </c>
      <c r="O2615" s="23">
        <v>2.5E7</v>
      </c>
      <c r="P2615" s="10">
        <f t="shared" si="2"/>
        <v>13747385</v>
      </c>
      <c r="Q2615" s="12">
        <f t="shared" si="3"/>
        <v>0</v>
      </c>
      <c r="R2615" s="22">
        <v>1986.0</v>
      </c>
      <c r="S2615" s="22">
        <v>6.9</v>
      </c>
    </row>
    <row r="2616" ht="15.75" customHeight="1">
      <c r="A2616" s="21" t="s">
        <v>491</v>
      </c>
      <c r="B2616" s="8" t="str">
        <f>IFERROR(__xludf.DUMMYFUNCTION("REGEXREPLACE(A2616, ""[^0-9a-zA-Z .'Ã]"","""")"),"Chuck Russell")</f>
        <v>Chuck Russell</v>
      </c>
      <c r="C2616" s="22">
        <v>81.0</v>
      </c>
      <c r="D2616" s="23">
        <v>1.0122812E8</v>
      </c>
      <c r="E2616" s="22" t="s">
        <v>8455</v>
      </c>
      <c r="F2616" s="9">
        <f t="shared" si="1"/>
        <v>4</v>
      </c>
      <c r="G2616" s="22" t="s">
        <v>1181</v>
      </c>
      <c r="H2616" s="11" t="str">
        <f>IFERROR(__xludf.DUMMYFUNCTION("REGEXREPLACE(G2616, ""[^0-9a-zA-Z .'Ã]"","""")"),"Vanessa Williams")</f>
        <v>Vanessa Williams</v>
      </c>
      <c r="I2616" s="24" t="s">
        <v>8456</v>
      </c>
      <c r="J2616" s="22">
        <v>84424.0</v>
      </c>
      <c r="K2616" s="22" t="s">
        <v>8457</v>
      </c>
      <c r="L2616" s="22">
        <v>131.0</v>
      </c>
      <c r="M2616" s="22" t="s">
        <v>24</v>
      </c>
      <c r="N2616" s="22" t="s">
        <v>25</v>
      </c>
      <c r="O2616" s="23">
        <v>1.0E8</v>
      </c>
      <c r="P2616" s="10">
        <f t="shared" si="2"/>
        <v>1228120</v>
      </c>
      <c r="Q2616" s="12">
        <f t="shared" si="3"/>
        <v>0</v>
      </c>
      <c r="R2616" s="22">
        <v>1996.0</v>
      </c>
      <c r="S2616" s="22">
        <v>6.1</v>
      </c>
    </row>
    <row r="2617" ht="15.75" customHeight="1">
      <c r="A2617" s="21" t="s">
        <v>315</v>
      </c>
      <c r="B2617" s="8" t="str">
        <f>IFERROR(__xludf.DUMMYFUNCTION("REGEXREPLACE(A2617, ""[^0-9a-zA-Z .'Ã]"","""")"),"Steven Soderbergh")</f>
        <v>Steven Soderbergh</v>
      </c>
      <c r="C2617" s="22">
        <v>158.0</v>
      </c>
      <c r="D2617" s="23">
        <v>3.7339525E7</v>
      </c>
      <c r="E2617" s="22" t="s">
        <v>810</v>
      </c>
      <c r="F2617" s="9">
        <f t="shared" si="1"/>
        <v>4</v>
      </c>
      <c r="G2617" s="22" t="s">
        <v>590</v>
      </c>
      <c r="H2617" s="11" t="str">
        <f>IFERROR(__xludf.DUMMYFUNCTION("REGEXREPLACE(G2617, ""[^0-9a-zA-Z .'Ã]"","""")"),"Don Cheadle")</f>
        <v>Don Cheadle</v>
      </c>
      <c r="I2617" s="24" t="s">
        <v>8458</v>
      </c>
      <c r="J2617" s="22">
        <v>71708.0</v>
      </c>
      <c r="K2617" s="22" t="s">
        <v>8459</v>
      </c>
      <c r="L2617" s="22">
        <v>307.0</v>
      </c>
      <c r="M2617" s="22" t="s">
        <v>24</v>
      </c>
      <c r="N2617" s="22" t="s">
        <v>25</v>
      </c>
      <c r="O2617" s="23">
        <v>4.8E7</v>
      </c>
      <c r="P2617" s="10">
        <f t="shared" si="2"/>
        <v>0</v>
      </c>
      <c r="Q2617" s="12">
        <f t="shared" si="3"/>
        <v>10660475</v>
      </c>
      <c r="R2617" s="22">
        <v>1998.0</v>
      </c>
      <c r="S2617" s="22">
        <v>7.0</v>
      </c>
    </row>
    <row r="2618" ht="15.75" customHeight="1">
      <c r="A2618" s="13" t="s">
        <v>8460</v>
      </c>
      <c r="B2618" s="8" t="str">
        <f>IFERROR(__xludf.DUMMYFUNCTION("REGEXREPLACE(A2618, ""[^0-9a-zA-Z .'Ã]"","""")"),"Wilson Yip")</f>
        <v>Wilson Yip</v>
      </c>
      <c r="C2618" s="14">
        <v>78.0</v>
      </c>
      <c r="D2618" s="15">
        <v>2126511.0</v>
      </c>
      <c r="E2618" s="14" t="s">
        <v>8461</v>
      </c>
      <c r="F2618" s="9">
        <f t="shared" si="1"/>
        <v>4</v>
      </c>
      <c r="G2618" s="14" t="s">
        <v>8462</v>
      </c>
      <c r="H2618" s="11" t="str">
        <f>IFERROR(__xludf.DUMMYFUNCTION("REGEXREPLACE(G2618, ""[^0-9a-zA-Z .'Ã]"","""")"),"Mike Tyson")</f>
        <v>Mike Tyson</v>
      </c>
      <c r="I2618" s="16" t="s">
        <v>8463</v>
      </c>
      <c r="J2618" s="14">
        <v>21912.0</v>
      </c>
      <c r="K2618" s="14" t="s">
        <v>8464</v>
      </c>
      <c r="L2618" s="14">
        <v>45.0</v>
      </c>
      <c r="M2618" s="14" t="s">
        <v>156</v>
      </c>
      <c r="N2618" s="14" t="s">
        <v>157</v>
      </c>
      <c r="O2618" s="15">
        <v>3.6E7</v>
      </c>
      <c r="P2618" s="10">
        <f t="shared" si="2"/>
        <v>0</v>
      </c>
      <c r="Q2618" s="12">
        <f t="shared" si="3"/>
        <v>33873489</v>
      </c>
      <c r="R2618" s="14">
        <v>2015.0</v>
      </c>
      <c r="S2618" s="14">
        <v>7.2</v>
      </c>
    </row>
    <row r="2619" ht="15.75" customHeight="1">
      <c r="A2619" s="17" t="s">
        <v>860</v>
      </c>
      <c r="B2619" s="8" t="str">
        <f>IFERROR(__xludf.DUMMYFUNCTION("REGEXREPLACE(A2619, ""[^0-9a-zA-Z .'Ã]"","""")"),"Michael Bay")</f>
        <v>Michael Bay</v>
      </c>
      <c r="C2619" s="18">
        <v>63.0</v>
      </c>
      <c r="D2619" s="19">
        <v>6.5807024E7</v>
      </c>
      <c r="E2619" s="18" t="s">
        <v>2177</v>
      </c>
      <c r="F2619" s="9">
        <f t="shared" si="1"/>
        <v>5</v>
      </c>
      <c r="G2619" s="18" t="s">
        <v>2717</v>
      </c>
      <c r="H2619" s="11" t="str">
        <f>IFERROR(__xludf.DUMMYFUNCTION("REGEXREPLACE(G2619, ""[^0-9a-zA-Z .'Ã]"","""")"),"Will Smith")</f>
        <v>Will Smith</v>
      </c>
      <c r="I2619" s="20" t="s">
        <v>8465</v>
      </c>
      <c r="J2619" s="18">
        <v>172405.0</v>
      </c>
      <c r="K2619" s="18" t="s">
        <v>8466</v>
      </c>
      <c r="L2619" s="18">
        <v>203.0</v>
      </c>
      <c r="M2619" s="18" t="s">
        <v>24</v>
      </c>
      <c r="N2619" s="18" t="s">
        <v>25</v>
      </c>
      <c r="O2619" s="19">
        <v>1.9E7</v>
      </c>
      <c r="P2619" s="10">
        <f t="shared" si="2"/>
        <v>46807024</v>
      </c>
      <c r="Q2619" s="12">
        <f t="shared" si="3"/>
        <v>0</v>
      </c>
      <c r="R2619" s="18">
        <v>1995.0</v>
      </c>
      <c r="S2619" s="18">
        <v>6.8</v>
      </c>
    </row>
    <row r="2620" ht="15.75" customHeight="1">
      <c r="A2620" s="7" t="s">
        <v>444</v>
      </c>
      <c r="B2620" s="8" t="str">
        <f>IFERROR(__xludf.DUMMYFUNCTION("REGEXREPLACE(A2620, ""[^0-9a-zA-Z .'Ã]"","""")"),"Michael Winterbottom")</f>
        <v>Michael Winterbottom</v>
      </c>
      <c r="C2620" s="9">
        <v>225.0</v>
      </c>
      <c r="D2620" s="10">
        <v>214966.0</v>
      </c>
      <c r="E2620" s="9" t="s">
        <v>113</v>
      </c>
      <c r="F2620" s="9">
        <f t="shared" si="1"/>
        <v>3</v>
      </c>
      <c r="G2620" s="9" t="s">
        <v>395</v>
      </c>
      <c r="H2620" s="11" t="str">
        <f>IFERROR(__xludf.DUMMYFUNCTION("REGEXREPLACE(G2620, ""[^0-9a-zA-Z .'Ã]"","""")"),"Liam Aiken")</f>
        <v>Liam Aiken</v>
      </c>
      <c r="I2620" s="11" t="s">
        <v>8467</v>
      </c>
      <c r="J2620" s="9">
        <v>28483.0</v>
      </c>
      <c r="K2620" s="9" t="s">
        <v>8468</v>
      </c>
      <c r="L2620" s="9">
        <v>176.0</v>
      </c>
      <c r="M2620" s="9" t="s">
        <v>24</v>
      </c>
      <c r="N2620" s="9" t="s">
        <v>25</v>
      </c>
      <c r="O2620" s="10">
        <v>1.3E7</v>
      </c>
      <c r="P2620" s="10">
        <f t="shared" si="2"/>
        <v>0</v>
      </c>
      <c r="Q2620" s="12">
        <f t="shared" si="3"/>
        <v>12785034</v>
      </c>
      <c r="R2620" s="9">
        <v>2010.0</v>
      </c>
      <c r="S2620" s="9">
        <v>6.1</v>
      </c>
    </row>
    <row r="2621" ht="15.75" customHeight="1">
      <c r="A2621" s="25" t="s">
        <v>2388</v>
      </c>
      <c r="B2621" s="8" t="str">
        <f>IFERROR(__xludf.DUMMYFUNCTION("REGEXREPLACE(A2621, ""[^0-9a-zA-Z .'Ã]"","""")"),"Paul Greengrass")</f>
        <v>Paul Greengrass</v>
      </c>
      <c r="C2621" s="26">
        <v>279.0</v>
      </c>
      <c r="D2621" s="27">
        <v>3.147143E7</v>
      </c>
      <c r="E2621" s="26" t="s">
        <v>960</v>
      </c>
      <c r="F2621" s="9">
        <f t="shared" si="1"/>
        <v>3</v>
      </c>
      <c r="G2621" s="26" t="s">
        <v>8469</v>
      </c>
      <c r="H2621" s="11" t="str">
        <f>IFERROR(__xludf.DUMMYFUNCTION("REGEXREPLACE(G2621, ""[^0-9a-zA-Z .'Ã]"","""")"),"Christian Clemenson")</f>
        <v>Christian Clemenson</v>
      </c>
      <c r="I2621" s="28" t="s">
        <v>8470</v>
      </c>
      <c r="J2621" s="26">
        <v>83374.0</v>
      </c>
      <c r="K2621" s="26" t="s">
        <v>8471</v>
      </c>
      <c r="L2621" s="26">
        <v>828.0</v>
      </c>
      <c r="M2621" s="26" t="s">
        <v>24</v>
      </c>
      <c r="N2621" s="26" t="s">
        <v>25</v>
      </c>
      <c r="O2621" s="27">
        <v>1.5E7</v>
      </c>
      <c r="P2621" s="10">
        <f t="shared" si="2"/>
        <v>16471430</v>
      </c>
      <c r="Q2621" s="12">
        <f t="shared" si="3"/>
        <v>0</v>
      </c>
      <c r="R2621" s="26">
        <v>2006.0</v>
      </c>
      <c r="S2621" s="26">
        <v>7.6</v>
      </c>
    </row>
    <row r="2622" ht="15.75" customHeight="1">
      <c r="A2622" s="7" t="s">
        <v>7579</v>
      </c>
      <c r="B2622" s="8" t="str">
        <f>IFERROR(__xludf.DUMMYFUNCTION("REGEXREPLACE(A2622, ""[^0-9a-zA-Z .'Ã]"","""")"),"Tony Gilroy")</f>
        <v>Tony Gilroy</v>
      </c>
      <c r="C2622" s="9">
        <v>299.0</v>
      </c>
      <c r="D2622" s="10">
        <v>4.9024969E7</v>
      </c>
      <c r="E2622" s="9" t="s">
        <v>435</v>
      </c>
      <c r="F2622" s="9">
        <f t="shared" si="1"/>
        <v>4</v>
      </c>
      <c r="G2622" s="9" t="s">
        <v>1490</v>
      </c>
      <c r="H2622" s="11" t="str">
        <f>IFERROR(__xludf.DUMMYFUNCTION("REGEXREPLACE(G2622, ""[^0-9a-zA-Z .'Ã]"","""")"),"Tom Wilkinson")</f>
        <v>Tom Wilkinson</v>
      </c>
      <c r="I2622" s="11" t="s">
        <v>8472</v>
      </c>
      <c r="J2622" s="9">
        <v>133367.0</v>
      </c>
      <c r="K2622" s="9" t="s">
        <v>8473</v>
      </c>
      <c r="L2622" s="9">
        <v>363.0</v>
      </c>
      <c r="M2622" s="9" t="s">
        <v>24</v>
      </c>
      <c r="N2622" s="9" t="s">
        <v>25</v>
      </c>
      <c r="O2622" s="10">
        <v>2.5E7</v>
      </c>
      <c r="P2622" s="10">
        <f t="shared" si="2"/>
        <v>24024969</v>
      </c>
      <c r="Q2622" s="12">
        <f t="shared" si="3"/>
        <v>0</v>
      </c>
      <c r="R2622" s="9">
        <v>2007.0</v>
      </c>
      <c r="S2622" s="9">
        <v>7.3</v>
      </c>
    </row>
    <row r="2623" ht="15.75" customHeight="1">
      <c r="A2623" s="29" t="s">
        <v>8474</v>
      </c>
      <c r="B2623" s="8" t="str">
        <f>IFERROR(__xludf.DUMMYFUNCTION("REGEXREPLACE(A2623, ""[^0-9a-zA-Z .'Ã]"","""")"),"Efram Potelle")</f>
        <v>Efram Potelle</v>
      </c>
      <c r="C2623" s="30">
        <v>29.0</v>
      </c>
      <c r="D2623" s="31">
        <v>279282.0</v>
      </c>
      <c r="E2623" s="30" t="s">
        <v>159</v>
      </c>
      <c r="F2623" s="9">
        <f t="shared" si="1"/>
        <v>3</v>
      </c>
      <c r="G2623" s="30" t="s">
        <v>8475</v>
      </c>
      <c r="H2623" s="11" t="str">
        <f>IFERROR(__xludf.DUMMYFUNCTION("REGEXREPLACE(G2623, ""[^0-9a-zA-Z .'Ã]"","""")"),"Shiri Appleby")</f>
        <v>Shiri Appleby</v>
      </c>
      <c r="I2623" s="32" t="s">
        <v>8476</v>
      </c>
      <c r="J2623" s="30">
        <v>3806.0</v>
      </c>
      <c r="K2623" s="30" t="s">
        <v>8477</v>
      </c>
      <c r="L2623" s="30">
        <v>49.0</v>
      </c>
      <c r="M2623" s="30" t="s">
        <v>24</v>
      </c>
      <c r="N2623" s="30" t="s">
        <v>25</v>
      </c>
      <c r="O2623" s="31">
        <v>1000000.0</v>
      </c>
      <c r="P2623" s="10">
        <f t="shared" si="2"/>
        <v>0</v>
      </c>
      <c r="Q2623" s="12">
        <f t="shared" si="3"/>
        <v>720718</v>
      </c>
      <c r="R2623" s="30">
        <v>2003.0</v>
      </c>
      <c r="S2623" s="30">
        <v>6.1</v>
      </c>
    </row>
    <row r="2624" ht="15.75" customHeight="1">
      <c r="A2624" s="25" t="s">
        <v>1962</v>
      </c>
      <c r="B2624" s="8" t="str">
        <f>IFERROR(__xludf.DUMMYFUNCTION("REGEXREPLACE(A2624, ""[^0-9a-zA-Z .'Ã]"","""")"),"Michel Gondry")</f>
        <v>Michel Gondry</v>
      </c>
      <c r="C2624" s="26">
        <v>447.0</v>
      </c>
      <c r="D2624" s="27">
        <v>9.8780042E7</v>
      </c>
      <c r="E2624" s="26" t="s">
        <v>8478</v>
      </c>
      <c r="F2624" s="9">
        <f t="shared" si="1"/>
        <v>5</v>
      </c>
      <c r="G2624" s="26" t="s">
        <v>3800</v>
      </c>
      <c r="H2624" s="11" t="str">
        <f>IFERROR(__xludf.DUMMYFUNCTION("REGEXREPLACE(G2624, ""[^0-9a-zA-Z .'Ã]"","""")"),"Christoph Waltz")</f>
        <v>Christoph Waltz</v>
      </c>
      <c r="I2624" s="28" t="s">
        <v>8479</v>
      </c>
      <c r="J2624" s="26">
        <v>136019.0</v>
      </c>
      <c r="K2624" s="26" t="s">
        <v>8480</v>
      </c>
      <c r="L2624" s="26">
        <v>443.0</v>
      </c>
      <c r="M2624" s="26" t="s">
        <v>24</v>
      </c>
      <c r="N2624" s="26" t="s">
        <v>25</v>
      </c>
      <c r="O2624" s="27">
        <v>1.2E8</v>
      </c>
      <c r="P2624" s="10">
        <f t="shared" si="2"/>
        <v>0</v>
      </c>
      <c r="Q2624" s="12">
        <f t="shared" si="3"/>
        <v>21219958</v>
      </c>
      <c r="R2624" s="26">
        <v>2011.0</v>
      </c>
      <c r="S2624" s="26">
        <v>5.8</v>
      </c>
    </row>
    <row r="2625" ht="15.75" customHeight="1">
      <c r="A2625" s="21" t="s">
        <v>1095</v>
      </c>
      <c r="B2625" s="8" t="str">
        <f>IFERROR(__xludf.DUMMYFUNCTION("REGEXREPLACE(A2625, ""[^0-9a-zA-Z .'Ã]"","""")"),"Renny Harlin")</f>
        <v>Renny Harlin</v>
      </c>
      <c r="C2625" s="22">
        <v>109.0</v>
      </c>
      <c r="D2625" s="23">
        <v>3.2616869E7</v>
      </c>
      <c r="E2625" s="22" t="s">
        <v>5401</v>
      </c>
      <c r="F2625" s="9">
        <f t="shared" si="1"/>
        <v>3</v>
      </c>
      <c r="G2625" s="22" t="s">
        <v>2532</v>
      </c>
      <c r="H2625" s="11" t="str">
        <f>IFERROR(__xludf.DUMMYFUNCTION("REGEXREPLACE(G2625, ""[^0-9a-zA-Z .'Ã]"","""")"),"Sylvester Stallone")</f>
        <v>Sylvester Stallone</v>
      </c>
      <c r="I2625" s="24" t="s">
        <v>8481</v>
      </c>
      <c r="J2625" s="22">
        <v>34435.0</v>
      </c>
      <c r="K2625" s="22" t="s">
        <v>8482</v>
      </c>
      <c r="L2625" s="22">
        <v>346.0</v>
      </c>
      <c r="M2625" s="22" t="s">
        <v>24</v>
      </c>
      <c r="N2625" s="22" t="s">
        <v>25</v>
      </c>
      <c r="O2625" s="23">
        <v>7.2E7</v>
      </c>
      <c r="P2625" s="10">
        <f t="shared" si="2"/>
        <v>0</v>
      </c>
      <c r="Q2625" s="12">
        <f t="shared" si="3"/>
        <v>39383131</v>
      </c>
      <c r="R2625" s="22">
        <v>2001.0</v>
      </c>
      <c r="S2625" s="22">
        <v>4.5</v>
      </c>
    </row>
    <row r="2626" ht="15.75" customHeight="1">
      <c r="A2626" s="7" t="s">
        <v>2602</v>
      </c>
      <c r="B2626" s="8" t="str">
        <f>IFERROR(__xludf.DUMMYFUNCTION("REGEXREPLACE(A2626, ""[^0-9a-zA-Z .'Ã]"","""")"),"Walter Hill")</f>
        <v>Walter Hill</v>
      </c>
      <c r="C2626" s="9">
        <v>279.0</v>
      </c>
      <c r="D2626" s="10">
        <v>9483821.0</v>
      </c>
      <c r="E2626" s="9" t="s">
        <v>1096</v>
      </c>
      <c r="F2626" s="9">
        <f t="shared" si="1"/>
        <v>2</v>
      </c>
      <c r="G2626" s="9" t="s">
        <v>2532</v>
      </c>
      <c r="H2626" s="11" t="str">
        <f>IFERROR(__xludf.DUMMYFUNCTION("REGEXREPLACE(G2626, ""[^0-9a-zA-Z .'Ã]"","""")"),"Sylvester Stallone")</f>
        <v>Sylvester Stallone</v>
      </c>
      <c r="I2626" s="11" t="s">
        <v>8483</v>
      </c>
      <c r="J2626" s="9">
        <v>39247.0</v>
      </c>
      <c r="K2626" s="9" t="s">
        <v>8484</v>
      </c>
      <c r="L2626" s="9">
        <v>131.0</v>
      </c>
      <c r="M2626" s="9" t="s">
        <v>24</v>
      </c>
      <c r="N2626" s="9" t="s">
        <v>25</v>
      </c>
      <c r="O2626" s="10">
        <v>5.5E7</v>
      </c>
      <c r="P2626" s="10">
        <f t="shared" si="2"/>
        <v>0</v>
      </c>
      <c r="Q2626" s="12">
        <f t="shared" si="3"/>
        <v>45516179</v>
      </c>
      <c r="R2626" s="9">
        <v>2012.0</v>
      </c>
      <c r="S2626" s="9">
        <v>5.7</v>
      </c>
    </row>
    <row r="2627" ht="15.75" customHeight="1">
      <c r="A2627" s="29" t="s">
        <v>672</v>
      </c>
      <c r="B2627" s="8" t="str">
        <f>IFERROR(__xludf.DUMMYFUNCTION("REGEXREPLACE(A2627, ""[^0-9a-zA-Z .'Ã]"","""")"),"Peter Weir")</f>
        <v>Peter Weir</v>
      </c>
      <c r="C2627" s="30">
        <v>83.0</v>
      </c>
      <c r="D2627" s="31">
        <v>6.55E7</v>
      </c>
      <c r="E2627" s="30" t="s">
        <v>810</v>
      </c>
      <c r="F2627" s="9">
        <f t="shared" si="1"/>
        <v>4</v>
      </c>
      <c r="G2627" s="30" t="s">
        <v>637</v>
      </c>
      <c r="H2627" s="11" t="str">
        <f>IFERROR(__xludf.DUMMYFUNCTION("REGEXREPLACE(G2627, ""[^0-9a-zA-Z .'Ã]"","""")"),"Harrison Ford")</f>
        <v>Harrison Ford</v>
      </c>
      <c r="I2627" s="32" t="s">
        <v>8485</v>
      </c>
      <c r="J2627" s="30">
        <v>66966.0</v>
      </c>
      <c r="K2627" s="30" t="s">
        <v>8486</v>
      </c>
      <c r="L2627" s="30">
        <v>175.0</v>
      </c>
      <c r="M2627" s="30" t="s">
        <v>24</v>
      </c>
      <c r="N2627" s="30" t="s">
        <v>25</v>
      </c>
      <c r="O2627" s="31">
        <v>1.2E7</v>
      </c>
      <c r="P2627" s="10">
        <f t="shared" si="2"/>
        <v>53500000</v>
      </c>
      <c r="Q2627" s="12">
        <f t="shared" si="3"/>
        <v>0</v>
      </c>
      <c r="R2627" s="30">
        <v>1985.0</v>
      </c>
      <c r="S2627" s="30">
        <v>7.4</v>
      </c>
    </row>
    <row r="2628" ht="15.75" customHeight="1">
      <c r="A2628" s="7" t="s">
        <v>3957</v>
      </c>
      <c r="B2628" s="8" t="str">
        <f>IFERROR(__xludf.DUMMYFUNCTION("REGEXREPLACE(A2628, ""[^0-9a-zA-Z -.'Ã]"","""")"),"Kar-Wai Wong")</f>
        <v>Kar-Wai Wong</v>
      </c>
      <c r="C2628" s="9">
        <v>192.0</v>
      </c>
      <c r="D2628" s="10">
        <v>866778.0</v>
      </c>
      <c r="E2628" s="9" t="s">
        <v>232</v>
      </c>
      <c r="F2628" s="9">
        <f t="shared" si="1"/>
        <v>2</v>
      </c>
      <c r="G2628" s="9" t="s">
        <v>1088</v>
      </c>
      <c r="H2628" s="11" t="str">
        <f>IFERROR(__xludf.DUMMYFUNCTION("REGEXREPLACE(G2628, ""[^0-9a-zA-Z .'Ã]"","""")"),"Natalie Portman")</f>
        <v>Natalie Portman</v>
      </c>
      <c r="I2628" s="11" t="s">
        <v>8487</v>
      </c>
      <c r="J2628" s="9">
        <v>44208.0</v>
      </c>
      <c r="K2628" s="9" t="s">
        <v>8488</v>
      </c>
      <c r="L2628" s="9">
        <v>117.0</v>
      </c>
      <c r="M2628" s="9" t="s">
        <v>24</v>
      </c>
      <c r="N2628" s="9" t="s">
        <v>157</v>
      </c>
      <c r="O2628" s="10">
        <v>1.0E7</v>
      </c>
      <c r="P2628" s="10">
        <f t="shared" si="2"/>
        <v>0</v>
      </c>
      <c r="Q2628" s="12">
        <f t="shared" si="3"/>
        <v>9133222</v>
      </c>
      <c r="R2628" s="9">
        <v>2007.0</v>
      </c>
      <c r="S2628" s="9">
        <v>6.7</v>
      </c>
    </row>
    <row r="2629" ht="15.75" customHeight="1">
      <c r="A2629" s="25" t="s">
        <v>2645</v>
      </c>
      <c r="B2629" s="8" t="str">
        <f>IFERROR(__xludf.DUMMYFUNCTION("REGEXREPLACE(A2629, ""[^0-9a-zA-Z .'Ã]"","""")"),"Richard Fleischer")</f>
        <v>Richard Fleischer</v>
      </c>
      <c r="C2629" s="26">
        <v>77.0</v>
      </c>
      <c r="D2629" s="27">
        <v>2.64E7</v>
      </c>
      <c r="E2629" s="26" t="s">
        <v>278</v>
      </c>
      <c r="F2629" s="9">
        <f t="shared" si="1"/>
        <v>3</v>
      </c>
      <c r="G2629" s="26" t="s">
        <v>8286</v>
      </c>
      <c r="H2629" s="11" t="str">
        <f>IFERROR(__xludf.DUMMYFUNCTION("REGEXREPLACE(G2629, ""[^0-9a-zA-Z .'Ã]"","""")"),"Mako")</f>
        <v>Mako</v>
      </c>
      <c r="I2629" s="28" t="s">
        <v>8489</v>
      </c>
      <c r="J2629" s="26">
        <v>62009.0</v>
      </c>
      <c r="K2629" s="26" t="s">
        <v>8490</v>
      </c>
      <c r="L2629" s="26">
        <v>109.0</v>
      </c>
      <c r="M2629" s="26" t="s">
        <v>24</v>
      </c>
      <c r="N2629" s="26" t="s">
        <v>25</v>
      </c>
      <c r="O2629" s="27">
        <v>1.8E7</v>
      </c>
      <c r="P2629" s="10">
        <f t="shared" si="2"/>
        <v>8400000</v>
      </c>
      <c r="Q2629" s="12">
        <f t="shared" si="3"/>
        <v>0</v>
      </c>
      <c r="R2629" s="26">
        <v>1984.0</v>
      </c>
      <c r="S2629" s="26">
        <v>5.8</v>
      </c>
    </row>
    <row r="2630" ht="15.75" customHeight="1">
      <c r="A2630" s="29" t="s">
        <v>4154</v>
      </c>
      <c r="B2630" s="8" t="str">
        <f>IFERROR(__xludf.DUMMYFUNCTION("REGEXREPLACE(A2630, ""[^0-9a-zA-Z .'Ã]"","""")"),"Joe Johnston")</f>
        <v>Joe Johnston</v>
      </c>
      <c r="C2630" s="30">
        <v>198.0</v>
      </c>
      <c r="D2630" s="31">
        <v>1.81166115E8</v>
      </c>
      <c r="E2630" s="30" t="s">
        <v>794</v>
      </c>
      <c r="F2630" s="9">
        <f t="shared" si="1"/>
        <v>4</v>
      </c>
      <c r="G2630" s="30" t="s">
        <v>8491</v>
      </c>
      <c r="H2630" s="11" t="str">
        <f>IFERROR(__xludf.DUMMYFUNCTION("REGEXREPLACE(G2630, ""[^0-9a-zA-Z .'Ã]"","""")"),"Michael Jeter")</f>
        <v>Michael Jeter</v>
      </c>
      <c r="I2630" s="32" t="s">
        <v>8492</v>
      </c>
      <c r="J2630" s="30">
        <v>219501.0</v>
      </c>
      <c r="K2630" s="30" t="s">
        <v>8493</v>
      </c>
      <c r="L2630" s="30">
        <v>1236.0</v>
      </c>
      <c r="M2630" s="30" t="s">
        <v>24</v>
      </c>
      <c r="N2630" s="30" t="s">
        <v>25</v>
      </c>
      <c r="O2630" s="31">
        <v>9.3E7</v>
      </c>
      <c r="P2630" s="10">
        <f t="shared" si="2"/>
        <v>88166115</v>
      </c>
      <c r="Q2630" s="12">
        <f t="shared" si="3"/>
        <v>0</v>
      </c>
      <c r="R2630" s="30">
        <v>2001.0</v>
      </c>
      <c r="S2630" s="30">
        <v>5.9</v>
      </c>
    </row>
    <row r="2631" ht="15.75" customHeight="1">
      <c r="A2631" s="29" t="s">
        <v>2977</v>
      </c>
      <c r="B2631" s="8" t="str">
        <f>IFERROR(__xludf.DUMMYFUNCTION("REGEXREPLACE(A2631, ""[^0-9a-zA-Z .'Ã]"","""")"),"Iain Softley")</f>
        <v>Iain Softley</v>
      </c>
      <c r="C2631" s="30">
        <v>193.0</v>
      </c>
      <c r="D2631" s="31">
        <v>4.7806295E7</v>
      </c>
      <c r="E2631" s="30" t="s">
        <v>94</v>
      </c>
      <c r="F2631" s="9">
        <f t="shared" si="1"/>
        <v>3</v>
      </c>
      <c r="G2631" s="30" t="s">
        <v>8494</v>
      </c>
      <c r="H2631" s="11" t="str">
        <f>IFERROR(__xludf.DUMMYFUNCTION("REGEXREPLACE(G2631, ""[^0-9a-zA-Z .'Ã]"","""")"),"Gena Rowlands")</f>
        <v>Gena Rowlands</v>
      </c>
      <c r="I2631" s="32" t="s">
        <v>8495</v>
      </c>
      <c r="J2631" s="30">
        <v>87447.0</v>
      </c>
      <c r="K2631" s="30" t="s">
        <v>8496</v>
      </c>
      <c r="L2631" s="30">
        <v>371.0</v>
      </c>
      <c r="M2631" s="30" t="s">
        <v>24</v>
      </c>
      <c r="N2631" s="30" t="s">
        <v>25</v>
      </c>
      <c r="O2631" s="31">
        <v>4.3E7</v>
      </c>
      <c r="P2631" s="10">
        <f t="shared" si="2"/>
        <v>4806295</v>
      </c>
      <c r="Q2631" s="12">
        <f t="shared" si="3"/>
        <v>0</v>
      </c>
      <c r="R2631" s="30">
        <v>2005.0</v>
      </c>
      <c r="S2631" s="30">
        <v>6.5</v>
      </c>
    </row>
    <row r="2632" ht="15.75" customHeight="1">
      <c r="A2632" s="7" t="s">
        <v>4665</v>
      </c>
      <c r="B2632" s="8" t="str">
        <f>IFERROR(__xludf.DUMMYFUNCTION("REGEXREPLACE(A2632, ""[^0-9a-zA-Z .'Ã]"","""")"),"Paul Thomas Anderson")</f>
        <v>Paul Thomas Anderson</v>
      </c>
      <c r="C2632" s="9">
        <v>153.0</v>
      </c>
      <c r="D2632" s="10">
        <v>2.6384919E7</v>
      </c>
      <c r="E2632" s="9" t="s">
        <v>103</v>
      </c>
      <c r="F2632" s="9">
        <f t="shared" si="1"/>
        <v>1</v>
      </c>
      <c r="G2632" s="9" t="s">
        <v>590</v>
      </c>
      <c r="H2632" s="11" t="str">
        <f>IFERROR(__xludf.DUMMYFUNCTION("REGEXREPLACE(G2632, ""[^0-9a-zA-Z .'Ã]"","""")"),"Don Cheadle")</f>
        <v>Don Cheadle</v>
      </c>
      <c r="I2632" s="11" t="s">
        <v>8497</v>
      </c>
      <c r="J2632" s="9">
        <v>189032.0</v>
      </c>
      <c r="K2632" s="9" t="s">
        <v>8498</v>
      </c>
      <c r="L2632" s="9">
        <v>560.0</v>
      </c>
      <c r="M2632" s="9" t="s">
        <v>24</v>
      </c>
      <c r="N2632" s="9" t="s">
        <v>25</v>
      </c>
      <c r="O2632" s="10">
        <v>1.5E7</v>
      </c>
      <c r="P2632" s="10">
        <f t="shared" si="2"/>
        <v>11384919</v>
      </c>
      <c r="Q2632" s="12">
        <f t="shared" si="3"/>
        <v>0</v>
      </c>
      <c r="R2632" s="9">
        <v>1997.0</v>
      </c>
      <c r="S2632" s="9">
        <v>7.9</v>
      </c>
    </row>
    <row r="2633" ht="15.75" customHeight="1">
      <c r="A2633" s="21" t="s">
        <v>856</v>
      </c>
      <c r="B2633" s="8" t="str">
        <f>IFERROR(__xludf.DUMMYFUNCTION("REGEXREPLACE(A2633, ""[^0-9a-zA-Z .'Ã]"","""")"),"Sean Anders")</f>
        <v>Sean Anders</v>
      </c>
      <c r="C2633" s="22">
        <v>102.0</v>
      </c>
      <c r="D2633" s="23">
        <v>8396942.0</v>
      </c>
      <c r="E2633" s="22" t="s">
        <v>8499</v>
      </c>
      <c r="F2633" s="9">
        <f t="shared" si="1"/>
        <v>3</v>
      </c>
      <c r="G2633" s="22" t="s">
        <v>8500</v>
      </c>
      <c r="H2633" s="11" t="str">
        <f>IFERROR(__xludf.DUMMYFUNCTION("REGEXREPLACE(G2633, ""[^0-9a-zA-Z .'Ã]"","""")"),"Katrina Bowden")</f>
        <v>Katrina Bowden</v>
      </c>
      <c r="I2633" s="24" t="s">
        <v>8501</v>
      </c>
      <c r="J2633" s="22">
        <v>72715.0</v>
      </c>
      <c r="K2633" s="22" t="s">
        <v>8502</v>
      </c>
      <c r="L2633" s="22">
        <v>103.0</v>
      </c>
      <c r="M2633" s="22" t="s">
        <v>24</v>
      </c>
      <c r="N2633" s="22" t="s">
        <v>25</v>
      </c>
      <c r="O2633" s="23">
        <v>1.9E7</v>
      </c>
      <c r="P2633" s="10">
        <f t="shared" si="2"/>
        <v>0</v>
      </c>
      <c r="Q2633" s="12">
        <f t="shared" si="3"/>
        <v>10603058</v>
      </c>
      <c r="R2633" s="22">
        <v>2008.0</v>
      </c>
      <c r="S2633" s="22">
        <v>6.5</v>
      </c>
    </row>
    <row r="2634" ht="15.75" customHeight="1">
      <c r="A2634" s="7" t="s">
        <v>8503</v>
      </c>
      <c r="B2634" s="8" t="str">
        <f>IFERROR(__xludf.DUMMYFUNCTION("REGEXREPLACE(A2634, ""[^0-9a-zA-Z .'Ã]"","""")"),"Salvador Carrasco")</f>
        <v>Salvador Carrasco</v>
      </c>
      <c r="C2634" s="9">
        <v>39.0</v>
      </c>
      <c r="D2634" s="10">
        <v>886410.0</v>
      </c>
      <c r="E2634" s="9" t="s">
        <v>213</v>
      </c>
      <c r="F2634" s="9">
        <f t="shared" si="1"/>
        <v>2</v>
      </c>
      <c r="G2634" s="9" t="s">
        <v>8504</v>
      </c>
      <c r="H2634" s="11" t="str">
        <f>IFERROR(__xludf.DUMMYFUNCTION("REGEXREPLACE(G2634, ""[^0-9a-zA-Z .'Ã]"","""")"),"Elpidia Carrillo")</f>
        <v>Elpidia Carrillo</v>
      </c>
      <c r="I2634" s="11" t="s">
        <v>8505</v>
      </c>
      <c r="J2634" s="9">
        <v>1024.0</v>
      </c>
      <c r="K2634" s="9" t="s">
        <v>8506</v>
      </c>
      <c r="L2634" s="9">
        <v>494.0</v>
      </c>
      <c r="M2634" s="9" t="s">
        <v>1553</v>
      </c>
      <c r="N2634" s="9" t="s">
        <v>1893</v>
      </c>
      <c r="O2634" s="10">
        <v>3500000.0</v>
      </c>
      <c r="P2634" s="10">
        <f t="shared" si="2"/>
        <v>0</v>
      </c>
      <c r="Q2634" s="12">
        <f t="shared" si="3"/>
        <v>2613590</v>
      </c>
      <c r="R2634" s="9">
        <v>1998.0</v>
      </c>
      <c r="S2634" s="9">
        <v>6.8</v>
      </c>
    </row>
    <row r="2635" ht="15.75" customHeight="1">
      <c r="A2635" s="25" t="s">
        <v>8507</v>
      </c>
      <c r="B2635" s="8" t="str">
        <f>IFERROR(__xludf.DUMMYFUNCTION("REGEXREPLACE(A2635, ""[^0-9a-zA-Z .'Ã]"","""")"),"Chris Kentis")</f>
        <v>Chris Kentis</v>
      </c>
      <c r="C2635" s="26">
        <v>218.0</v>
      </c>
      <c r="D2635" s="27">
        <v>1.255523E7</v>
      </c>
      <c r="E2635" s="26" t="s">
        <v>2384</v>
      </c>
      <c r="F2635" s="9">
        <f t="shared" si="1"/>
        <v>4</v>
      </c>
      <c r="G2635" s="26" t="s">
        <v>8508</v>
      </c>
      <c r="H2635" s="11" t="str">
        <f>IFERROR(__xludf.DUMMYFUNCTION("REGEXREPLACE(G2635, ""[^0-9a-zA-Z .'Ã]"","""")"),"Eric Sheffer Stevens")</f>
        <v>Eric Sheffer Stevens</v>
      </c>
      <c r="I2635" s="28" t="s">
        <v>8509</v>
      </c>
      <c r="J2635" s="26">
        <v>18566.0</v>
      </c>
      <c r="K2635" s="26" t="s">
        <v>8510</v>
      </c>
      <c r="L2635" s="26">
        <v>154.0</v>
      </c>
      <c r="M2635" s="26" t="s">
        <v>24</v>
      </c>
      <c r="N2635" s="26" t="s">
        <v>608</v>
      </c>
      <c r="O2635" s="27">
        <v>2000000.0</v>
      </c>
      <c r="P2635" s="10">
        <f t="shared" si="2"/>
        <v>10555230</v>
      </c>
      <c r="Q2635" s="12">
        <f t="shared" si="3"/>
        <v>0</v>
      </c>
      <c r="R2635" s="26">
        <v>2011.0</v>
      </c>
      <c r="S2635" s="26">
        <v>5.3</v>
      </c>
    </row>
    <row r="2636" ht="15.75" customHeight="1">
      <c r="A2636" s="25" t="s">
        <v>8511</v>
      </c>
      <c r="B2636" s="8" t="str">
        <f>IFERROR(__xludf.DUMMYFUNCTION("REGEXREPLACE(A2636, ""[^0-9a-zA-Z .'Ã]"","""")"),"Shane Carruth")</f>
        <v>Shane Carruth</v>
      </c>
      <c r="C2636" s="26">
        <v>143.0</v>
      </c>
      <c r="D2636" s="27">
        <v>424760.0</v>
      </c>
      <c r="E2636" s="26" t="s">
        <v>1231</v>
      </c>
      <c r="F2636" s="9">
        <f t="shared" si="1"/>
        <v>3</v>
      </c>
      <c r="G2636" s="26" t="s">
        <v>8511</v>
      </c>
      <c r="H2636" s="11" t="str">
        <f>IFERROR(__xludf.DUMMYFUNCTION("REGEXREPLACE(G2636, ""[^0-9a-zA-Z .'Ã]"","""")"),"Shane Carruth")</f>
        <v>Shane Carruth</v>
      </c>
      <c r="I2636" s="28" t="s">
        <v>8512</v>
      </c>
      <c r="J2636" s="26">
        <v>72639.0</v>
      </c>
      <c r="K2636" s="26" t="s">
        <v>8513</v>
      </c>
      <c r="L2636" s="26">
        <v>371.0</v>
      </c>
      <c r="M2636" s="26" t="s">
        <v>24</v>
      </c>
      <c r="N2636" s="26" t="s">
        <v>25</v>
      </c>
      <c r="O2636" s="27">
        <v>7000.0</v>
      </c>
      <c r="P2636" s="10">
        <f t="shared" si="2"/>
        <v>417760</v>
      </c>
      <c r="Q2636" s="12">
        <f t="shared" si="3"/>
        <v>0</v>
      </c>
      <c r="R2636" s="26">
        <v>2004.0</v>
      </c>
      <c r="S2636" s="26">
        <v>7.0</v>
      </c>
    </row>
    <row r="2637" ht="15.75" customHeight="1">
      <c r="A2637" s="13" t="s">
        <v>650</v>
      </c>
      <c r="B2637" s="8" t="str">
        <f>IFERROR(__xludf.DUMMYFUNCTION("REGEXREPLACE(A2637, ""[^0-9a-zA-Z .'Ã]"","""")"),"John Schlesinger")</f>
        <v>John Schlesinger</v>
      </c>
      <c r="C2637" s="14">
        <v>31.0</v>
      </c>
      <c r="D2637" s="15">
        <v>5.3146E7</v>
      </c>
      <c r="E2637" s="14" t="s">
        <v>113</v>
      </c>
      <c r="F2637" s="9">
        <f t="shared" si="1"/>
        <v>3</v>
      </c>
      <c r="G2637" s="14" t="s">
        <v>1981</v>
      </c>
      <c r="H2637" s="11" t="str">
        <f>IFERROR(__xludf.DUMMYFUNCTION("REGEXREPLACE(G2637, ""[^0-9a-zA-Z .'Ã]"","""")"),"Joe Mantegna")</f>
        <v>Joe Mantegna</v>
      </c>
      <c r="I2637" s="16" t="s">
        <v>8514</v>
      </c>
      <c r="J2637" s="14">
        <v>9845.0</v>
      </c>
      <c r="K2637" s="14" t="s">
        <v>8515</v>
      </c>
      <c r="L2637" s="14">
        <v>77.0</v>
      </c>
      <c r="M2637" s="14" t="s">
        <v>24</v>
      </c>
      <c r="N2637" s="14" t="s">
        <v>25</v>
      </c>
      <c r="O2637" s="15">
        <v>2.0E7</v>
      </c>
      <c r="P2637" s="10">
        <f t="shared" si="2"/>
        <v>33146000</v>
      </c>
      <c r="Q2637" s="12">
        <f t="shared" si="3"/>
        <v>0</v>
      </c>
      <c r="R2637" s="14">
        <v>1996.0</v>
      </c>
      <c r="S2637" s="14">
        <v>6.1</v>
      </c>
    </row>
    <row r="2638" ht="15.75" customHeight="1">
      <c r="A2638" s="17" t="s">
        <v>6270</v>
      </c>
      <c r="B2638" s="8" t="str">
        <f>IFERROR(__xludf.DUMMYFUNCTION("REGEXREPLACE(A2638, ""[^0-9a-zA-Z .'Ã]"","""")"),"Oliver Hirschbiegel")</f>
        <v>Oliver Hirschbiegel</v>
      </c>
      <c r="C2638" s="18">
        <v>192.0</v>
      </c>
      <c r="D2638" s="19">
        <v>5501940.0</v>
      </c>
      <c r="E2638" s="18" t="s">
        <v>3603</v>
      </c>
      <c r="F2638" s="9">
        <f t="shared" si="1"/>
        <v>4</v>
      </c>
      <c r="G2638" s="18" t="s">
        <v>2447</v>
      </c>
      <c r="H2638" s="11" t="str">
        <f>IFERROR(__xludf.DUMMYFUNCTION("REGEXREPLACE(G2638, ""[^0-9a-zA-Z .'Ã]"","""")"),"Thomas Kretschmann")</f>
        <v>Thomas Kretschmann</v>
      </c>
      <c r="I2638" s="20" t="s">
        <v>8516</v>
      </c>
      <c r="J2638" s="18">
        <v>248354.0</v>
      </c>
      <c r="K2638" s="18" t="s">
        <v>8517</v>
      </c>
      <c r="L2638" s="18">
        <v>564.0</v>
      </c>
      <c r="M2638" s="18" t="s">
        <v>1042</v>
      </c>
      <c r="N2638" s="18" t="s">
        <v>173</v>
      </c>
      <c r="O2638" s="19">
        <v>1.35E7</v>
      </c>
      <c r="P2638" s="10">
        <f t="shared" si="2"/>
        <v>0</v>
      </c>
      <c r="Q2638" s="12">
        <f t="shared" si="3"/>
        <v>7998060</v>
      </c>
      <c r="R2638" s="18">
        <v>2004.0</v>
      </c>
      <c r="S2638" s="18">
        <v>8.3</v>
      </c>
    </row>
    <row r="2639" ht="15.75" customHeight="1">
      <c r="A2639" s="21" t="s">
        <v>4001</v>
      </c>
      <c r="B2639" s="8" t="str">
        <f>IFERROR(__xludf.DUMMYFUNCTION("REGEXREPLACE(A2639, ""[^0-9a-zA-Z .'Ã]"","""")"),"Garry Marshall")</f>
        <v>Garry Marshall</v>
      </c>
      <c r="C2639" s="22">
        <v>88.0</v>
      </c>
      <c r="D2639" s="23">
        <v>1.888288E7</v>
      </c>
      <c r="E2639" s="22" t="s">
        <v>454</v>
      </c>
      <c r="F2639" s="9">
        <f t="shared" si="1"/>
        <v>2</v>
      </c>
      <c r="G2639" s="22" t="s">
        <v>1973</v>
      </c>
      <c r="H2639" s="11" t="str">
        <f>IFERROR(__xludf.DUMMYFUNCTION("REGEXREPLACE(G2639, ""[^0-9a-zA-Z .'Ã]"","""")"),"Hector Elizondo")</f>
        <v>Hector Elizondo</v>
      </c>
      <c r="I2639" s="24" t="s">
        <v>8518</v>
      </c>
      <c r="J2639" s="22">
        <v>20539.0</v>
      </c>
      <c r="K2639" s="22" t="s">
        <v>8519</v>
      </c>
      <c r="L2639" s="22">
        <v>125.0</v>
      </c>
      <c r="M2639" s="22" t="s">
        <v>24</v>
      </c>
      <c r="N2639" s="22" t="s">
        <v>25</v>
      </c>
      <c r="O2639" s="23">
        <v>2.0E7</v>
      </c>
      <c r="P2639" s="10">
        <f t="shared" si="2"/>
        <v>0</v>
      </c>
      <c r="Q2639" s="12">
        <f t="shared" si="3"/>
        <v>1117120</v>
      </c>
      <c r="R2639" s="22">
        <v>2007.0</v>
      </c>
      <c r="S2639" s="22">
        <v>5.9</v>
      </c>
    </row>
    <row r="2640" ht="15.75" customHeight="1">
      <c r="A2640" s="13" t="s">
        <v>2258</v>
      </c>
      <c r="B2640" s="8" t="str">
        <f>IFERROR(__xludf.DUMMYFUNCTION("REGEXREPLACE(A2640, ""[^0-9a-zA-Z .'Ã]"","""")"),"Thor Freudenthal")</f>
        <v>Thor Freudenthal</v>
      </c>
      <c r="C2640" s="14">
        <v>183.0</v>
      </c>
      <c r="D2640" s="15">
        <v>6.8558662E7</v>
      </c>
      <c r="E2640" s="14" t="s">
        <v>1252</v>
      </c>
      <c r="F2640" s="9">
        <f t="shared" si="1"/>
        <v>3</v>
      </c>
      <c r="G2640" s="14" t="s">
        <v>2013</v>
      </c>
      <c r="H2640" s="11" t="str">
        <f>IFERROR(__xludf.DUMMYFUNCTION("REGEXREPLACE(G2640, ""[^0-9a-zA-Z .'Ã]"","""")"),"Logan Lerman")</f>
        <v>Logan Lerman</v>
      </c>
      <c r="I2640" s="16" t="s">
        <v>8520</v>
      </c>
      <c r="J2640" s="14">
        <v>86627.0</v>
      </c>
      <c r="K2640" s="14" t="s">
        <v>8521</v>
      </c>
      <c r="L2640" s="14">
        <v>204.0</v>
      </c>
      <c r="M2640" s="14" t="s">
        <v>24</v>
      </c>
      <c r="N2640" s="14" t="s">
        <v>25</v>
      </c>
      <c r="O2640" s="15">
        <v>9.0E7</v>
      </c>
      <c r="P2640" s="10">
        <f t="shared" si="2"/>
        <v>0</v>
      </c>
      <c r="Q2640" s="12">
        <f t="shared" si="3"/>
        <v>21441338</v>
      </c>
      <c r="R2640" s="14">
        <v>2013.0</v>
      </c>
      <c r="S2640" s="14">
        <v>5.9</v>
      </c>
    </row>
    <row r="2641" ht="15.75" customHeight="1">
      <c r="A2641" s="7" t="s">
        <v>8522</v>
      </c>
      <c r="B2641" s="8" t="str">
        <f>IFERROR(__xludf.DUMMYFUNCTION("REGEXREPLACE(A2641, ""[^0-9a-zA-Z .'Ã]"","""")"),"Akiva Goldsman")</f>
        <v>Akiva Goldsman</v>
      </c>
      <c r="C2641" s="9">
        <v>189.0</v>
      </c>
      <c r="D2641" s="10">
        <v>22451.0</v>
      </c>
      <c r="E2641" s="9" t="s">
        <v>8523</v>
      </c>
      <c r="F2641" s="9">
        <f t="shared" si="1"/>
        <v>4</v>
      </c>
      <c r="G2641" s="9" t="s">
        <v>1585</v>
      </c>
      <c r="H2641" s="11" t="str">
        <f>IFERROR(__xludf.DUMMYFUNCTION("REGEXREPLACE(G2641, ""[^0-9a-zA-Z .'Ã]"","""")"),"Matt Bomer")</f>
        <v>Matt Bomer</v>
      </c>
      <c r="I2641" s="11" t="s">
        <v>8524</v>
      </c>
      <c r="J2641" s="9">
        <v>41288.0</v>
      </c>
      <c r="K2641" s="9" t="s">
        <v>8525</v>
      </c>
      <c r="L2641" s="9">
        <v>126.0</v>
      </c>
      <c r="M2641" s="9" t="s">
        <v>24</v>
      </c>
      <c r="N2641" s="9" t="s">
        <v>25</v>
      </c>
      <c r="O2641" s="10">
        <v>6.0E7</v>
      </c>
      <c r="P2641" s="10">
        <f t="shared" si="2"/>
        <v>0</v>
      </c>
      <c r="Q2641" s="12">
        <f t="shared" si="3"/>
        <v>59977549</v>
      </c>
      <c r="R2641" s="9">
        <v>2014.0</v>
      </c>
      <c r="S2641" s="9">
        <v>6.2</v>
      </c>
    </row>
    <row r="2642" ht="15.75" customHeight="1">
      <c r="A2642" s="17" t="s">
        <v>3988</v>
      </c>
      <c r="B2642" s="8" t="str">
        <f>IFERROR(__xludf.DUMMYFUNCTION("REGEXREPLACE(A2642, ""[^0-9a-zA-Z .'Ã]"","""")"),"Rob Reiner")</f>
        <v>Rob Reiner</v>
      </c>
      <c r="C2642" s="18">
        <v>99.0</v>
      </c>
      <c r="D2642" s="19">
        <v>5.2287414E7</v>
      </c>
      <c r="E2642" s="18" t="s">
        <v>892</v>
      </c>
      <c r="F2642" s="9">
        <f t="shared" si="1"/>
        <v>2</v>
      </c>
      <c r="G2642" s="18" t="s">
        <v>8526</v>
      </c>
      <c r="H2642" s="11" t="str">
        <f>IFERROR(__xludf.DUMMYFUNCTION("REGEXREPLACE(G2642, ""[^0-9a-zA-Z .'Ã]"","""")"),"Marshall Bell")</f>
        <v>Marshall Bell</v>
      </c>
      <c r="I2642" s="20" t="s">
        <v>8527</v>
      </c>
      <c r="J2642" s="18">
        <v>271794.0</v>
      </c>
      <c r="K2642" s="18" t="s">
        <v>8528</v>
      </c>
      <c r="L2642" s="18">
        <v>584.0</v>
      </c>
      <c r="M2642" s="18" t="s">
        <v>24</v>
      </c>
      <c r="N2642" s="18" t="s">
        <v>25</v>
      </c>
      <c r="O2642" s="19">
        <v>8000000.0</v>
      </c>
      <c r="P2642" s="10">
        <f t="shared" si="2"/>
        <v>44287414</v>
      </c>
      <c r="Q2642" s="12">
        <f t="shared" si="3"/>
        <v>0</v>
      </c>
      <c r="R2642" s="18">
        <v>1986.0</v>
      </c>
      <c r="S2642" s="18">
        <v>8.1</v>
      </c>
    </row>
    <row r="2643" ht="15.75" customHeight="1">
      <c r="A2643" s="25" t="s">
        <v>8529</v>
      </c>
      <c r="B2643" s="8" t="str">
        <f>IFERROR(__xludf.DUMMYFUNCTION("REGEXREPLACE(A2643, ""[^0-9a-zA-Z .'Ã]"","""")"),"Luca Guadagnino")</f>
        <v>Luca Guadagnino</v>
      </c>
      <c r="C2643" s="26">
        <v>181.0</v>
      </c>
      <c r="D2643" s="27">
        <v>5004648.0</v>
      </c>
      <c r="E2643" s="26" t="s">
        <v>232</v>
      </c>
      <c r="F2643" s="9">
        <f t="shared" si="1"/>
        <v>2</v>
      </c>
      <c r="G2643" s="26" t="s">
        <v>8530</v>
      </c>
      <c r="H2643" s="11" t="str">
        <f>IFERROR(__xludf.DUMMYFUNCTION("REGEXREPLACE(G2643, ""[^0-9a-zA-Z .'Ã]"","""")"),"Flavio Parenti")</f>
        <v>Flavio Parenti</v>
      </c>
      <c r="I2643" s="28" t="s">
        <v>8531</v>
      </c>
      <c r="J2643" s="26">
        <v>14031.0</v>
      </c>
      <c r="K2643" s="26" t="s">
        <v>8532</v>
      </c>
      <c r="L2643" s="26">
        <v>114.0</v>
      </c>
      <c r="M2643" s="26" t="s">
        <v>41</v>
      </c>
      <c r="N2643" s="26" t="s">
        <v>42</v>
      </c>
      <c r="O2643" s="27">
        <v>1.0E7</v>
      </c>
      <c r="P2643" s="10">
        <f t="shared" si="2"/>
        <v>0</v>
      </c>
      <c r="Q2643" s="12">
        <f t="shared" si="3"/>
        <v>4995352</v>
      </c>
      <c r="R2643" s="26">
        <v>2009.0</v>
      </c>
      <c r="S2643" s="26">
        <v>7.0</v>
      </c>
    </row>
    <row r="2644" ht="15.75" customHeight="1">
      <c r="A2644" s="29" t="s">
        <v>8533</v>
      </c>
      <c r="B2644" s="8" t="str">
        <f>IFERROR(__xludf.DUMMYFUNCTION("REGEXREPLACE(A2644, ""[^0-9a-zA-Z .'Ã]"","""")"),"Steve Carver")</f>
        <v>Steve Carver</v>
      </c>
      <c r="C2644" s="30">
        <v>29.0</v>
      </c>
      <c r="D2644" s="31">
        <v>1.22E7</v>
      </c>
      <c r="E2644" s="30" t="s">
        <v>5482</v>
      </c>
      <c r="F2644" s="9">
        <f t="shared" si="1"/>
        <v>5</v>
      </c>
      <c r="G2644" s="30" t="s">
        <v>4331</v>
      </c>
      <c r="H2644" s="11" t="str">
        <f>IFERROR(__xludf.DUMMYFUNCTION("REGEXREPLACE(G2644, ""[^0-9a-zA-Z .'Ã]"","""")"),"David Carradine")</f>
        <v>David Carradine</v>
      </c>
      <c r="I2644" s="32" t="s">
        <v>8534</v>
      </c>
      <c r="J2644" s="30">
        <v>7973.0</v>
      </c>
      <c r="K2644" s="30" t="s">
        <v>8535</v>
      </c>
      <c r="L2644" s="30">
        <v>65.0</v>
      </c>
      <c r="M2644" s="30" t="s">
        <v>24</v>
      </c>
      <c r="N2644" s="30" t="s">
        <v>25</v>
      </c>
      <c r="O2644" s="31">
        <v>5000000.0</v>
      </c>
      <c r="P2644" s="10">
        <f t="shared" si="2"/>
        <v>7200000</v>
      </c>
      <c r="Q2644" s="12">
        <f t="shared" si="3"/>
        <v>0</v>
      </c>
      <c r="R2644" s="30">
        <v>1983.0</v>
      </c>
      <c r="S2644" s="30">
        <v>6.3</v>
      </c>
    </row>
    <row r="2645" ht="15.75" customHeight="1">
      <c r="A2645" s="25" t="s">
        <v>8536</v>
      </c>
      <c r="B2645" s="8" t="str">
        <f>IFERROR(__xludf.DUMMYFUNCTION("REGEXREPLACE(A2645, ""[^0-9a-zA-Z .'Ã]"","""")"),"David S. Ward")</f>
        <v>David S. Ward</v>
      </c>
      <c r="C2645" s="26">
        <v>57.0</v>
      </c>
      <c r="D2645" s="27">
        <v>4.9797148E7</v>
      </c>
      <c r="E2645" s="26" t="s">
        <v>3398</v>
      </c>
      <c r="F2645" s="9">
        <f t="shared" si="1"/>
        <v>2</v>
      </c>
      <c r="G2645" s="26" t="s">
        <v>6057</v>
      </c>
      <c r="H2645" s="11" t="str">
        <f>IFERROR(__xludf.DUMMYFUNCTION("REGEXREPLACE(G2645, ""[^0-9a-zA-Z .'Ã]"","""")"),"Corbin Bernsen")</f>
        <v>Corbin Bernsen</v>
      </c>
      <c r="I2645" s="28" t="s">
        <v>8537</v>
      </c>
      <c r="J2645" s="26">
        <v>49007.0</v>
      </c>
      <c r="K2645" s="26" t="s">
        <v>8538</v>
      </c>
      <c r="L2645" s="26">
        <v>97.0</v>
      </c>
      <c r="M2645" s="26" t="s">
        <v>24</v>
      </c>
      <c r="N2645" s="26" t="s">
        <v>25</v>
      </c>
      <c r="O2645" s="27">
        <v>1.1E7</v>
      </c>
      <c r="P2645" s="10">
        <f t="shared" si="2"/>
        <v>38797148</v>
      </c>
      <c r="Q2645" s="12">
        <f t="shared" si="3"/>
        <v>0</v>
      </c>
      <c r="R2645" s="26">
        <v>1989.0</v>
      </c>
      <c r="S2645" s="26">
        <v>7.2</v>
      </c>
    </row>
    <row r="2646" ht="15.75" customHeight="1">
      <c r="A2646" s="13" t="s">
        <v>8539</v>
      </c>
      <c r="B2646" s="8" t="str">
        <f>IFERROR(__xludf.DUMMYFUNCTION("REGEXREPLACE(A2646, ""[^0-9a-zA-Z .'Ã]"","""")"),"Ed Decter")</f>
        <v>Ed Decter</v>
      </c>
      <c r="C2646" s="14">
        <v>49.0</v>
      </c>
      <c r="D2646" s="15">
        <v>2.8972187E7</v>
      </c>
      <c r="E2646" s="14" t="s">
        <v>137</v>
      </c>
      <c r="F2646" s="9">
        <f t="shared" si="1"/>
        <v>1</v>
      </c>
      <c r="G2646" s="14" t="s">
        <v>3033</v>
      </c>
      <c r="H2646" s="11" t="str">
        <f>IFERROR(__xludf.DUMMYFUNCTION("REGEXREPLACE(G2646, ""[^0-9a-zA-Z .'Ã]"","""")"),"Zooey Deschanel")</f>
        <v>Zooey Deschanel</v>
      </c>
      <c r="I2646" s="16" t="s">
        <v>8540</v>
      </c>
      <c r="J2646" s="14">
        <v>28805.0</v>
      </c>
      <c r="K2646" s="14" t="s">
        <v>8541</v>
      </c>
      <c r="L2646" s="14">
        <v>159.0</v>
      </c>
      <c r="M2646" s="14" t="s">
        <v>24</v>
      </c>
      <c r="N2646" s="14" t="s">
        <v>25</v>
      </c>
      <c r="O2646" s="15">
        <v>1.3E7</v>
      </c>
      <c r="P2646" s="10">
        <f t="shared" si="2"/>
        <v>15972187</v>
      </c>
      <c r="Q2646" s="12">
        <f t="shared" si="3"/>
        <v>0</v>
      </c>
      <c r="R2646" s="14">
        <v>2002.0</v>
      </c>
      <c r="S2646" s="14">
        <v>5.9</v>
      </c>
    </row>
    <row r="2647" ht="15.75" customHeight="1">
      <c r="A2647" s="7" t="s">
        <v>8542</v>
      </c>
      <c r="B2647" s="8" t="str">
        <f>IFERROR(__xludf.DUMMYFUNCTION("REGEXREPLACE(A2647, ""[^0-9a-zA-Z .'Ã]"","""")"),"Christophe Barratier")</f>
        <v>Christophe Barratier</v>
      </c>
      <c r="C2647" s="9">
        <v>112.0</v>
      </c>
      <c r="D2647" s="10">
        <v>3629758.0</v>
      </c>
      <c r="E2647" s="9" t="s">
        <v>418</v>
      </c>
      <c r="F2647" s="9">
        <f t="shared" si="1"/>
        <v>2</v>
      </c>
      <c r="G2647" s="9" t="s">
        <v>8543</v>
      </c>
      <c r="H2647" s="11" t="str">
        <f>IFERROR(__xludf.DUMMYFUNCTION("REGEXREPLACE(G2647, ""[^0-9a-zA-Z .'Ã]"","""")"),"JeanBaptiste Maunier")</f>
        <v>JeanBaptiste Maunier</v>
      </c>
      <c r="I2647" s="11" t="s">
        <v>8544</v>
      </c>
      <c r="J2647" s="9">
        <v>44151.0</v>
      </c>
      <c r="K2647" s="9" t="s">
        <v>8545</v>
      </c>
      <c r="L2647" s="9">
        <v>110.0</v>
      </c>
      <c r="M2647" s="9" t="s">
        <v>658</v>
      </c>
      <c r="N2647" s="9" t="s">
        <v>608</v>
      </c>
      <c r="O2647" s="10">
        <v>5500000.0</v>
      </c>
      <c r="P2647" s="10">
        <f t="shared" si="2"/>
        <v>0</v>
      </c>
      <c r="Q2647" s="12">
        <f t="shared" si="3"/>
        <v>1870242</v>
      </c>
      <c r="R2647" s="9">
        <v>2004.0</v>
      </c>
      <c r="S2647" s="9">
        <v>7.9</v>
      </c>
    </row>
    <row r="2648" ht="15.75" customHeight="1">
      <c r="A2648" s="7" t="s">
        <v>8546</v>
      </c>
      <c r="B2648" s="8" t="str">
        <f>IFERROR(__xludf.DUMMYFUNCTION("REGEXREPLACE(A2648, ""[^0-9a-zA-Z .'Ã]"","""")"),"Fred Savage")</f>
        <v>Fred Savage</v>
      </c>
      <c r="C2648" s="9">
        <v>52.0</v>
      </c>
      <c r="D2648" s="10">
        <v>1.3235267E7</v>
      </c>
      <c r="E2648" s="9" t="s">
        <v>857</v>
      </c>
      <c r="F2648" s="9">
        <f t="shared" si="1"/>
        <v>2</v>
      </c>
      <c r="G2648" s="9" t="s">
        <v>4223</v>
      </c>
      <c r="H2648" s="11" t="str">
        <f>IFERROR(__xludf.DUMMYFUNCTION("REGEXREPLACE(G2648, ""[^0-9a-zA-Z .'Ã]"","""")"),"Lochlyn Munro")</f>
        <v>Lochlyn Munro</v>
      </c>
      <c r="I2648" s="11" t="s">
        <v>8547</v>
      </c>
      <c r="J2648" s="9">
        <v>12339.0</v>
      </c>
      <c r="K2648" s="9" t="s">
        <v>8548</v>
      </c>
      <c r="L2648" s="9">
        <v>32.0</v>
      </c>
      <c r="M2648" s="9" t="s">
        <v>24</v>
      </c>
      <c r="N2648" s="9" t="s">
        <v>25</v>
      </c>
      <c r="O2648" s="10">
        <v>6000000.0</v>
      </c>
      <c r="P2648" s="10">
        <f t="shared" si="2"/>
        <v>7235267</v>
      </c>
      <c r="Q2648" s="12">
        <f t="shared" si="3"/>
        <v>0</v>
      </c>
      <c r="R2648" s="9">
        <v>2007.0</v>
      </c>
      <c r="S2648" s="9">
        <v>2.9</v>
      </c>
    </row>
    <row r="2649" ht="15.75" customHeight="1">
      <c r="A2649" s="7" t="s">
        <v>8549</v>
      </c>
      <c r="B2649" s="8" t="str">
        <f>IFERROR(__xludf.DUMMYFUNCTION("REGEXREPLACE(A2649, ""[^0-9a-zA-Z .'Ã]"","""")"),"Mike Figgis")</f>
        <v>Mike Figgis</v>
      </c>
      <c r="C2649" s="9">
        <v>31.0</v>
      </c>
      <c r="D2649" s="10">
        <v>399793.0</v>
      </c>
      <c r="E2649" s="9" t="s">
        <v>103</v>
      </c>
      <c r="F2649" s="9">
        <f t="shared" si="1"/>
        <v>1</v>
      </c>
      <c r="G2649" s="9" t="s">
        <v>7592</v>
      </c>
      <c r="H2649" s="11" t="str">
        <f>IFERROR(__xludf.DUMMYFUNCTION("REGEXREPLACE(G2649, ""[^0-9a-zA-Z .'Ã]"","""")"),"Kelly Macdonald")</f>
        <v>Kelly Macdonald</v>
      </c>
      <c r="I2649" s="11" t="s">
        <v>8550</v>
      </c>
      <c r="J2649" s="9">
        <v>2877.0</v>
      </c>
      <c r="K2649" s="9" t="s">
        <v>8551</v>
      </c>
      <c r="L2649" s="9">
        <v>70.0</v>
      </c>
      <c r="M2649" s="9" t="s">
        <v>24</v>
      </c>
      <c r="N2649" s="9" t="s">
        <v>25</v>
      </c>
      <c r="O2649" s="10">
        <v>4000000.0</v>
      </c>
      <c r="P2649" s="10">
        <f t="shared" si="2"/>
        <v>0</v>
      </c>
      <c r="Q2649" s="12">
        <f t="shared" si="3"/>
        <v>3600207</v>
      </c>
      <c r="R2649" s="9">
        <v>1999.0</v>
      </c>
      <c r="S2649" s="9">
        <v>5.4</v>
      </c>
    </row>
    <row r="2650" ht="15.75" customHeight="1">
      <c r="A2650" s="7" t="s">
        <v>53</v>
      </c>
      <c r="B2650" s="8" t="str">
        <f>IFERROR(__xludf.DUMMYFUNCTION("REGEXREPLACE(A2650, ""[^0-9a-zA-Z .'Ã]"","""")"),"Quentin Tarantino")</f>
        <v>Quentin Tarantino</v>
      </c>
      <c r="C2650" s="9">
        <v>140.0</v>
      </c>
      <c r="D2650" s="10">
        <v>3.9647595E7</v>
      </c>
      <c r="E2650" s="9" t="s">
        <v>316</v>
      </c>
      <c r="F2650" s="9">
        <f t="shared" si="1"/>
        <v>2</v>
      </c>
      <c r="G2650" s="9" t="s">
        <v>883</v>
      </c>
      <c r="H2650" s="11" t="str">
        <f>IFERROR(__xludf.DUMMYFUNCTION("REGEXREPLACE(G2650, ""[^0-9a-zA-Z .'Ã]"","""")"),"Robert De Niro")</f>
        <v>Robert De Niro</v>
      </c>
      <c r="I2650" s="11" t="s">
        <v>8552</v>
      </c>
      <c r="J2650" s="9">
        <v>239540.0</v>
      </c>
      <c r="K2650" s="9" t="s">
        <v>8553</v>
      </c>
      <c r="L2650" s="9">
        <v>462.0</v>
      </c>
      <c r="M2650" s="9" t="s">
        <v>24</v>
      </c>
      <c r="N2650" s="9" t="s">
        <v>25</v>
      </c>
      <c r="O2650" s="10">
        <v>1.2E7</v>
      </c>
      <c r="P2650" s="10">
        <f t="shared" si="2"/>
        <v>27647595</v>
      </c>
      <c r="Q2650" s="12">
        <f t="shared" si="3"/>
        <v>0</v>
      </c>
      <c r="R2650" s="9">
        <v>1997.0</v>
      </c>
      <c r="S2650" s="9">
        <v>7.5</v>
      </c>
    </row>
    <row r="2651" ht="15.75" customHeight="1">
      <c r="A2651" s="21" t="s">
        <v>8127</v>
      </c>
      <c r="B2651" s="8" t="str">
        <f>IFERROR(__xludf.DUMMYFUNCTION("REGEXREPLACE(A2651, ""[^0-9a-zA-Z .'Ã]"","""")"),"Stephen Norrington")</f>
        <v>Stephen Norrington</v>
      </c>
      <c r="C2651" s="22">
        <v>184.0</v>
      </c>
      <c r="D2651" s="23">
        <v>7.0001065E7</v>
      </c>
      <c r="E2651" s="22" t="s">
        <v>5791</v>
      </c>
      <c r="F2651" s="9">
        <f t="shared" si="1"/>
        <v>2</v>
      </c>
      <c r="G2651" s="22" t="s">
        <v>8554</v>
      </c>
      <c r="H2651" s="11" t="str">
        <f>IFERROR(__xludf.DUMMYFUNCTION("REGEXREPLACE(G2651, ""[^0-9a-zA-Z .'Ã]"","""")"),"Sanaa Lathan")</f>
        <v>Sanaa Lathan</v>
      </c>
      <c r="I2651" s="24" t="s">
        <v>8555</v>
      </c>
      <c r="J2651" s="22">
        <v>191437.0</v>
      </c>
      <c r="K2651" s="22" t="s">
        <v>8556</v>
      </c>
      <c r="L2651" s="22">
        <v>582.0</v>
      </c>
      <c r="M2651" s="22" t="s">
        <v>24</v>
      </c>
      <c r="N2651" s="22" t="s">
        <v>25</v>
      </c>
      <c r="O2651" s="23">
        <v>4.5E7</v>
      </c>
      <c r="P2651" s="10">
        <f t="shared" si="2"/>
        <v>25001065</v>
      </c>
      <c r="Q2651" s="12">
        <f t="shared" si="3"/>
        <v>0</v>
      </c>
      <c r="R2651" s="22">
        <v>1998.0</v>
      </c>
      <c r="S2651" s="22">
        <v>7.1</v>
      </c>
    </row>
    <row r="2652" ht="15.75" customHeight="1">
      <c r="A2652" s="17" t="s">
        <v>4273</v>
      </c>
      <c r="B2652" s="8" t="str">
        <f>IFERROR(__xludf.DUMMYFUNCTION("REGEXREPLACE(A2652, ""[^0-9a-zA-Z .'Ã]"","""")"),"Peyton Reed")</f>
        <v>Peyton Reed</v>
      </c>
      <c r="C2652" s="18">
        <v>183.0</v>
      </c>
      <c r="D2652" s="19">
        <v>1.18683135E8</v>
      </c>
      <c r="E2652" s="18" t="s">
        <v>159</v>
      </c>
      <c r="F2652" s="9">
        <f t="shared" si="1"/>
        <v>3</v>
      </c>
      <c r="G2652" s="18" t="s">
        <v>505</v>
      </c>
      <c r="H2652" s="11" t="str">
        <f>IFERROR(__xludf.DUMMYFUNCTION("REGEXREPLACE(G2652, ""[^0-9a-zA-Z .'Ã]"","""")"),"Jon Favreau")</f>
        <v>Jon Favreau</v>
      </c>
      <c r="I2652" s="20" t="s">
        <v>8557</v>
      </c>
      <c r="J2652" s="18">
        <v>102167.0</v>
      </c>
      <c r="K2652" s="18" t="s">
        <v>8558</v>
      </c>
      <c r="L2652" s="18">
        <v>483.0</v>
      </c>
      <c r="M2652" s="18" t="s">
        <v>24</v>
      </c>
      <c r="N2652" s="18" t="s">
        <v>25</v>
      </c>
      <c r="O2652" s="19">
        <v>5.2E7</v>
      </c>
      <c r="P2652" s="10">
        <f t="shared" si="2"/>
        <v>66683135</v>
      </c>
      <c r="Q2652" s="12">
        <f t="shared" si="3"/>
        <v>0</v>
      </c>
      <c r="R2652" s="18">
        <v>2006.0</v>
      </c>
      <c r="S2652" s="18">
        <v>5.8</v>
      </c>
    </row>
    <row r="2653" ht="15.75" customHeight="1">
      <c r="A2653" s="25" t="s">
        <v>4285</v>
      </c>
      <c r="B2653" s="8" t="str">
        <f>IFERROR(__xludf.DUMMYFUNCTION("REGEXREPLACE(A2653, ""[^0-9a-zA-Z .'Ã]"","""")"),"Jay Duplass")</f>
        <v>Jay Duplass</v>
      </c>
      <c r="C2653" s="26">
        <v>51.0</v>
      </c>
      <c r="D2653" s="27">
        <v>192467.0</v>
      </c>
      <c r="E2653" s="26" t="s">
        <v>159</v>
      </c>
      <c r="F2653" s="9">
        <f t="shared" si="1"/>
        <v>3</v>
      </c>
      <c r="G2653" s="26" t="s">
        <v>8559</v>
      </c>
      <c r="H2653" s="11" t="str">
        <f>IFERROR(__xludf.DUMMYFUNCTION("REGEXREPLACE(G2653, ""[^0-9a-zA-Z .'Ã]"","""")"),"Mark Duplass")</f>
        <v>Mark Duplass</v>
      </c>
      <c r="I2653" s="28" t="s">
        <v>8560</v>
      </c>
      <c r="J2653" s="26">
        <v>4067.0</v>
      </c>
      <c r="K2653" s="26" t="s">
        <v>8561</v>
      </c>
      <c r="L2653" s="26">
        <v>71.0</v>
      </c>
      <c r="M2653" s="26" t="s">
        <v>24</v>
      </c>
      <c r="N2653" s="26" t="s">
        <v>25</v>
      </c>
      <c r="O2653" s="27">
        <v>15000.0</v>
      </c>
      <c r="P2653" s="10">
        <f t="shared" si="2"/>
        <v>177467</v>
      </c>
      <c r="Q2653" s="12">
        <f t="shared" si="3"/>
        <v>0</v>
      </c>
      <c r="R2653" s="26">
        <v>2005.0</v>
      </c>
      <c r="S2653" s="26">
        <v>6.6</v>
      </c>
    </row>
    <row r="2654" ht="15.75" customHeight="1">
      <c r="A2654" s="7" t="s">
        <v>8562</v>
      </c>
      <c r="B2654" s="8" t="str">
        <f>IFERROR(__xludf.DUMMYFUNCTION("REGEXREPLACE(A2654, ""[^0-9a-zA-Z .'Ã]"","""")"),"Ti West")</f>
        <v>Ti West</v>
      </c>
      <c r="C2654" s="9">
        <v>238.0</v>
      </c>
      <c r="D2654" s="10">
        <v>100659.0</v>
      </c>
      <c r="E2654" s="9" t="s">
        <v>148</v>
      </c>
      <c r="F2654" s="9">
        <f t="shared" si="1"/>
        <v>1</v>
      </c>
      <c r="G2654" s="9" t="s">
        <v>4904</v>
      </c>
      <c r="H2654" s="11" t="str">
        <f>IFERROR(__xludf.DUMMYFUNCTION("REGEXREPLACE(G2654, ""[^0-9a-zA-Z .'Ã]"","""")"),"Lena Dunham")</f>
        <v>Lena Dunham</v>
      </c>
      <c r="I2654" s="11" t="s">
        <v>8563</v>
      </c>
      <c r="J2654" s="9">
        <v>30160.0</v>
      </c>
      <c r="K2654" s="9" t="s">
        <v>8564</v>
      </c>
      <c r="L2654" s="9">
        <v>193.0</v>
      </c>
      <c r="M2654" s="9" t="s">
        <v>24</v>
      </c>
      <c r="N2654" s="9" t="s">
        <v>25</v>
      </c>
      <c r="O2654" s="10">
        <v>900000.0</v>
      </c>
      <c r="P2654" s="10">
        <f t="shared" si="2"/>
        <v>0</v>
      </c>
      <c r="Q2654" s="12">
        <f t="shared" si="3"/>
        <v>799341</v>
      </c>
      <c r="R2654" s="9">
        <v>2009.0</v>
      </c>
      <c r="S2654" s="9">
        <v>6.4</v>
      </c>
    </row>
    <row r="2655" ht="15.75" customHeight="1">
      <c r="A2655" s="21" t="s">
        <v>342</v>
      </c>
      <c r="B2655" s="8" t="str">
        <f>IFERROR(__xludf.DUMMYFUNCTION("REGEXREPLACE(A2655, ""[^0-9a-zA-Z .'Ã]"","""")"),"Peter Chelsom")</f>
        <v>Peter Chelsom</v>
      </c>
      <c r="C2655" s="22">
        <v>62.0</v>
      </c>
      <c r="D2655" s="23">
        <v>6712451.0</v>
      </c>
      <c r="E2655" s="22" t="s">
        <v>89</v>
      </c>
      <c r="F2655" s="9">
        <f t="shared" si="1"/>
        <v>2</v>
      </c>
      <c r="G2655" s="22" t="s">
        <v>8565</v>
      </c>
      <c r="H2655" s="11" t="str">
        <f>IFERROR(__xludf.DUMMYFUNCTION("REGEXREPLACE(G2655, ""[^0-9a-zA-Z .'Ã]"","""")"),"Del Zamora")</f>
        <v>Del Zamora</v>
      </c>
      <c r="I2655" s="24" t="s">
        <v>8566</v>
      </c>
      <c r="J2655" s="22">
        <v>4102.0</v>
      </c>
      <c r="K2655" s="22" t="s">
        <v>8567</v>
      </c>
      <c r="L2655" s="22">
        <v>89.0</v>
      </c>
      <c r="M2655" s="22" t="s">
        <v>24</v>
      </c>
      <c r="N2655" s="22" t="s">
        <v>8568</v>
      </c>
      <c r="O2655" s="23">
        <v>9.0E7</v>
      </c>
      <c r="P2655" s="10">
        <f t="shared" si="2"/>
        <v>0</v>
      </c>
      <c r="Q2655" s="12">
        <f t="shared" si="3"/>
        <v>83287549</v>
      </c>
      <c r="R2655" s="22">
        <v>2001.0</v>
      </c>
      <c r="S2655" s="22">
        <v>4.4</v>
      </c>
    </row>
    <row r="2656" ht="15.75" customHeight="1">
      <c r="A2656" s="17" t="s">
        <v>189</v>
      </c>
      <c r="B2656" s="8" t="str">
        <f>IFERROR(__xludf.DUMMYFUNCTION("REGEXREPLACE(A2656, ""[^0-9a-zA-Z .'Ã]"","""")"),"Robert Luketic")</f>
        <v>Robert Luketic</v>
      </c>
      <c r="C2656" s="18">
        <v>174.0</v>
      </c>
      <c r="D2656" s="19">
        <v>8.8915214E7</v>
      </c>
      <c r="E2656" s="18" t="s">
        <v>89</v>
      </c>
      <c r="F2656" s="9">
        <f t="shared" si="1"/>
        <v>2</v>
      </c>
      <c r="G2656" s="18" t="s">
        <v>830</v>
      </c>
      <c r="H2656" s="11" t="str">
        <f>IFERROR(__xludf.DUMMYFUNCTION("REGEXREPLACE(G2656, ""[^0-9a-zA-Z .'Ã]"","""")"),"Gerard Butler")</f>
        <v>Gerard Butler</v>
      </c>
      <c r="I2656" s="20" t="s">
        <v>8569</v>
      </c>
      <c r="J2656" s="18">
        <v>163665.0</v>
      </c>
      <c r="K2656" s="18" t="s">
        <v>8570</v>
      </c>
      <c r="L2656" s="18">
        <v>169.0</v>
      </c>
      <c r="M2656" s="18" t="s">
        <v>24</v>
      </c>
      <c r="N2656" s="18" t="s">
        <v>25</v>
      </c>
      <c r="O2656" s="19">
        <v>3.8E7</v>
      </c>
      <c r="P2656" s="10">
        <f t="shared" si="2"/>
        <v>50915214</v>
      </c>
      <c r="Q2656" s="12">
        <f t="shared" si="3"/>
        <v>0</v>
      </c>
      <c r="R2656" s="18">
        <v>2009.0</v>
      </c>
      <c r="S2656" s="18">
        <v>6.5</v>
      </c>
    </row>
    <row r="2657" ht="15.75" customHeight="1">
      <c r="A2657" s="17" t="s">
        <v>4410</v>
      </c>
      <c r="B2657" s="8" t="str">
        <f>IFERROR(__xludf.DUMMYFUNCTION("REGEXREPLACE(A2657, ""[^0-9a-zA-Z .'Ã]"","""")"),"Albert Brooks")</f>
        <v>Albert Brooks</v>
      </c>
      <c r="C2657" s="18">
        <v>97.0</v>
      </c>
      <c r="D2657" s="19">
        <v>1.1614236E7</v>
      </c>
      <c r="E2657" s="18" t="s">
        <v>137</v>
      </c>
      <c r="F2657" s="9">
        <f t="shared" si="1"/>
        <v>1</v>
      </c>
      <c r="G2657" s="18" t="s">
        <v>1400</v>
      </c>
      <c r="H2657" s="11" t="str">
        <f>IFERROR(__xludf.DUMMYFUNCTION("REGEXREPLACE(G2657, ""[^0-9a-zA-Z .'Ã]"","""")"),"Jeff Bridges")</f>
        <v>Jeff Bridges</v>
      </c>
      <c r="I2657" s="20" t="s">
        <v>8571</v>
      </c>
      <c r="J2657" s="18">
        <v>9294.0</v>
      </c>
      <c r="K2657" s="18" t="s">
        <v>8572</v>
      </c>
      <c r="L2657" s="18">
        <v>140.0</v>
      </c>
      <c r="M2657" s="18" t="s">
        <v>24</v>
      </c>
      <c r="N2657" s="18" t="s">
        <v>25</v>
      </c>
      <c r="O2657" s="19">
        <v>1.5E7</v>
      </c>
      <c r="P2657" s="10">
        <f t="shared" si="2"/>
        <v>0</v>
      </c>
      <c r="Q2657" s="12">
        <f t="shared" si="3"/>
        <v>3385764</v>
      </c>
      <c r="R2657" s="18">
        <v>1999.0</v>
      </c>
      <c r="S2657" s="18">
        <v>5.6</v>
      </c>
    </row>
    <row r="2658" ht="15.75" customHeight="1">
      <c r="A2658" s="21" t="s">
        <v>8573</v>
      </c>
      <c r="B2658" s="8" t="str">
        <f>IFERROR(__xludf.DUMMYFUNCTION("REGEXREPLACE(A2658, ""[^0-9a-zA-Z .'Ã]"","""")"),"Joe Pytka")</f>
        <v>Joe Pytka</v>
      </c>
      <c r="C2658" s="22">
        <v>46.0</v>
      </c>
      <c r="D2658" s="23">
        <v>9.0443603E7</v>
      </c>
      <c r="E2658" s="22" t="s">
        <v>8574</v>
      </c>
      <c r="F2658" s="9">
        <f t="shared" si="1"/>
        <v>7</v>
      </c>
      <c r="G2658" s="22" t="s">
        <v>470</v>
      </c>
      <c r="H2658" s="11" t="str">
        <f>IFERROR(__xludf.DUMMYFUNCTION("REGEXREPLACE(G2658, ""[^0-9a-zA-Z .'Ã]"","""")"),"Bill Murray")</f>
        <v>Bill Murray</v>
      </c>
      <c r="I2658" s="24" t="s">
        <v>8575</v>
      </c>
      <c r="J2658" s="22">
        <v>112167.0</v>
      </c>
      <c r="K2658" s="22" t="s">
        <v>8576</v>
      </c>
      <c r="L2658" s="22">
        <v>123.0</v>
      </c>
      <c r="M2658" s="22" t="s">
        <v>24</v>
      </c>
      <c r="N2658" s="22" t="s">
        <v>25</v>
      </c>
      <c r="O2658" s="23">
        <v>8.0E7</v>
      </c>
      <c r="P2658" s="10">
        <f t="shared" si="2"/>
        <v>10443603</v>
      </c>
      <c r="Q2658" s="12">
        <f t="shared" si="3"/>
        <v>0</v>
      </c>
      <c r="R2658" s="22">
        <v>1996.0</v>
      </c>
      <c r="S2658" s="22">
        <v>6.3</v>
      </c>
    </row>
    <row r="2659" ht="15.75" customHeight="1">
      <c r="A2659" s="17" t="s">
        <v>8577</v>
      </c>
      <c r="B2659" s="8" t="str">
        <f>IFERROR(__xludf.DUMMYFUNCTION("REGEXREPLACE(A2659, ""[^0-9a-zA-Z .'Ã]"","""")"),"David Soren")</f>
        <v>David Soren</v>
      </c>
      <c r="C2659" s="18">
        <v>166.0</v>
      </c>
      <c r="D2659" s="19">
        <v>8.30249E7</v>
      </c>
      <c r="E2659" s="18" t="s">
        <v>2397</v>
      </c>
      <c r="F2659" s="9">
        <f t="shared" si="1"/>
        <v>5</v>
      </c>
      <c r="G2659" s="18" t="s">
        <v>2451</v>
      </c>
      <c r="H2659" s="11" t="str">
        <f>IFERROR(__xludf.DUMMYFUNCTION("REGEXREPLACE(G2659, ""[^0-9a-zA-Z .'Ã]"","""")"),"Ryan Reynolds")</f>
        <v>Ryan Reynolds</v>
      </c>
      <c r="I2659" s="20" t="s">
        <v>8578</v>
      </c>
      <c r="J2659" s="18">
        <v>62424.0</v>
      </c>
      <c r="K2659" s="18" t="s">
        <v>8579</v>
      </c>
      <c r="L2659" s="18">
        <v>90.0</v>
      </c>
      <c r="M2659" s="18" t="s">
        <v>24</v>
      </c>
      <c r="N2659" s="18" t="s">
        <v>25</v>
      </c>
      <c r="O2659" s="19">
        <v>1.35E8</v>
      </c>
      <c r="P2659" s="10">
        <f t="shared" si="2"/>
        <v>0</v>
      </c>
      <c r="Q2659" s="12">
        <f t="shared" si="3"/>
        <v>51975100</v>
      </c>
      <c r="R2659" s="18">
        <v>2013.0</v>
      </c>
      <c r="S2659" s="18">
        <v>6.5</v>
      </c>
    </row>
    <row r="2660" ht="15.75" customHeight="1">
      <c r="A2660" s="7" t="s">
        <v>1740</v>
      </c>
      <c r="B2660" s="8" t="str">
        <f>IFERROR(__xludf.DUMMYFUNCTION("REGEXREPLACE(A2660, ""[^0-9a-zA-Z .'Ã]"","""")"),"Woody Allen")</f>
        <v>Woody Allen</v>
      </c>
      <c r="C2660" s="9">
        <v>177.0</v>
      </c>
      <c r="D2660" s="10">
        <v>1.0515579E7</v>
      </c>
      <c r="E2660" s="9" t="s">
        <v>901</v>
      </c>
      <c r="F2660" s="9">
        <f t="shared" si="1"/>
        <v>3</v>
      </c>
      <c r="G2660" s="9" t="s">
        <v>436</v>
      </c>
      <c r="H2660" s="11" t="str">
        <f>IFERROR(__xludf.DUMMYFUNCTION("REGEXREPLACE(G2660, ""[^0-9a-zA-Z .'Ã]"","""")"),"Scarlett Johansson")</f>
        <v>Scarlett Johansson</v>
      </c>
      <c r="I2660" s="11" t="s">
        <v>8580</v>
      </c>
      <c r="J2660" s="9">
        <v>66840.0</v>
      </c>
      <c r="K2660" s="9" t="s">
        <v>8581</v>
      </c>
      <c r="L2660" s="9">
        <v>248.0</v>
      </c>
      <c r="M2660" s="9" t="s">
        <v>24</v>
      </c>
      <c r="N2660" s="9" t="s">
        <v>130</v>
      </c>
      <c r="O2660" s="10">
        <v>4000000.0</v>
      </c>
      <c r="P2660" s="10">
        <f t="shared" si="2"/>
        <v>6515579</v>
      </c>
      <c r="Q2660" s="12">
        <f t="shared" si="3"/>
        <v>0</v>
      </c>
      <c r="R2660" s="9">
        <v>2006.0</v>
      </c>
      <c r="S2660" s="9">
        <v>6.7</v>
      </c>
    </row>
    <row r="2661" ht="15.75" customHeight="1">
      <c r="A2661" s="29" t="s">
        <v>1470</v>
      </c>
      <c r="B2661" s="8" t="str">
        <f>IFERROR(__xludf.DUMMYFUNCTION("REGEXREPLACE(A2661, ""[^0-9a-zA-Z .'Ã]"","""")"),"Danny Cannon")</f>
        <v>Danny Cannon</v>
      </c>
      <c r="C2661" s="30">
        <v>90.0</v>
      </c>
      <c r="D2661" s="31">
        <v>4280577.0</v>
      </c>
      <c r="E2661" s="30" t="s">
        <v>6081</v>
      </c>
      <c r="F2661" s="9">
        <f t="shared" si="1"/>
        <v>3</v>
      </c>
      <c r="G2661" s="30" t="s">
        <v>3526</v>
      </c>
      <c r="H2661" s="11" t="str">
        <f>IFERROR(__xludf.DUMMYFUNCTION("REGEXREPLACE(G2661, ""[^0-9a-zA-Z .'Ã]"","""")"),"Sean Pertwee")</f>
        <v>Sean Pertwee</v>
      </c>
      <c r="I2661" s="32" t="s">
        <v>8582</v>
      </c>
      <c r="J2661" s="30">
        <v>50919.0</v>
      </c>
      <c r="K2661" s="30" t="s">
        <v>8583</v>
      </c>
      <c r="L2661" s="30">
        <v>114.0</v>
      </c>
      <c r="M2661" s="30" t="s">
        <v>24</v>
      </c>
      <c r="N2661" s="30" t="s">
        <v>25</v>
      </c>
      <c r="O2661" s="31">
        <v>1.0E7</v>
      </c>
      <c r="P2661" s="10">
        <f t="shared" si="2"/>
        <v>0</v>
      </c>
      <c r="Q2661" s="12">
        <f t="shared" si="3"/>
        <v>5719423</v>
      </c>
      <c r="R2661" s="30">
        <v>2005.0</v>
      </c>
      <c r="S2661" s="30">
        <v>6.8</v>
      </c>
    </row>
    <row r="2662" ht="15.75" customHeight="1">
      <c r="A2662" s="21" t="s">
        <v>8584</v>
      </c>
      <c r="B2662" s="8" t="str">
        <f>IFERROR(__xludf.DUMMYFUNCTION("REGEXREPLACE(A2662, ""[^0-9a-zA-Z .'Ã]"","""")"),"Tony Maylam")</f>
        <v>Tony Maylam</v>
      </c>
      <c r="C2662" s="22">
        <v>39.0</v>
      </c>
      <c r="D2662" s="23">
        <v>5430822.0</v>
      </c>
      <c r="E2662" s="22" t="s">
        <v>8585</v>
      </c>
      <c r="F2662" s="9">
        <f t="shared" si="1"/>
        <v>5</v>
      </c>
      <c r="G2662" s="22" t="s">
        <v>8586</v>
      </c>
      <c r="H2662" s="11" t="str">
        <f>IFERROR(__xludf.DUMMYFUNCTION("REGEXREPLACE(G2662, ""[^0-9a-zA-Z .'Ã]"","""")"),"Michael J. Pollard")</f>
        <v>Michael J. Pollard</v>
      </c>
      <c r="I2662" s="24" t="s">
        <v>8587</v>
      </c>
      <c r="J2662" s="22">
        <v>8391.0</v>
      </c>
      <c r="K2662" s="22" t="s">
        <v>8588</v>
      </c>
      <c r="L2662" s="22">
        <v>75.0</v>
      </c>
      <c r="M2662" s="22" t="s">
        <v>24</v>
      </c>
      <c r="N2662" s="22" t="s">
        <v>130</v>
      </c>
      <c r="O2662" s="23">
        <v>7000000.0</v>
      </c>
      <c r="P2662" s="10">
        <f t="shared" si="2"/>
        <v>0</v>
      </c>
      <c r="Q2662" s="12">
        <f t="shared" si="3"/>
        <v>1569178</v>
      </c>
      <c r="R2662" s="22">
        <v>1992.0</v>
      </c>
      <c r="S2662" s="22">
        <v>6.2</v>
      </c>
    </row>
    <row r="2663" ht="15.75" customHeight="1">
      <c r="A2663" s="21" t="s">
        <v>4009</v>
      </c>
      <c r="B2663" s="8" t="str">
        <f>IFERROR(__xludf.DUMMYFUNCTION("REGEXREPLACE(A2663, ""[^0-9a-zA-Z .'Ã]"","""")"),"Robert Harmon")</f>
        <v>Robert Harmon</v>
      </c>
      <c r="C2663" s="22">
        <v>25.0</v>
      </c>
      <c r="D2663" s="23">
        <v>2.2189039E7</v>
      </c>
      <c r="E2663" s="22" t="s">
        <v>164</v>
      </c>
      <c r="F2663" s="9">
        <f t="shared" si="1"/>
        <v>5</v>
      </c>
      <c r="G2663" s="22" t="s">
        <v>3897</v>
      </c>
      <c r="H2663" s="11" t="str">
        <f>IFERROR(__xludf.DUMMYFUNCTION("REGEXREPLACE(G2663, ""[^0-9a-zA-Z .'Ã]"","""")"),"Kieran Culkin")</f>
        <v>Kieran Culkin</v>
      </c>
      <c r="I2663" s="24" t="s">
        <v>8589</v>
      </c>
      <c r="J2663" s="22">
        <v>17074.0</v>
      </c>
      <c r="K2663" s="22" t="s">
        <v>8590</v>
      </c>
      <c r="L2663" s="22">
        <v>55.0</v>
      </c>
      <c r="M2663" s="22" t="s">
        <v>24</v>
      </c>
      <c r="N2663" s="22" t="s">
        <v>25</v>
      </c>
      <c r="O2663" s="23">
        <v>1.5E7</v>
      </c>
      <c r="P2663" s="10">
        <f t="shared" si="2"/>
        <v>7189039</v>
      </c>
      <c r="Q2663" s="12">
        <f t="shared" si="3"/>
        <v>0</v>
      </c>
      <c r="R2663" s="22">
        <v>1993.0</v>
      </c>
      <c r="S2663" s="22">
        <v>5.5</v>
      </c>
    </row>
    <row r="2664" ht="15.75" customHeight="1">
      <c r="A2664" s="7" t="s">
        <v>3467</v>
      </c>
      <c r="B2664" s="8" t="str">
        <f>IFERROR(__xludf.DUMMYFUNCTION("REGEXREPLACE(A2664, ""[^0-9a-zA-Z -.'Ã]"","""")"),"Lasse HallstrÃm")</f>
        <v>Lasse HallstrÃm</v>
      </c>
      <c r="C2664" s="9">
        <v>142.0</v>
      </c>
      <c r="D2664" s="10">
        <v>7156933.0</v>
      </c>
      <c r="E2664" s="9" t="s">
        <v>454</v>
      </c>
      <c r="F2664" s="9">
        <f t="shared" si="1"/>
        <v>2</v>
      </c>
      <c r="G2664" s="9" t="s">
        <v>2735</v>
      </c>
      <c r="H2664" s="11" t="str">
        <f>IFERROR(__xludf.DUMMYFUNCTION("REGEXREPLACE(G2664, ""[^0-9a-zA-Z .'Ã]"","""")"),"Hope Davis")</f>
        <v>Hope Davis</v>
      </c>
      <c r="I2664" s="11" t="s">
        <v>8591</v>
      </c>
      <c r="J2664" s="9">
        <v>14581.0</v>
      </c>
      <c r="K2664" s="9" t="s">
        <v>8592</v>
      </c>
      <c r="L2664" s="9">
        <v>74.0</v>
      </c>
      <c r="M2664" s="9" t="s">
        <v>24</v>
      </c>
      <c r="N2664" s="9" t="s">
        <v>25</v>
      </c>
      <c r="O2664" s="10">
        <v>2.5E7</v>
      </c>
      <c r="P2664" s="10">
        <f t="shared" si="2"/>
        <v>0</v>
      </c>
      <c r="Q2664" s="12">
        <f t="shared" si="3"/>
        <v>17843067</v>
      </c>
      <c r="R2664" s="9">
        <v>2006.0</v>
      </c>
      <c r="S2664" s="9">
        <v>6.7</v>
      </c>
    </row>
    <row r="2665" ht="15.75" customHeight="1">
      <c r="A2665" s="25" t="s">
        <v>8593</v>
      </c>
      <c r="B2665" s="8" t="str">
        <f>IFERROR(__xludf.DUMMYFUNCTION("REGEXREPLACE(A2665, ""[^0-9a-zA-Z .'Ã]"","""")"),"George Cukor")</f>
        <v>George Cukor</v>
      </c>
      <c r="C2665" s="26">
        <v>82.0</v>
      </c>
      <c r="D2665" s="27">
        <v>7.2E7</v>
      </c>
      <c r="E2665" s="26" t="s">
        <v>4673</v>
      </c>
      <c r="F2665" s="9">
        <f t="shared" si="1"/>
        <v>4</v>
      </c>
      <c r="G2665" s="26" t="s">
        <v>8594</v>
      </c>
      <c r="H2665" s="11" t="str">
        <f>IFERROR(__xludf.DUMMYFUNCTION("REGEXREPLACE(G2665, ""[^0-9a-zA-Z .'Ã]"","""")"),"Jeremy Brett")</f>
        <v>Jeremy Brett</v>
      </c>
      <c r="I2665" s="28" t="s">
        <v>8595</v>
      </c>
      <c r="J2665" s="26">
        <v>66959.0</v>
      </c>
      <c r="K2665" s="26" t="s">
        <v>8596</v>
      </c>
      <c r="L2665" s="26">
        <v>258.0</v>
      </c>
      <c r="M2665" s="26" t="s">
        <v>24</v>
      </c>
      <c r="N2665" s="26" t="s">
        <v>25</v>
      </c>
      <c r="O2665" s="27">
        <v>1.7E7</v>
      </c>
      <c r="P2665" s="10">
        <f t="shared" si="2"/>
        <v>55000000</v>
      </c>
      <c r="Q2665" s="12">
        <f t="shared" si="3"/>
        <v>0</v>
      </c>
      <c r="R2665" s="26">
        <v>1964.0</v>
      </c>
      <c r="S2665" s="26">
        <v>7.9</v>
      </c>
    </row>
    <row r="2666" ht="15.75" customHeight="1">
      <c r="A2666" s="21" t="s">
        <v>8597</v>
      </c>
      <c r="B2666" s="8" t="str">
        <f>IFERROR(__xludf.DUMMYFUNCTION("REGEXREPLACE(A2666, ""[^0-9a-zA-Z .'Ã]"","""")"),"Mark Mylod")</f>
        <v>Mark Mylod</v>
      </c>
      <c r="C2666" s="22">
        <v>151.0</v>
      </c>
      <c r="D2666" s="23">
        <v>1.3987482E7</v>
      </c>
      <c r="E2666" s="22" t="s">
        <v>89</v>
      </c>
      <c r="F2666" s="9">
        <f t="shared" si="1"/>
        <v>2</v>
      </c>
      <c r="G2666" s="22" t="s">
        <v>983</v>
      </c>
      <c r="H2666" s="11" t="str">
        <f>IFERROR(__xludf.DUMMYFUNCTION("REGEXREPLACE(G2666, ""[^0-9a-zA-Z .'Ã]"","""")"),"Chris Evans")</f>
        <v>Chris Evans</v>
      </c>
      <c r="I2666" s="24" t="s">
        <v>8598</v>
      </c>
      <c r="J2666" s="22">
        <v>58957.0</v>
      </c>
      <c r="K2666" s="22" t="s">
        <v>8599</v>
      </c>
      <c r="L2666" s="22">
        <v>91.0</v>
      </c>
      <c r="M2666" s="22" t="s">
        <v>24</v>
      </c>
      <c r="N2666" s="22" t="s">
        <v>25</v>
      </c>
      <c r="O2666" s="23">
        <v>2.0E7</v>
      </c>
      <c r="P2666" s="10">
        <f t="shared" si="2"/>
        <v>0</v>
      </c>
      <c r="Q2666" s="12">
        <f t="shared" si="3"/>
        <v>6012518</v>
      </c>
      <c r="R2666" s="22">
        <v>2011.0</v>
      </c>
      <c r="S2666" s="22">
        <v>6.0</v>
      </c>
    </row>
    <row r="2667" ht="15.75" customHeight="1">
      <c r="A2667" s="13" t="s">
        <v>8600</v>
      </c>
      <c r="B2667" s="8" t="str">
        <f>IFERROR(__xludf.DUMMYFUNCTION("REGEXREPLACE(A2667, ""[^0-9a-zA-Z .'Ã]"","""")"),"Damien Dante Wayans")</f>
        <v>Damien Dante Wayans</v>
      </c>
      <c r="C2667" s="14">
        <v>83.0</v>
      </c>
      <c r="D2667" s="15">
        <v>2.5615792E7</v>
      </c>
      <c r="E2667" s="14" t="s">
        <v>8601</v>
      </c>
      <c r="F2667" s="9">
        <f t="shared" si="1"/>
        <v>3</v>
      </c>
      <c r="G2667" s="14" t="s">
        <v>8602</v>
      </c>
      <c r="H2667" s="11" t="str">
        <f>IFERROR(__xludf.DUMMYFUNCTION("REGEXREPLACE(G2667, ""[^0-9a-zA-Z .'Ã]"","""")"),"Damon Wayans Jr.")</f>
        <v>Damon Wayans Jr.</v>
      </c>
      <c r="I2667" s="16" t="s">
        <v>8603</v>
      </c>
      <c r="J2667" s="14">
        <v>10161.0</v>
      </c>
      <c r="K2667" s="14" t="s">
        <v>8604</v>
      </c>
      <c r="L2667" s="14">
        <v>50.0</v>
      </c>
      <c r="M2667" s="14" t="s">
        <v>24</v>
      </c>
      <c r="N2667" s="14" t="s">
        <v>25</v>
      </c>
      <c r="O2667" s="15">
        <v>2.5E7</v>
      </c>
      <c r="P2667" s="10">
        <f t="shared" si="2"/>
        <v>615792</v>
      </c>
      <c r="Q2667" s="12">
        <f t="shared" si="3"/>
        <v>0</v>
      </c>
      <c r="R2667" s="14">
        <v>2009.0</v>
      </c>
      <c r="S2667" s="14">
        <v>3.5</v>
      </c>
    </row>
    <row r="2668" ht="15.75" customHeight="1">
      <c r="A2668" s="25" t="s">
        <v>189</v>
      </c>
      <c r="B2668" s="8" t="str">
        <f>IFERROR(__xludf.DUMMYFUNCTION("REGEXREPLACE(A2668, ""[^0-9a-zA-Z .'Ã]"","""")"),"Robert Luketic")</f>
        <v>Robert Luketic</v>
      </c>
      <c r="C2668" s="26">
        <v>163.0</v>
      </c>
      <c r="D2668" s="27">
        <v>9.5001351E7</v>
      </c>
      <c r="E2668" s="26" t="s">
        <v>89</v>
      </c>
      <c r="F2668" s="9">
        <f t="shared" si="1"/>
        <v>2</v>
      </c>
      <c r="G2668" s="26" t="s">
        <v>2103</v>
      </c>
      <c r="H2668" s="11" t="str">
        <f>IFERROR(__xludf.DUMMYFUNCTION("REGEXREPLACE(G2668, ""[^0-9a-zA-Z .'Ã]"","""")"),"Linda Cardellini")</f>
        <v>Linda Cardellini</v>
      </c>
      <c r="I2668" s="28" t="s">
        <v>8605</v>
      </c>
      <c r="J2668" s="26">
        <v>131801.0</v>
      </c>
      <c r="K2668" s="26" t="s">
        <v>8606</v>
      </c>
      <c r="L2668" s="26">
        <v>548.0</v>
      </c>
      <c r="M2668" s="26" t="s">
        <v>24</v>
      </c>
      <c r="N2668" s="26" t="s">
        <v>25</v>
      </c>
      <c r="O2668" s="27">
        <v>1.8E7</v>
      </c>
      <c r="P2668" s="10">
        <f t="shared" si="2"/>
        <v>77001351</v>
      </c>
      <c r="Q2668" s="12">
        <f t="shared" si="3"/>
        <v>0</v>
      </c>
      <c r="R2668" s="26">
        <v>2001.0</v>
      </c>
      <c r="S2668" s="26">
        <v>6.2</v>
      </c>
    </row>
    <row r="2669" ht="15.75" customHeight="1">
      <c r="A2669" s="7" t="s">
        <v>8607</v>
      </c>
      <c r="B2669" s="8" t="str">
        <f>IFERROR(__xludf.DUMMYFUNCTION("REGEXREPLACE(A2669, ""[^0-9a-zA-Z .'Ã]"","""")"),"Jim Mickle")</f>
        <v>Jim Mickle</v>
      </c>
      <c r="C2669" s="9">
        <v>215.0</v>
      </c>
      <c r="D2669" s="10">
        <v>18469.0</v>
      </c>
      <c r="E2669" s="9" t="s">
        <v>4874</v>
      </c>
      <c r="F2669" s="9">
        <f t="shared" si="1"/>
        <v>3</v>
      </c>
      <c r="G2669" s="9" t="s">
        <v>8608</v>
      </c>
      <c r="H2669" s="11" t="str">
        <f>IFERROR(__xludf.DUMMYFUNCTION("REGEXREPLACE(G2669, ""[^0-9a-zA-Z .'Ã]"","""")"),"Connor Paolo")</f>
        <v>Connor Paolo</v>
      </c>
      <c r="I2669" s="11" t="s">
        <v>8609</v>
      </c>
      <c r="J2669" s="9">
        <v>34263.0</v>
      </c>
      <c r="K2669" s="9" t="s">
        <v>8610</v>
      </c>
      <c r="L2669" s="9">
        <v>141.0</v>
      </c>
      <c r="M2669" s="9" t="s">
        <v>24</v>
      </c>
      <c r="N2669" s="9" t="s">
        <v>25</v>
      </c>
      <c r="O2669" s="10">
        <v>650000.0</v>
      </c>
      <c r="P2669" s="10">
        <f t="shared" si="2"/>
        <v>0</v>
      </c>
      <c r="Q2669" s="12">
        <f t="shared" si="3"/>
        <v>631531</v>
      </c>
      <c r="R2669" s="9">
        <v>2010.0</v>
      </c>
      <c r="S2669" s="9">
        <v>6.5</v>
      </c>
    </row>
    <row r="2670" ht="15.75" customHeight="1">
      <c r="A2670" s="17" t="s">
        <v>4502</v>
      </c>
      <c r="B2670" s="8" t="str">
        <f>IFERROR(__xludf.DUMMYFUNCTION("REGEXREPLACE(A2670, ""[^0-9a-zA-Z .'Ã]"","""")"),"Kenny Ortega")</f>
        <v>Kenny Ortega</v>
      </c>
      <c r="C2670" s="18">
        <v>128.0</v>
      </c>
      <c r="D2670" s="19">
        <v>9.0556401E7</v>
      </c>
      <c r="E2670" s="18" t="s">
        <v>7989</v>
      </c>
      <c r="F2670" s="9">
        <f t="shared" si="1"/>
        <v>6</v>
      </c>
      <c r="G2670" s="18" t="s">
        <v>8611</v>
      </c>
      <c r="H2670" s="11" t="str">
        <f>IFERROR(__xludf.DUMMYFUNCTION("REGEXREPLACE(G2670, ""[^0-9a-zA-Z .'Ã]"","""")"),"Lucas Grabeel")</f>
        <v>Lucas Grabeel</v>
      </c>
      <c r="I2670" s="20" t="s">
        <v>8612</v>
      </c>
      <c r="J2670" s="18">
        <v>43795.0</v>
      </c>
      <c r="K2670" s="18" t="s">
        <v>8613</v>
      </c>
      <c r="L2670" s="18">
        <v>171.0</v>
      </c>
      <c r="M2670" s="18" t="s">
        <v>24</v>
      </c>
      <c r="N2670" s="18" t="s">
        <v>25</v>
      </c>
      <c r="O2670" s="19">
        <v>1.1E7</v>
      </c>
      <c r="P2670" s="10">
        <f t="shared" si="2"/>
        <v>79556401</v>
      </c>
      <c r="Q2670" s="12">
        <f t="shared" si="3"/>
        <v>0</v>
      </c>
      <c r="R2670" s="18">
        <v>2008.0</v>
      </c>
      <c r="S2670" s="18">
        <v>4.5</v>
      </c>
    </row>
    <row r="2671" ht="15.75" customHeight="1">
      <c r="A2671" s="7" t="s">
        <v>8614</v>
      </c>
      <c r="B2671" s="8" t="str">
        <f>IFERROR(__xludf.DUMMYFUNCTION("REGEXREPLACE(A2671, ""[^0-9a-zA-Z .'Ã]"","""")"),"Carl Rinsch")</f>
        <v>Carl Rinsch</v>
      </c>
      <c r="C2671" s="9">
        <v>218.0</v>
      </c>
      <c r="D2671" s="10">
        <v>3.8297305E7</v>
      </c>
      <c r="E2671" s="9" t="s">
        <v>1029</v>
      </c>
      <c r="F2671" s="9">
        <f t="shared" si="1"/>
        <v>4</v>
      </c>
      <c r="G2671" s="9" t="s">
        <v>1170</v>
      </c>
      <c r="H2671" s="11" t="str">
        <f>IFERROR(__xludf.DUMMYFUNCTION("REGEXREPLACE(G2671, ""[^0-9a-zA-Z .'Ã]"","""")"),"Keanu Reeves")</f>
        <v>Keanu Reeves</v>
      </c>
      <c r="I2671" s="11" t="s">
        <v>8615</v>
      </c>
      <c r="J2671" s="9">
        <v>116994.0</v>
      </c>
      <c r="K2671" s="9" t="s">
        <v>8616</v>
      </c>
      <c r="L2671" s="9">
        <v>324.0</v>
      </c>
      <c r="M2671" s="9" t="s">
        <v>24</v>
      </c>
      <c r="N2671" s="9" t="s">
        <v>25</v>
      </c>
      <c r="O2671" s="10">
        <v>1.75E8</v>
      </c>
      <c r="P2671" s="10">
        <f t="shared" si="2"/>
        <v>0</v>
      </c>
      <c r="Q2671" s="12">
        <f t="shared" si="3"/>
        <v>136702695</v>
      </c>
      <c r="R2671" s="9">
        <v>2013.0</v>
      </c>
      <c r="S2671" s="9">
        <v>6.3</v>
      </c>
    </row>
    <row r="2672" ht="15.75" customHeight="1">
      <c r="A2672" s="21" t="s">
        <v>1425</v>
      </c>
      <c r="B2672" s="8" t="str">
        <f>IFERROR(__xludf.DUMMYFUNCTION("REGEXREPLACE(A2672, ""[^0-9a-zA-Z .'Ã]"","""")"),"David Fincher")</f>
        <v>David Fincher</v>
      </c>
      <c r="C2672" s="22">
        <v>362.0</v>
      </c>
      <c r="D2672" s="23">
        <v>1.27490802E8</v>
      </c>
      <c r="E2672" s="22" t="s">
        <v>3253</v>
      </c>
      <c r="F2672" s="9">
        <f t="shared" si="1"/>
        <v>3</v>
      </c>
      <c r="G2672" s="22" t="s">
        <v>1426</v>
      </c>
      <c r="H2672" s="11" t="str">
        <f>IFERROR(__xludf.DUMMYFUNCTION("REGEXREPLACE(G2672, ""[^0-9a-zA-Z .'Ã]"","""")"),"Brad Pitt")</f>
        <v>Brad Pitt</v>
      </c>
      <c r="I2672" s="24" t="s">
        <v>8617</v>
      </c>
      <c r="J2672" s="22">
        <v>459346.0</v>
      </c>
      <c r="K2672" s="22" t="s">
        <v>8618</v>
      </c>
      <c r="L2672" s="22">
        <v>822.0</v>
      </c>
      <c r="M2672" s="22" t="s">
        <v>24</v>
      </c>
      <c r="N2672" s="22" t="s">
        <v>25</v>
      </c>
      <c r="O2672" s="23">
        <v>1.5E8</v>
      </c>
      <c r="P2672" s="10">
        <f t="shared" si="2"/>
        <v>0</v>
      </c>
      <c r="Q2672" s="12">
        <f t="shared" si="3"/>
        <v>22509198</v>
      </c>
      <c r="R2672" s="22">
        <v>2008.0</v>
      </c>
      <c r="S2672" s="22">
        <v>7.8</v>
      </c>
    </row>
    <row r="2673" ht="15.75" customHeight="1">
      <c r="A2673" s="17" t="s">
        <v>8619</v>
      </c>
      <c r="B2673" s="8" t="str">
        <f>IFERROR(__xludf.DUMMYFUNCTION("REGEXREPLACE(A2673, ""[^0-9a-zA-Z .'Ã]"","""")"),"Sue Corcoran")</f>
        <v>Sue Corcoran</v>
      </c>
      <c r="C2673" s="18">
        <v>8.0</v>
      </c>
      <c r="D2673" s="19">
        <v>11798.0</v>
      </c>
      <c r="E2673" s="18" t="s">
        <v>8620</v>
      </c>
      <c r="F2673" s="9">
        <f t="shared" si="1"/>
        <v>4</v>
      </c>
      <c r="G2673" s="18" t="s">
        <v>8621</v>
      </c>
      <c r="H2673" s="11" t="str">
        <f>IFERROR(__xludf.DUMMYFUNCTION("REGEXREPLACE(G2673, ""[^0-9a-zA-Z .'Ã]"","""")"),"Tony Doupe")</f>
        <v>Tony Doupe</v>
      </c>
      <c r="I2673" s="20" t="s">
        <v>8622</v>
      </c>
      <c r="J2673" s="18">
        <v>179.0</v>
      </c>
      <c r="K2673" s="18" t="s">
        <v>8623</v>
      </c>
      <c r="L2673" s="18">
        <v>18.0</v>
      </c>
      <c r="M2673" s="18" t="s">
        <v>24</v>
      </c>
      <c r="N2673" s="18" t="s">
        <v>25</v>
      </c>
      <c r="O2673" s="19">
        <v>100000.0</v>
      </c>
      <c r="P2673" s="10">
        <f t="shared" si="2"/>
        <v>0</v>
      </c>
      <c r="Q2673" s="12">
        <f t="shared" si="3"/>
        <v>88202</v>
      </c>
      <c r="R2673" s="18">
        <v>2003.0</v>
      </c>
      <c r="S2673" s="18">
        <v>4.7</v>
      </c>
    </row>
    <row r="2674" ht="15.75" customHeight="1">
      <c r="A2674" s="13" t="s">
        <v>8624</v>
      </c>
      <c r="B2674" s="8" t="str">
        <f>IFERROR(__xludf.DUMMYFUNCTION("REGEXREPLACE(A2674, ""[^0-9a-zA-Z .'Ã]"","""")"),"Stuart Gillard")</f>
        <v>Stuart Gillard</v>
      </c>
      <c r="C2674" s="14">
        <v>60.0</v>
      </c>
      <c r="D2674" s="15">
        <v>4.266E7</v>
      </c>
      <c r="E2674" s="14" t="s">
        <v>2716</v>
      </c>
      <c r="F2674" s="9">
        <f t="shared" si="1"/>
        <v>6</v>
      </c>
      <c r="G2674" s="14" t="s">
        <v>8625</v>
      </c>
      <c r="H2674" s="11" t="str">
        <f>IFERROR(__xludf.DUMMYFUNCTION("REGEXREPLACE(G2674, ""[^0-9a-zA-Z .'Ã]"","""")"),"Paige Turco")</f>
        <v>Paige Turco</v>
      </c>
      <c r="I2674" s="16" t="s">
        <v>8626</v>
      </c>
      <c r="J2674" s="14">
        <v>25086.0</v>
      </c>
      <c r="K2674" s="14" t="s">
        <v>8627</v>
      </c>
      <c r="L2674" s="14">
        <v>87.0</v>
      </c>
      <c r="M2674" s="14" t="s">
        <v>24</v>
      </c>
      <c r="N2674" s="14" t="s">
        <v>25</v>
      </c>
      <c r="O2674" s="15">
        <v>1.7E7</v>
      </c>
      <c r="P2674" s="10">
        <f t="shared" si="2"/>
        <v>25660000</v>
      </c>
      <c r="Q2674" s="12">
        <f t="shared" si="3"/>
        <v>0</v>
      </c>
      <c r="R2674" s="14">
        <v>1993.0</v>
      </c>
      <c r="S2674" s="14">
        <v>4.8</v>
      </c>
    </row>
    <row r="2675" ht="15.75" customHeight="1">
      <c r="A2675" s="21" t="s">
        <v>3132</v>
      </c>
      <c r="B2675" s="8" t="str">
        <f>IFERROR(__xludf.DUMMYFUNCTION("REGEXREPLACE(A2675, ""[^0-9a-zA-Z .'Ã]"","""")"),"Rob Zombie")</f>
        <v>Rob Zombie</v>
      </c>
      <c r="C2675" s="22">
        <v>234.0</v>
      </c>
      <c r="D2675" s="23">
        <v>1163508.0</v>
      </c>
      <c r="E2675" s="22" t="s">
        <v>2391</v>
      </c>
      <c r="F2675" s="9">
        <f t="shared" si="1"/>
        <v>4</v>
      </c>
      <c r="G2675" s="22" t="s">
        <v>3134</v>
      </c>
      <c r="H2675" s="11" t="str">
        <f>IFERROR(__xludf.DUMMYFUNCTION("REGEXREPLACE(G2675, ""[^0-9a-zA-Z .'Ã]"","""")"),"Sid Haig")</f>
        <v>Sid Haig</v>
      </c>
      <c r="I2675" s="24" t="s">
        <v>8628</v>
      </c>
      <c r="J2675" s="22">
        <v>20376.0</v>
      </c>
      <c r="K2675" s="22" t="s">
        <v>8629</v>
      </c>
      <c r="L2675" s="22">
        <v>166.0</v>
      </c>
      <c r="M2675" s="22" t="s">
        <v>24</v>
      </c>
      <c r="N2675" s="22" t="s">
        <v>25</v>
      </c>
      <c r="O2675" s="23">
        <v>2500000.0</v>
      </c>
      <c r="P2675" s="10">
        <f t="shared" si="2"/>
        <v>0</v>
      </c>
      <c r="Q2675" s="12">
        <f t="shared" si="3"/>
        <v>1336492</v>
      </c>
      <c r="R2675" s="22">
        <v>2012.0</v>
      </c>
      <c r="S2675" s="22">
        <v>5.1</v>
      </c>
    </row>
    <row r="2676" ht="15.75" customHeight="1">
      <c r="A2676" s="7" t="s">
        <v>959</v>
      </c>
      <c r="B2676" s="8" t="str">
        <f>IFERROR(__xludf.DUMMYFUNCTION("REGEXREPLACE(A2676, ""[^0-9a-zA-Z .'Ã]"","""")"),"Oliver Stone")</f>
        <v>Oliver Stone</v>
      </c>
      <c r="C2676" s="9">
        <v>83.0</v>
      </c>
      <c r="D2676" s="10">
        <v>1.356096E7</v>
      </c>
      <c r="E2676" s="9" t="s">
        <v>620</v>
      </c>
      <c r="F2676" s="9">
        <f t="shared" si="1"/>
        <v>3</v>
      </c>
      <c r="G2676" s="9" t="s">
        <v>237</v>
      </c>
      <c r="H2676" s="11" t="str">
        <f>IFERROR(__xludf.DUMMYFUNCTION("REGEXREPLACE(G2676, ""[^0-9a-zA-Z .'Ã]"","""")"),"Anthony Hopkins")</f>
        <v>Anthony Hopkins</v>
      </c>
      <c r="I2676" s="11" t="s">
        <v>8630</v>
      </c>
      <c r="J2676" s="9">
        <v>23996.0</v>
      </c>
      <c r="K2676" s="9" t="s">
        <v>8631</v>
      </c>
      <c r="L2676" s="9">
        <v>161.0</v>
      </c>
      <c r="M2676" s="9" t="s">
        <v>24</v>
      </c>
      <c r="N2676" s="9" t="s">
        <v>25</v>
      </c>
      <c r="O2676" s="10">
        <v>5.0E7</v>
      </c>
      <c r="P2676" s="10">
        <f t="shared" si="2"/>
        <v>0</v>
      </c>
      <c r="Q2676" s="12">
        <f t="shared" si="3"/>
        <v>36439040</v>
      </c>
      <c r="R2676" s="9">
        <v>1995.0</v>
      </c>
      <c r="S2676" s="9">
        <v>7.1</v>
      </c>
    </row>
    <row r="2677" ht="15.75" customHeight="1">
      <c r="A2677" s="7" t="s">
        <v>168</v>
      </c>
      <c r="B2677" s="8" t="str">
        <f>IFERROR(__xludf.DUMMYFUNCTION("REGEXREPLACE(A2677, ""[^0-9a-zA-Z .'Ã]"","""")"),"Neil LaBute")</f>
        <v>Neil LaBute</v>
      </c>
      <c r="C2677" s="9">
        <v>80.0</v>
      </c>
      <c r="D2677" s="10">
        <v>2856622.0</v>
      </c>
      <c r="E2677" s="9" t="s">
        <v>454</v>
      </c>
      <c r="F2677" s="9">
        <f t="shared" si="1"/>
        <v>2</v>
      </c>
      <c r="G2677" s="9" t="s">
        <v>8632</v>
      </c>
      <c r="H2677" s="11" t="str">
        <f>IFERROR(__xludf.DUMMYFUNCTION("REGEXREPLACE(G2677, ""[^0-9a-zA-Z .'Ã]"","""")"),"Stacy Edwards")</f>
        <v>Stacy Edwards</v>
      </c>
      <c r="I2677" s="11" t="s">
        <v>8633</v>
      </c>
      <c r="J2677" s="9">
        <v>11550.0</v>
      </c>
      <c r="K2677" s="9" t="s">
        <v>8634</v>
      </c>
      <c r="L2677" s="9">
        <v>197.0</v>
      </c>
      <c r="M2677" s="9" t="s">
        <v>24</v>
      </c>
      <c r="N2677" s="9" t="s">
        <v>624</v>
      </c>
      <c r="O2677" s="10">
        <v>25000.0</v>
      </c>
      <c r="P2677" s="10">
        <f t="shared" si="2"/>
        <v>2831622</v>
      </c>
      <c r="Q2677" s="12">
        <f t="shared" si="3"/>
        <v>0</v>
      </c>
      <c r="R2677" s="9">
        <v>1997.0</v>
      </c>
      <c r="S2677" s="9">
        <v>7.3</v>
      </c>
    </row>
    <row r="2678" ht="15.75" customHeight="1">
      <c r="A2678" s="17" t="s">
        <v>4154</v>
      </c>
      <c r="B2678" s="8" t="str">
        <f>IFERROR(__xludf.DUMMYFUNCTION("REGEXREPLACE(A2678, ""[^0-9a-zA-Z .'Ã]"","""")"),"Joe Johnston")</f>
        <v>Joe Johnston</v>
      </c>
      <c r="C2678" s="18">
        <v>510.0</v>
      </c>
      <c r="D2678" s="19">
        <v>1.76636816E8</v>
      </c>
      <c r="E2678" s="18" t="s">
        <v>185</v>
      </c>
      <c r="F2678" s="9">
        <f t="shared" si="1"/>
        <v>3</v>
      </c>
      <c r="G2678" s="18" t="s">
        <v>983</v>
      </c>
      <c r="H2678" s="11" t="str">
        <f>IFERROR(__xludf.DUMMYFUNCTION("REGEXREPLACE(G2678, ""[^0-9a-zA-Z .'Ã]"","""")"),"Chris Evans")</f>
        <v>Chris Evans</v>
      </c>
      <c r="I2678" s="20" t="s">
        <v>8635</v>
      </c>
      <c r="J2678" s="18">
        <v>508818.0</v>
      </c>
      <c r="K2678" s="18" t="s">
        <v>8636</v>
      </c>
      <c r="L2678" s="18">
        <v>679.0</v>
      </c>
      <c r="M2678" s="18" t="s">
        <v>24</v>
      </c>
      <c r="N2678" s="18" t="s">
        <v>25</v>
      </c>
      <c r="O2678" s="19">
        <v>1.4E8</v>
      </c>
      <c r="P2678" s="10">
        <f t="shared" si="2"/>
        <v>36636816</v>
      </c>
      <c r="Q2678" s="12">
        <f t="shared" si="3"/>
        <v>0</v>
      </c>
      <c r="R2678" s="18">
        <v>2011.0</v>
      </c>
      <c r="S2678" s="18">
        <v>6.9</v>
      </c>
    </row>
    <row r="2679" ht="15.75" customHeight="1">
      <c r="A2679" s="13" t="s">
        <v>8637</v>
      </c>
      <c r="B2679" s="8" t="str">
        <f>IFERROR(__xludf.DUMMYFUNCTION("REGEXREPLACE(A2679, ""[^0-9a-zA-Z .'Ã]"","""")"),"Sylvain Chomet")</f>
        <v>Sylvain Chomet</v>
      </c>
      <c r="C2679" s="14">
        <v>167.0</v>
      </c>
      <c r="D2679" s="15">
        <v>7002255.0</v>
      </c>
      <c r="E2679" s="14" t="s">
        <v>8638</v>
      </c>
      <c r="F2679" s="9">
        <f t="shared" si="1"/>
        <v>3</v>
      </c>
      <c r="G2679" s="14" t="s">
        <v>8639</v>
      </c>
      <c r="H2679" s="11" t="str">
        <f>IFERROR(__xludf.DUMMYFUNCTION("REGEXREPLACE(G2679, ""[^0-9a-zA-Z .'Ã]"","""")"),"Michel Robin")</f>
        <v>Michel Robin</v>
      </c>
      <c r="I2679" s="16" t="s">
        <v>8640</v>
      </c>
      <c r="J2679" s="14">
        <v>42462.0</v>
      </c>
      <c r="K2679" s="14" t="s">
        <v>8641</v>
      </c>
      <c r="L2679" s="14">
        <v>312.0</v>
      </c>
      <c r="M2679" s="14" t="s">
        <v>658</v>
      </c>
      <c r="N2679" s="14" t="s">
        <v>608</v>
      </c>
      <c r="O2679" s="15">
        <v>9500000.0</v>
      </c>
      <c r="P2679" s="10">
        <f t="shared" si="2"/>
        <v>0</v>
      </c>
      <c r="Q2679" s="12">
        <f t="shared" si="3"/>
        <v>2497745</v>
      </c>
      <c r="R2679" s="14">
        <v>2003.0</v>
      </c>
      <c r="S2679" s="14">
        <v>7.8</v>
      </c>
    </row>
    <row r="2680" ht="15.75" customHeight="1">
      <c r="A2680" s="17" t="s">
        <v>8642</v>
      </c>
      <c r="B2680" s="8" t="str">
        <f>IFERROR(__xludf.DUMMYFUNCTION("REGEXREPLACE(A2680, ""[^0-9a-zA-Z .'Ã]"","""")"),"Nathan Greno")</f>
        <v>Nathan Greno</v>
      </c>
      <c r="C2680" s="18">
        <v>324.0</v>
      </c>
      <c r="D2680" s="19">
        <v>2.00807262E8</v>
      </c>
      <c r="E2680" s="18" t="s">
        <v>8643</v>
      </c>
      <c r="F2680" s="9">
        <f t="shared" si="1"/>
        <v>7</v>
      </c>
      <c r="G2680" s="18" t="s">
        <v>8644</v>
      </c>
      <c r="H2680" s="11" t="str">
        <f>IFERROR(__xludf.DUMMYFUNCTION("REGEXREPLACE(G2680, ""[^0-9a-zA-Z .'Ã]"","""")"),"Brad Garrett")</f>
        <v>Brad Garrett</v>
      </c>
      <c r="I2680" s="20" t="s">
        <v>8645</v>
      </c>
      <c r="J2680" s="18">
        <v>294810.0</v>
      </c>
      <c r="K2680" s="18" t="s">
        <v>8646</v>
      </c>
      <c r="L2680" s="18">
        <v>387.0</v>
      </c>
      <c r="M2680" s="18" t="s">
        <v>24</v>
      </c>
      <c r="N2680" s="18" t="s">
        <v>25</v>
      </c>
      <c r="O2680" s="19">
        <v>2.6E8</v>
      </c>
      <c r="P2680" s="10">
        <f t="shared" si="2"/>
        <v>0</v>
      </c>
      <c r="Q2680" s="12">
        <f t="shared" si="3"/>
        <v>59192738</v>
      </c>
      <c r="R2680" s="18">
        <v>2010.0</v>
      </c>
      <c r="S2680" s="18">
        <v>7.8</v>
      </c>
    </row>
    <row r="2681" ht="15.75" customHeight="1">
      <c r="A2681" s="7" t="s">
        <v>1691</v>
      </c>
      <c r="B2681" s="8" t="str">
        <f>IFERROR(__xludf.DUMMYFUNCTION("REGEXREPLACE(A2681, ""[^0-9a-zA-Z -.'Ã]"","""")"),"Alejandro G. IÃÃrritu")</f>
        <v>Alejandro G. IÃÃrritu</v>
      </c>
      <c r="C2681" s="9">
        <v>588.0</v>
      </c>
      <c r="D2681" s="10">
        <v>4.2335698E7</v>
      </c>
      <c r="E2681" s="9" t="s">
        <v>159</v>
      </c>
      <c r="F2681" s="9">
        <f t="shared" si="1"/>
        <v>3</v>
      </c>
      <c r="G2681" s="9" t="s">
        <v>497</v>
      </c>
      <c r="H2681" s="11" t="str">
        <f>IFERROR(__xludf.DUMMYFUNCTION("REGEXREPLACE(G2681, ""[^0-9a-zA-Z .'Ã]"","""")"),"Emma Stone")</f>
        <v>Emma Stone</v>
      </c>
      <c r="I2681" s="11" t="s">
        <v>8647</v>
      </c>
      <c r="J2681" s="9">
        <v>395087.0</v>
      </c>
      <c r="K2681" s="9" t="s">
        <v>8648</v>
      </c>
      <c r="L2681" s="9">
        <v>1101.0</v>
      </c>
      <c r="M2681" s="9" t="s">
        <v>24</v>
      </c>
      <c r="N2681" s="9" t="s">
        <v>25</v>
      </c>
      <c r="O2681" s="10">
        <v>1.8E7</v>
      </c>
      <c r="P2681" s="10">
        <f t="shared" si="2"/>
        <v>24335698</v>
      </c>
      <c r="Q2681" s="12">
        <f t="shared" si="3"/>
        <v>0</v>
      </c>
      <c r="R2681" s="9">
        <v>2014.0</v>
      </c>
      <c r="S2681" s="9">
        <v>7.8</v>
      </c>
    </row>
    <row r="2682" ht="15.75" customHeight="1">
      <c r="A2682" s="17" t="s">
        <v>1095</v>
      </c>
      <c r="B2682" s="8" t="str">
        <f>IFERROR(__xludf.DUMMYFUNCTION("REGEXREPLACE(A2682, ""[^0-9a-zA-Z .'Ã]"","""")"),"Renny Harlin")</f>
        <v>Renny Harlin</v>
      </c>
      <c r="C2682" s="18">
        <v>102.0</v>
      </c>
      <c r="D2682" s="19">
        <v>4.93699E7</v>
      </c>
      <c r="E2682" s="18" t="s">
        <v>955</v>
      </c>
      <c r="F2682" s="9">
        <f t="shared" si="1"/>
        <v>3</v>
      </c>
      <c r="G2682" s="18" t="s">
        <v>8649</v>
      </c>
      <c r="H2682" s="11" t="str">
        <f>IFERROR(__xludf.DUMMYFUNCTION("REGEXREPLACE(G2682, ""[^0-9a-zA-Z .'Ã]"","""")"),"Tuesday Knight")</f>
        <v>Tuesday Knight</v>
      </c>
      <c r="I2682" s="20" t="s">
        <v>8650</v>
      </c>
      <c r="J2682" s="18">
        <v>36108.0</v>
      </c>
      <c r="K2682" s="18" t="s">
        <v>8651</v>
      </c>
      <c r="L2682" s="18">
        <v>260.0</v>
      </c>
      <c r="M2682" s="18" t="s">
        <v>24</v>
      </c>
      <c r="N2682" s="18" t="s">
        <v>25</v>
      </c>
      <c r="O2682" s="19">
        <v>7000000.0</v>
      </c>
      <c r="P2682" s="10">
        <f t="shared" si="2"/>
        <v>42369900</v>
      </c>
      <c r="Q2682" s="12">
        <f t="shared" si="3"/>
        <v>0</v>
      </c>
      <c r="R2682" s="18">
        <v>1988.0</v>
      </c>
      <c r="S2682" s="18">
        <v>5.7</v>
      </c>
    </row>
    <row r="2683" ht="15.75" customHeight="1">
      <c r="A2683" s="13" t="s">
        <v>6080</v>
      </c>
      <c r="B2683" s="8" t="str">
        <f>IFERROR(__xludf.DUMMYFUNCTION("REGEXREPLACE(A2683, ""[^0-9a-zA-Z -.'Ã]"","""")"),"Gina Prince-Bythewood")</f>
        <v>Gina Prince-Bythewood</v>
      </c>
      <c r="C2683" s="14">
        <v>109.0</v>
      </c>
      <c r="D2683" s="15">
        <v>3.776635E7</v>
      </c>
      <c r="E2683" s="14" t="s">
        <v>103</v>
      </c>
      <c r="F2683" s="9">
        <f t="shared" si="1"/>
        <v>1</v>
      </c>
      <c r="G2683" s="14" t="s">
        <v>6227</v>
      </c>
      <c r="H2683" s="11" t="str">
        <f>IFERROR(__xludf.DUMMYFUNCTION("REGEXREPLACE(G2683, ""[^0-9a-zA-Z .'Ã]"","""")"),"Nate Parker")</f>
        <v>Nate Parker</v>
      </c>
      <c r="I2683" s="16" t="s">
        <v>8652</v>
      </c>
      <c r="J2683" s="14">
        <v>19440.0</v>
      </c>
      <c r="K2683" s="14" t="s">
        <v>8653</v>
      </c>
      <c r="L2683" s="14">
        <v>56.0</v>
      </c>
      <c r="M2683" s="14" t="s">
        <v>24</v>
      </c>
      <c r="N2683" s="14" t="s">
        <v>25</v>
      </c>
      <c r="O2683" s="15">
        <v>1.1E7</v>
      </c>
      <c r="P2683" s="10">
        <f t="shared" si="2"/>
        <v>26766350</v>
      </c>
      <c r="Q2683" s="12">
        <f t="shared" si="3"/>
        <v>0</v>
      </c>
      <c r="R2683" s="14">
        <v>2008.0</v>
      </c>
      <c r="S2683" s="14">
        <v>7.3</v>
      </c>
    </row>
    <row r="2684" ht="15.75" customHeight="1">
      <c r="A2684" s="7" t="s">
        <v>3379</v>
      </c>
      <c r="B2684" s="8" t="str">
        <f>IFERROR(__xludf.DUMMYFUNCTION("REGEXREPLACE(A2684, ""[^0-9a-zA-Z .'Ã]"","""")"),"Michael Mayer")</f>
        <v>Michael Mayer</v>
      </c>
      <c r="C2684" s="9">
        <v>84.0</v>
      </c>
      <c r="D2684" s="10">
        <v>1029017.0</v>
      </c>
      <c r="E2684" s="9" t="s">
        <v>232</v>
      </c>
      <c r="F2684" s="9">
        <f t="shared" si="1"/>
        <v>2</v>
      </c>
      <c r="G2684" s="9" t="s">
        <v>233</v>
      </c>
      <c r="H2684" s="11" t="str">
        <f>IFERROR(__xludf.DUMMYFUNCTION("REGEXREPLACE(G2684, ""[^0-9a-zA-Z .'Ã]"","""")"),"Robin Wright")</f>
        <v>Robin Wright</v>
      </c>
      <c r="I2684" s="11" t="s">
        <v>8654</v>
      </c>
      <c r="J2684" s="9">
        <v>12049.0</v>
      </c>
      <c r="K2684" s="9" t="s">
        <v>8655</v>
      </c>
      <c r="L2684" s="9">
        <v>135.0</v>
      </c>
      <c r="M2684" s="9" t="s">
        <v>24</v>
      </c>
      <c r="N2684" s="9" t="s">
        <v>25</v>
      </c>
      <c r="O2684" s="10">
        <v>6500000.0</v>
      </c>
      <c r="P2684" s="10">
        <f t="shared" si="2"/>
        <v>0</v>
      </c>
      <c r="Q2684" s="12">
        <f t="shared" si="3"/>
        <v>5470983</v>
      </c>
      <c r="R2684" s="9">
        <v>2004.0</v>
      </c>
      <c r="S2684" s="9">
        <v>6.8</v>
      </c>
    </row>
    <row r="2685" ht="15.75" customHeight="1">
      <c r="A2685" s="17" t="s">
        <v>4248</v>
      </c>
      <c r="B2685" s="8" t="str">
        <f>IFERROR(__xludf.DUMMYFUNCTION("REGEXREPLACE(A2685, ""[^0-9a-zA-Z .'Ã]"","""")"),"Thomas Vinterberg")</f>
        <v>Thomas Vinterberg</v>
      </c>
      <c r="C2685" s="18">
        <v>100.0</v>
      </c>
      <c r="D2685" s="19">
        <v>23106.0</v>
      </c>
      <c r="E2685" s="18" t="s">
        <v>1600</v>
      </c>
      <c r="F2685" s="9">
        <f t="shared" si="1"/>
        <v>4</v>
      </c>
      <c r="G2685" s="18" t="s">
        <v>4737</v>
      </c>
      <c r="H2685" s="11" t="str">
        <f>IFERROR(__xludf.DUMMYFUNCTION("REGEXREPLACE(G2685, ""[^0-9a-zA-Z .'Ã]"","""")"),"Michael Angarano")</f>
        <v>Michael Angarano</v>
      </c>
      <c r="I2685" s="20" t="s">
        <v>8656</v>
      </c>
      <c r="J2685" s="18">
        <v>9003.0</v>
      </c>
      <c r="K2685" s="18" t="s">
        <v>8657</v>
      </c>
      <c r="L2685" s="18">
        <v>58.0</v>
      </c>
      <c r="M2685" s="18" t="s">
        <v>24</v>
      </c>
      <c r="N2685" s="18" t="s">
        <v>42</v>
      </c>
      <c r="O2685" s="19">
        <v>5.0E7</v>
      </c>
      <c r="P2685" s="10">
        <f t="shared" si="2"/>
        <v>0</v>
      </c>
      <c r="Q2685" s="12">
        <f t="shared" si="3"/>
        <v>49976894</v>
      </c>
      <c r="R2685" s="18">
        <v>2004.0</v>
      </c>
      <c r="S2685" s="18">
        <v>6.6</v>
      </c>
    </row>
    <row r="2686" ht="15.75" customHeight="1">
      <c r="A2686" s="25" t="s">
        <v>5884</v>
      </c>
      <c r="B2686" s="8" t="str">
        <f>IFERROR(__xludf.DUMMYFUNCTION("REGEXREPLACE(A2686, ""[^0-9a-zA-Z .'Ã]"","""")"),"Nicole Holofcener")</f>
        <v>Nicole Holofcener</v>
      </c>
      <c r="C2686" s="26">
        <v>231.0</v>
      </c>
      <c r="D2686" s="27">
        <v>1.7536788E7</v>
      </c>
      <c r="E2686" s="26" t="s">
        <v>159</v>
      </c>
      <c r="F2686" s="9">
        <f t="shared" si="1"/>
        <v>3</v>
      </c>
      <c r="G2686" s="26" t="s">
        <v>8658</v>
      </c>
      <c r="H2686" s="11" t="str">
        <f>IFERROR(__xludf.DUMMYFUNCTION("REGEXREPLACE(G2686, ""[^0-9a-zA-Z .'Ã]"","""")"),"Christopher Nicholas Smith")</f>
        <v>Christopher Nicholas Smith</v>
      </c>
      <c r="I2686" s="28" t="s">
        <v>8659</v>
      </c>
      <c r="J2686" s="26">
        <v>49240.0</v>
      </c>
      <c r="K2686" s="26" t="s">
        <v>8660</v>
      </c>
      <c r="L2686" s="26">
        <v>142.0</v>
      </c>
      <c r="M2686" s="26" t="s">
        <v>24</v>
      </c>
      <c r="N2686" s="26" t="s">
        <v>25</v>
      </c>
      <c r="O2686" s="27">
        <v>8000000.0</v>
      </c>
      <c r="P2686" s="10">
        <f t="shared" si="2"/>
        <v>9536788</v>
      </c>
      <c r="Q2686" s="12">
        <f t="shared" si="3"/>
        <v>0</v>
      </c>
      <c r="R2686" s="26">
        <v>2013.0</v>
      </c>
      <c r="S2686" s="26">
        <v>7.1</v>
      </c>
    </row>
    <row r="2687" ht="15.75" customHeight="1">
      <c r="A2687" s="13" t="s">
        <v>4001</v>
      </c>
      <c r="B2687" s="8" t="str">
        <f>IFERROR(__xludf.DUMMYFUNCTION("REGEXREPLACE(A2687, ""[^0-9a-zA-Z .'Ã]"","""")"),"Garry Marshall")</f>
        <v>Garry Marshall</v>
      </c>
      <c r="C2687" s="14">
        <v>82.0</v>
      </c>
      <c r="D2687" s="15">
        <v>1.78406268E8</v>
      </c>
      <c r="E2687" s="14" t="s">
        <v>89</v>
      </c>
      <c r="F2687" s="9">
        <f t="shared" si="1"/>
        <v>2</v>
      </c>
      <c r="G2687" s="14" t="s">
        <v>533</v>
      </c>
      <c r="H2687" s="11" t="str">
        <f>IFERROR(__xludf.DUMMYFUNCTION("REGEXREPLACE(G2687, ""[^0-9a-zA-Z .'Ã]"","""")"),"Julia Roberts")</f>
        <v>Julia Roberts</v>
      </c>
      <c r="I2687" s="16" t="s">
        <v>8661</v>
      </c>
      <c r="J2687" s="14">
        <v>213476.0</v>
      </c>
      <c r="K2687" s="14" t="s">
        <v>8662</v>
      </c>
      <c r="L2687" s="14">
        <v>271.0</v>
      </c>
      <c r="M2687" s="14" t="s">
        <v>24</v>
      </c>
      <c r="N2687" s="14" t="s">
        <v>25</v>
      </c>
      <c r="O2687" s="15">
        <v>1.4E7</v>
      </c>
      <c r="P2687" s="10">
        <f t="shared" si="2"/>
        <v>164406268</v>
      </c>
      <c r="Q2687" s="12">
        <f t="shared" si="3"/>
        <v>0</v>
      </c>
      <c r="R2687" s="14">
        <v>1990.0</v>
      </c>
      <c r="S2687" s="14">
        <v>6.9</v>
      </c>
    </row>
    <row r="2688" ht="15.75" customHeight="1">
      <c r="A2688" s="7" t="s">
        <v>8663</v>
      </c>
      <c r="B2688" s="8" t="str">
        <f>IFERROR(__xludf.DUMMYFUNCTION("REGEXREPLACE(A2688, ""[^0-9a-zA-Z .'Ã]"","""")"),"Kevin Allen")</f>
        <v>Kevin Allen</v>
      </c>
      <c r="C2688" s="9">
        <v>55.0</v>
      </c>
      <c r="D2688" s="10">
        <v>2.3222861E7</v>
      </c>
      <c r="E2688" s="9" t="s">
        <v>8664</v>
      </c>
      <c r="F2688" s="9">
        <f t="shared" si="1"/>
        <v>6</v>
      </c>
      <c r="G2688" s="9" t="s">
        <v>791</v>
      </c>
      <c r="H2688" s="11" t="str">
        <f>IFERROR(__xludf.DUMMYFUNCTION("REGEXREPLACE(G2688, ""[^0-9a-zA-Z .'Ã]"","""")"),"Daniel Roebuck")</f>
        <v>Daniel Roebuck</v>
      </c>
      <c r="I2688" s="11" t="s">
        <v>8665</v>
      </c>
      <c r="J2688" s="9">
        <v>11092.0</v>
      </c>
      <c r="K2688" s="9" t="s">
        <v>8666</v>
      </c>
      <c r="L2688" s="9">
        <v>44.0</v>
      </c>
      <c r="M2688" s="9" t="s">
        <v>24</v>
      </c>
      <c r="N2688" s="9" t="s">
        <v>25</v>
      </c>
      <c r="O2688" s="10">
        <v>2.6E7</v>
      </c>
      <c r="P2688" s="10">
        <f t="shared" si="2"/>
        <v>0</v>
      </c>
      <c r="Q2688" s="12">
        <f t="shared" si="3"/>
        <v>2777139</v>
      </c>
      <c r="R2688" s="9">
        <v>2004.0</v>
      </c>
      <c r="S2688" s="9">
        <v>4.5</v>
      </c>
    </row>
    <row r="2689" ht="15.75" customHeight="1">
      <c r="A2689" s="17" t="s">
        <v>102</v>
      </c>
      <c r="B2689" s="8" t="str">
        <f>IFERROR(__xludf.DUMMYFUNCTION("REGEXREPLACE(A2689, ""[^0-9a-zA-Z .'Ã]"","""")"),"Michael Polish")</f>
        <v>Michael Polish</v>
      </c>
      <c r="C2689" s="18">
        <v>113.0</v>
      </c>
      <c r="D2689" s="19">
        <v>1.099644E7</v>
      </c>
      <c r="E2689" s="18" t="s">
        <v>7495</v>
      </c>
      <c r="F2689" s="9">
        <f t="shared" si="1"/>
        <v>3</v>
      </c>
      <c r="G2689" s="18" t="s">
        <v>878</v>
      </c>
      <c r="H2689" s="11" t="str">
        <f>IFERROR(__xludf.DUMMYFUNCTION("REGEXREPLACE(G2689, ""[^0-9a-zA-Z .'Ã]"","""")"),"J.K. Simmons")</f>
        <v>J.K. Simmons</v>
      </c>
      <c r="I2689" s="20" t="s">
        <v>8667</v>
      </c>
      <c r="J2689" s="18">
        <v>19707.0</v>
      </c>
      <c r="K2689" s="18" t="s">
        <v>8668</v>
      </c>
      <c r="L2689" s="18">
        <v>128.0</v>
      </c>
      <c r="M2689" s="18" t="s">
        <v>24</v>
      </c>
      <c r="N2689" s="18" t="s">
        <v>25</v>
      </c>
      <c r="O2689" s="19">
        <v>1.3E7</v>
      </c>
      <c r="P2689" s="10">
        <f t="shared" si="2"/>
        <v>0</v>
      </c>
      <c r="Q2689" s="12">
        <f t="shared" si="3"/>
        <v>2003560</v>
      </c>
      <c r="R2689" s="18">
        <v>2006.0</v>
      </c>
      <c r="S2689" s="18">
        <v>6.3</v>
      </c>
    </row>
    <row r="2690" ht="15.75" customHeight="1">
      <c r="A2690" s="21" t="s">
        <v>6797</v>
      </c>
      <c r="B2690" s="8" t="str">
        <f>IFERROR(__xludf.DUMMYFUNCTION("REGEXREPLACE(A2690, ""[^0-9a-zA-Z .'Ã]"","""")"),"Brad Peyton")</f>
        <v>Brad Peyton</v>
      </c>
      <c r="C2690" s="22">
        <v>91.0</v>
      </c>
      <c r="D2690" s="23">
        <v>4.3575716E7</v>
      </c>
      <c r="E2690" s="22" t="s">
        <v>1825</v>
      </c>
      <c r="F2690" s="9">
        <f t="shared" si="1"/>
        <v>4</v>
      </c>
      <c r="G2690" s="22" t="s">
        <v>1069</v>
      </c>
      <c r="H2690" s="11" t="str">
        <f>IFERROR(__xludf.DUMMYFUNCTION("REGEXREPLACE(G2690, ""[^0-9a-zA-Z .'Ã]"","""")"),"Jack McBrayer")</f>
        <v>Jack McBrayer</v>
      </c>
      <c r="I2690" s="24" t="s">
        <v>8669</v>
      </c>
      <c r="J2690" s="22">
        <v>10233.0</v>
      </c>
      <c r="K2690" s="22" t="s">
        <v>8670</v>
      </c>
      <c r="L2690" s="22">
        <v>63.0</v>
      </c>
      <c r="M2690" s="22" t="s">
        <v>24</v>
      </c>
      <c r="N2690" s="22" t="s">
        <v>25</v>
      </c>
      <c r="O2690" s="23">
        <v>8.5E7</v>
      </c>
      <c r="P2690" s="10">
        <f t="shared" si="2"/>
        <v>0</v>
      </c>
      <c r="Q2690" s="12">
        <f t="shared" si="3"/>
        <v>41424284</v>
      </c>
      <c r="R2690" s="22">
        <v>2010.0</v>
      </c>
      <c r="S2690" s="22">
        <v>4.3</v>
      </c>
    </row>
    <row r="2691" ht="15.75" customHeight="1">
      <c r="A2691" s="29" t="s">
        <v>8671</v>
      </c>
      <c r="B2691" s="8" t="str">
        <f>IFERROR(__xludf.DUMMYFUNCTION("REGEXREPLACE(A2691, ""[^0-9a-zA-Z .'Ã]"","""")"),"Justin Kerrigan")</f>
        <v>Justin Kerrigan</v>
      </c>
      <c r="C2691" s="30">
        <v>47.0</v>
      </c>
      <c r="D2691" s="31">
        <v>104257.0</v>
      </c>
      <c r="E2691" s="30" t="s">
        <v>321</v>
      </c>
      <c r="F2691" s="9">
        <f t="shared" si="1"/>
        <v>2</v>
      </c>
      <c r="G2691" s="30" t="s">
        <v>8672</v>
      </c>
      <c r="H2691" s="11" t="str">
        <f>IFERROR(__xludf.DUMMYFUNCTION("REGEXREPLACE(G2691, ""[^0-9a-zA-Z .'Ã]"","""")"),"Danny Dyer")</f>
        <v>Danny Dyer</v>
      </c>
      <c r="I2691" s="32" t="s">
        <v>8673</v>
      </c>
      <c r="J2691" s="30">
        <v>19194.0</v>
      </c>
      <c r="K2691" s="30" t="s">
        <v>8674</v>
      </c>
      <c r="L2691" s="30">
        <v>160.0</v>
      </c>
      <c r="M2691" s="30" t="s">
        <v>24</v>
      </c>
      <c r="N2691" s="30" t="s">
        <v>130</v>
      </c>
      <c r="O2691" s="31">
        <v>2200000.0</v>
      </c>
      <c r="P2691" s="10">
        <f t="shared" si="2"/>
        <v>0</v>
      </c>
      <c r="Q2691" s="12">
        <f t="shared" si="3"/>
        <v>2095743</v>
      </c>
      <c r="R2691" s="30">
        <v>1999.0</v>
      </c>
      <c r="S2691" s="30">
        <v>7.1</v>
      </c>
    </row>
    <row r="2692" ht="15.75" customHeight="1">
      <c r="A2692" s="25" t="s">
        <v>8675</v>
      </c>
      <c r="B2692" s="8" t="str">
        <f>IFERROR(__xludf.DUMMYFUNCTION("REGEXREPLACE(A2692, ""[^0-9a-zA-Z .'Ã]"","""")"),"Nelson McCormick")</f>
        <v>Nelson McCormick</v>
      </c>
      <c r="C2692" s="26">
        <v>146.0</v>
      </c>
      <c r="D2692" s="27">
        <v>4.3818159E7</v>
      </c>
      <c r="E2692" s="26" t="s">
        <v>565</v>
      </c>
      <c r="F2692" s="9">
        <f t="shared" si="1"/>
        <v>2</v>
      </c>
      <c r="G2692" s="26" t="s">
        <v>1165</v>
      </c>
      <c r="H2692" s="11" t="str">
        <f>IFERROR(__xludf.DUMMYFUNCTION("REGEXREPLACE(G2692, ""[^0-9a-zA-Z .'Ã]"","""")"),"MingNa Wen")</f>
        <v>MingNa Wen</v>
      </c>
      <c r="I2692" s="28" t="s">
        <v>8676</v>
      </c>
      <c r="J2692" s="26">
        <v>27664.0</v>
      </c>
      <c r="K2692" s="26" t="s">
        <v>8677</v>
      </c>
      <c r="L2692" s="26">
        <v>260.0</v>
      </c>
      <c r="M2692" s="26" t="s">
        <v>24</v>
      </c>
      <c r="N2692" s="26" t="s">
        <v>25</v>
      </c>
      <c r="O2692" s="27">
        <v>2.0E7</v>
      </c>
      <c r="P2692" s="10">
        <f t="shared" si="2"/>
        <v>23818159</v>
      </c>
      <c r="Q2692" s="12">
        <f t="shared" si="3"/>
        <v>0</v>
      </c>
      <c r="R2692" s="26">
        <v>2008.0</v>
      </c>
      <c r="S2692" s="26">
        <v>3.9</v>
      </c>
    </row>
    <row r="2693" ht="15.75" customHeight="1">
      <c r="A2693" s="7" t="s">
        <v>8678</v>
      </c>
      <c r="B2693" s="8" t="str">
        <f>IFERROR(__xludf.DUMMYFUNCTION("REGEXREPLACE(A2693, ""[^0-9a-zA-Z .'Ã]"","""")"),"Ricki Stern")</f>
        <v>Ricki Stern</v>
      </c>
      <c r="C2693" s="9">
        <v>11.0</v>
      </c>
      <c r="D2693" s="10">
        <v>1111.0</v>
      </c>
      <c r="E2693" s="9" t="s">
        <v>8679</v>
      </c>
      <c r="F2693" s="9">
        <f t="shared" si="1"/>
        <v>2</v>
      </c>
      <c r="G2693" s="9" t="s">
        <v>8680</v>
      </c>
      <c r="H2693" s="11" t="str">
        <f>IFERROR(__xludf.DUMMYFUNCTION("REGEXREPLACE(G2693, ""[^0-9a-zA-Z .'Ã]"","""")"),"Darryl Hunt")</f>
        <v>Darryl Hunt</v>
      </c>
      <c r="I2693" s="11" t="s">
        <v>8681</v>
      </c>
      <c r="J2693" s="9">
        <v>771.0</v>
      </c>
      <c r="K2693" s="9" t="s">
        <v>8682</v>
      </c>
      <c r="L2693" s="9">
        <v>10.0</v>
      </c>
      <c r="M2693" s="9" t="s">
        <v>24</v>
      </c>
      <c r="N2693" s="9" t="s">
        <v>25</v>
      </c>
      <c r="O2693" s="10">
        <v>200000.0</v>
      </c>
      <c r="P2693" s="10">
        <f t="shared" si="2"/>
        <v>0</v>
      </c>
      <c r="Q2693" s="12">
        <f t="shared" si="3"/>
        <v>198889</v>
      </c>
      <c r="R2693" s="9">
        <v>2006.0</v>
      </c>
      <c r="S2693" s="9">
        <v>7.7</v>
      </c>
    </row>
    <row r="2694" ht="15.75" customHeight="1">
      <c r="A2694" s="17" t="s">
        <v>8683</v>
      </c>
      <c r="B2694" s="8" t="str">
        <f>IFERROR(__xludf.DUMMYFUNCTION("REGEXREPLACE(A2694, ""[^0-9a-zA-Z .'Ã]"","""")"),"Kyle Balda")</f>
        <v>Kyle Balda</v>
      </c>
      <c r="C2694" s="18">
        <v>308.0</v>
      </c>
      <c r="D2694" s="19">
        <v>3.3602956E8</v>
      </c>
      <c r="E2694" s="18" t="s">
        <v>2161</v>
      </c>
      <c r="F2694" s="9">
        <f t="shared" si="1"/>
        <v>5</v>
      </c>
      <c r="G2694" s="18" t="s">
        <v>1080</v>
      </c>
      <c r="H2694" s="11" t="str">
        <f>IFERROR(__xludf.DUMMYFUNCTION("REGEXREPLACE(G2694, ""[^0-9a-zA-Z .'Ã]"","""")"),"Steve Carell")</f>
        <v>Steve Carell</v>
      </c>
      <c r="I2694" s="20" t="s">
        <v>8684</v>
      </c>
      <c r="J2694" s="18">
        <v>142403.0</v>
      </c>
      <c r="K2694" s="18" t="s">
        <v>8685</v>
      </c>
      <c r="L2694" s="18">
        <v>275.0</v>
      </c>
      <c r="M2694" s="18" t="s">
        <v>24</v>
      </c>
      <c r="N2694" s="18" t="s">
        <v>25</v>
      </c>
      <c r="O2694" s="19">
        <v>7.4E7</v>
      </c>
      <c r="P2694" s="10">
        <f t="shared" si="2"/>
        <v>262029560</v>
      </c>
      <c r="Q2694" s="12">
        <f t="shared" si="3"/>
        <v>0</v>
      </c>
      <c r="R2694" s="18">
        <v>2015.0</v>
      </c>
      <c r="S2694" s="18">
        <v>6.4</v>
      </c>
    </row>
    <row r="2695" ht="15.75" customHeight="1">
      <c r="A2695" s="25" t="s">
        <v>5625</v>
      </c>
      <c r="B2695" s="8" t="str">
        <f>IFERROR(__xludf.DUMMYFUNCTION("REGEXREPLACE(A2695, ""[^0-9a-zA-Z .'Ã]"","""")"),"Andy Fickman")</f>
        <v>Andy Fickman</v>
      </c>
      <c r="C2695" s="26">
        <v>139.0</v>
      </c>
      <c r="D2695" s="27">
        <v>7.7264926E7</v>
      </c>
      <c r="E2695" s="26" t="s">
        <v>857</v>
      </c>
      <c r="F2695" s="9">
        <f t="shared" si="1"/>
        <v>2</v>
      </c>
      <c r="G2695" s="26" t="s">
        <v>4590</v>
      </c>
      <c r="H2695" s="11" t="str">
        <f>IFERROR(__xludf.DUMMYFUNCTION("REGEXREPLACE(G2695, ""[^0-9a-zA-Z .'Ã]"","""")"),"Bailee Madison")</f>
        <v>Bailee Madison</v>
      </c>
      <c r="I2695" s="28" t="s">
        <v>8686</v>
      </c>
      <c r="J2695" s="26">
        <v>21176.0</v>
      </c>
      <c r="K2695" s="26" t="s">
        <v>8687</v>
      </c>
      <c r="L2695" s="26">
        <v>107.0</v>
      </c>
      <c r="M2695" s="26" t="s">
        <v>24</v>
      </c>
      <c r="N2695" s="26" t="s">
        <v>25</v>
      </c>
      <c r="O2695" s="27">
        <v>2.5E7</v>
      </c>
      <c r="P2695" s="10">
        <f t="shared" si="2"/>
        <v>52264926</v>
      </c>
      <c r="Q2695" s="12">
        <f t="shared" si="3"/>
        <v>0</v>
      </c>
      <c r="R2695" s="26">
        <v>2012.0</v>
      </c>
      <c r="S2695" s="26">
        <v>6.1</v>
      </c>
    </row>
    <row r="2696" ht="15.75" customHeight="1">
      <c r="A2696" s="29" t="s">
        <v>7859</v>
      </c>
      <c r="B2696" s="8" t="str">
        <f>IFERROR(__xludf.DUMMYFUNCTION("REGEXREPLACE(A2696, ""[^0-9a-zA-Z .'Ã]"","""")"),"Timur Bekmambetov")</f>
        <v>Timur Bekmambetov</v>
      </c>
      <c r="C2696" s="30">
        <v>316.0</v>
      </c>
      <c r="D2696" s="31">
        <v>1.34568845E8</v>
      </c>
      <c r="E2696" s="30" t="s">
        <v>1502</v>
      </c>
      <c r="F2696" s="9">
        <f t="shared" si="1"/>
        <v>4</v>
      </c>
      <c r="G2696" s="30" t="s">
        <v>844</v>
      </c>
      <c r="H2696" s="11" t="str">
        <f>IFERROR(__xludf.DUMMYFUNCTION("REGEXREPLACE(G2696, ""[^0-9a-zA-Z .'Ã]"","""")"),"Angelina Jolie Pitt")</f>
        <v>Angelina Jolie Pitt</v>
      </c>
      <c r="I2696" s="32" t="s">
        <v>8688</v>
      </c>
      <c r="J2696" s="30">
        <v>299852.0</v>
      </c>
      <c r="K2696" s="30" t="s">
        <v>8689</v>
      </c>
      <c r="L2696" s="30">
        <v>713.0</v>
      </c>
      <c r="M2696" s="30" t="s">
        <v>24</v>
      </c>
      <c r="N2696" s="30" t="s">
        <v>25</v>
      </c>
      <c r="O2696" s="31">
        <v>7.5E7</v>
      </c>
      <c r="P2696" s="10">
        <f t="shared" si="2"/>
        <v>59568845</v>
      </c>
      <c r="Q2696" s="12">
        <f t="shared" si="3"/>
        <v>0</v>
      </c>
      <c r="R2696" s="30">
        <v>2008.0</v>
      </c>
      <c r="S2696" s="30">
        <v>6.7</v>
      </c>
    </row>
    <row r="2697" ht="15.75" customHeight="1">
      <c r="A2697" s="17" t="s">
        <v>8690</v>
      </c>
      <c r="B2697" s="8" t="str">
        <f>IFERROR(__xludf.DUMMYFUNCTION("REGEXREPLACE(A2697, ""[^0-9a-zA-Z .'Ã]"","""")"),"Josh Boone")</f>
        <v>Josh Boone</v>
      </c>
      <c r="C2697" s="18">
        <v>326.0</v>
      </c>
      <c r="D2697" s="19">
        <v>1.24868837E8</v>
      </c>
      <c r="E2697" s="18" t="s">
        <v>232</v>
      </c>
      <c r="F2697" s="9">
        <f t="shared" si="1"/>
        <v>2</v>
      </c>
      <c r="G2697" s="18" t="s">
        <v>7263</v>
      </c>
      <c r="H2697" s="11" t="str">
        <f>IFERROR(__xludf.DUMMYFUNCTION("REGEXREPLACE(G2697, ""[^0-9a-zA-Z .'Ã]"","""")"),"Shailene Woodley")</f>
        <v>Shailene Woodley</v>
      </c>
      <c r="I2697" s="20" t="s">
        <v>8691</v>
      </c>
      <c r="J2697" s="18">
        <v>249688.0</v>
      </c>
      <c r="K2697" s="18" t="s">
        <v>8692</v>
      </c>
      <c r="L2697" s="18">
        <v>548.0</v>
      </c>
      <c r="M2697" s="18" t="s">
        <v>24</v>
      </c>
      <c r="N2697" s="18" t="s">
        <v>25</v>
      </c>
      <c r="O2697" s="19">
        <v>1.2E7</v>
      </c>
      <c r="P2697" s="10">
        <f t="shared" si="2"/>
        <v>112868837</v>
      </c>
      <c r="Q2697" s="12">
        <f t="shared" si="3"/>
        <v>0</v>
      </c>
      <c r="R2697" s="18">
        <v>2014.0</v>
      </c>
      <c r="S2697" s="18">
        <v>7.8</v>
      </c>
    </row>
    <row r="2698" ht="15.75" customHeight="1">
      <c r="A2698" s="7" t="s">
        <v>1095</v>
      </c>
      <c r="B2698" s="8" t="str">
        <f>IFERROR(__xludf.DUMMYFUNCTION("REGEXREPLACE(A2698, ""[^0-9a-zA-Z .'Ã]"","""")"),"Renny Harlin")</f>
        <v>Renny Harlin</v>
      </c>
      <c r="C2698" s="9">
        <v>113.0</v>
      </c>
      <c r="D2698" s="10">
        <v>1.2232937E7</v>
      </c>
      <c r="E2698" s="9" t="s">
        <v>152</v>
      </c>
      <c r="F2698" s="9">
        <f t="shared" si="1"/>
        <v>3</v>
      </c>
      <c r="G2698" s="9" t="s">
        <v>8693</v>
      </c>
      <c r="H2698" s="11" t="str">
        <f>IFERROR(__xludf.DUMMYFUNCTION("REGEXREPLACE(G2698, ""[^0-9a-zA-Z .'Ã]"","""")"),"Taylor Cole")</f>
        <v>Taylor Cole</v>
      </c>
      <c r="I2698" s="11" t="s">
        <v>8694</v>
      </c>
      <c r="J2698" s="9">
        <v>22823.0</v>
      </c>
      <c r="K2698" s="9" t="s">
        <v>8695</v>
      </c>
      <c r="L2698" s="9">
        <v>113.0</v>
      </c>
      <c r="M2698" s="9" t="s">
        <v>24</v>
      </c>
      <c r="N2698" s="9" t="s">
        <v>25</v>
      </c>
      <c r="O2698" s="10">
        <v>2.2E7</v>
      </c>
      <c r="P2698" s="10">
        <f t="shared" si="2"/>
        <v>0</v>
      </c>
      <c r="Q2698" s="12">
        <f t="shared" si="3"/>
        <v>9767063</v>
      </c>
      <c r="R2698" s="9">
        <v>2009.0</v>
      </c>
      <c r="S2698" s="9">
        <v>5.6</v>
      </c>
    </row>
    <row r="2699" ht="15.75" customHeight="1">
      <c r="A2699" s="7" t="s">
        <v>959</v>
      </c>
      <c r="B2699" s="8" t="str">
        <f>IFERROR(__xludf.DUMMYFUNCTION("REGEXREPLACE(A2699, ""[^0-9a-zA-Z .'Ã]"","""")"),"Oliver Stone")</f>
        <v>Oliver Stone</v>
      </c>
      <c r="C2699" s="9">
        <v>72.0</v>
      </c>
      <c r="D2699" s="10">
        <v>7.0001698E7</v>
      </c>
      <c r="E2699" s="9" t="s">
        <v>6874</v>
      </c>
      <c r="F2699" s="9">
        <f t="shared" si="1"/>
        <v>3</v>
      </c>
      <c r="G2699" s="9" t="s">
        <v>220</v>
      </c>
      <c r="H2699" s="11" t="str">
        <f>IFERROR(__xludf.DUMMYFUNCTION("REGEXREPLACE(G2699, ""[^0-9a-zA-Z .'Ã]"","""")"),"Tom Cruise")</f>
        <v>Tom Cruise</v>
      </c>
      <c r="I2699" s="11" t="s">
        <v>8696</v>
      </c>
      <c r="J2699" s="9">
        <v>76842.0</v>
      </c>
      <c r="K2699" s="9" t="s">
        <v>8697</v>
      </c>
      <c r="L2699" s="9">
        <v>173.0</v>
      </c>
      <c r="M2699" s="9" t="s">
        <v>24</v>
      </c>
      <c r="N2699" s="9" t="s">
        <v>25</v>
      </c>
      <c r="O2699" s="10">
        <v>1.4E7</v>
      </c>
      <c r="P2699" s="10">
        <f t="shared" si="2"/>
        <v>56001698</v>
      </c>
      <c r="Q2699" s="12">
        <f t="shared" si="3"/>
        <v>0</v>
      </c>
      <c r="R2699" s="9">
        <v>1989.0</v>
      </c>
      <c r="S2699" s="9">
        <v>7.2</v>
      </c>
    </row>
    <row r="2700" ht="15.75" customHeight="1">
      <c r="A2700" s="7" t="s">
        <v>1894</v>
      </c>
      <c r="B2700" s="8" t="str">
        <f>IFERROR(__xludf.DUMMYFUNCTION("REGEXREPLACE(A2700, ""[^0-9a-zA-Z .'Ã]"","""")"),"Luc Besson")</f>
        <v>Luc Besson</v>
      </c>
      <c r="C2700" s="9">
        <v>101.0</v>
      </c>
      <c r="D2700" s="10">
        <v>1.513133E7</v>
      </c>
      <c r="E2700" s="9" t="s">
        <v>865</v>
      </c>
      <c r="F2700" s="9">
        <f t="shared" si="1"/>
        <v>4</v>
      </c>
      <c r="G2700" s="9" t="s">
        <v>8698</v>
      </c>
      <c r="H2700" s="11" t="str">
        <f>IFERROR(__xludf.DUMMYFUNCTION("REGEXREPLACE(G2700, ""[^0-9a-zA-Z .'Ã]"","""")"),"Mia Farrow")</f>
        <v>Mia Farrow</v>
      </c>
      <c r="I2700" s="11" t="s">
        <v>8699</v>
      </c>
      <c r="J2700" s="9">
        <v>25843.0</v>
      </c>
      <c r="K2700" s="9" t="s">
        <v>8700</v>
      </c>
      <c r="L2700" s="9">
        <v>64.0</v>
      </c>
      <c r="M2700" s="9" t="s">
        <v>24</v>
      </c>
      <c r="N2700" s="9" t="s">
        <v>608</v>
      </c>
      <c r="O2700" s="10">
        <v>8.6E7</v>
      </c>
      <c r="P2700" s="10">
        <f t="shared" si="2"/>
        <v>0</v>
      </c>
      <c r="Q2700" s="12">
        <f t="shared" si="3"/>
        <v>70868670</v>
      </c>
      <c r="R2700" s="9">
        <v>2006.0</v>
      </c>
      <c r="S2700" s="9">
        <v>6.0</v>
      </c>
    </row>
    <row r="2701" ht="15.75" customHeight="1">
      <c r="A2701" s="25" t="s">
        <v>8701</v>
      </c>
      <c r="B2701" s="8" t="str">
        <f>IFERROR(__xludf.DUMMYFUNCTION("REGEXREPLACE(A2701, ""[^0-9a-zA-Z .'Ã]"","""")"),"Zal Batmanglij")</f>
        <v>Zal Batmanglij</v>
      </c>
      <c r="C2701" s="26">
        <v>200.0</v>
      </c>
      <c r="D2701" s="27">
        <v>2268296.0</v>
      </c>
      <c r="E2701" s="26" t="s">
        <v>369</v>
      </c>
      <c r="F2701" s="9">
        <f t="shared" si="1"/>
        <v>2</v>
      </c>
      <c r="G2701" s="26" t="s">
        <v>8702</v>
      </c>
      <c r="H2701" s="11" t="str">
        <f>IFERROR(__xludf.DUMMYFUNCTION("REGEXREPLACE(G2701, ""[^0-9a-zA-Z .'Ã]"","""")"),"Alexander SkarsgÃrd")</f>
        <v>Alexander SkarsgÃrd</v>
      </c>
      <c r="I2701" s="28" t="s">
        <v>8703</v>
      </c>
      <c r="J2701" s="26">
        <v>41856.0</v>
      </c>
      <c r="K2701" s="26" t="s">
        <v>8704</v>
      </c>
      <c r="L2701" s="26">
        <v>119.0</v>
      </c>
      <c r="M2701" s="26" t="s">
        <v>24</v>
      </c>
      <c r="N2701" s="26" t="s">
        <v>130</v>
      </c>
      <c r="O2701" s="27">
        <v>6500000.0</v>
      </c>
      <c r="P2701" s="10">
        <f t="shared" si="2"/>
        <v>0</v>
      </c>
      <c r="Q2701" s="12">
        <f t="shared" si="3"/>
        <v>4231704</v>
      </c>
      <c r="R2701" s="26">
        <v>2013.0</v>
      </c>
      <c r="S2701" s="26">
        <v>6.9</v>
      </c>
    </row>
    <row r="2702" ht="15.75" customHeight="1">
      <c r="A2702" s="21" t="s">
        <v>38</v>
      </c>
      <c r="B2702" s="8" t="str">
        <f>IFERROR(__xludf.DUMMYFUNCTION("REGEXREPLACE(A2702, ""[^0-9a-zA-Z .'Ã]"","""")"),"Clint Eastwood")</f>
        <v>Clint Eastwood</v>
      </c>
      <c r="C2702" s="22">
        <v>366.0</v>
      </c>
      <c r="D2702" s="23">
        <v>1.48085755E8</v>
      </c>
      <c r="E2702" s="22" t="s">
        <v>103</v>
      </c>
      <c r="F2702" s="9">
        <f t="shared" si="1"/>
        <v>1</v>
      </c>
      <c r="G2702" s="22" t="s">
        <v>38</v>
      </c>
      <c r="H2702" s="11" t="str">
        <f>IFERROR(__xludf.DUMMYFUNCTION("REGEXREPLACE(G2702, ""[^0-9a-zA-Z .'Ã]"","""")"),"Clint Eastwood")</f>
        <v>Clint Eastwood</v>
      </c>
      <c r="I2702" s="24" t="s">
        <v>8705</v>
      </c>
      <c r="J2702" s="22">
        <v>561773.0</v>
      </c>
      <c r="K2702" s="22" t="s">
        <v>8706</v>
      </c>
      <c r="L2702" s="22">
        <v>871.0</v>
      </c>
      <c r="M2702" s="22" t="s">
        <v>24</v>
      </c>
      <c r="N2702" s="22" t="s">
        <v>25</v>
      </c>
      <c r="O2702" s="23">
        <v>3.3E7</v>
      </c>
      <c r="P2702" s="10">
        <f t="shared" si="2"/>
        <v>115085755</v>
      </c>
      <c r="Q2702" s="12">
        <f t="shared" si="3"/>
        <v>0</v>
      </c>
      <c r="R2702" s="22">
        <v>2008.0</v>
      </c>
      <c r="S2702" s="22">
        <v>8.2</v>
      </c>
    </row>
    <row r="2703" ht="15.75" customHeight="1">
      <c r="A2703" s="7" t="s">
        <v>625</v>
      </c>
      <c r="B2703" s="8" t="str">
        <f>IFERROR(__xludf.DUMMYFUNCTION("REGEXREPLACE(A2703, ""[^0-9a-zA-Z .'Ã]"","""")"),"Edward Zwick")</f>
        <v>Edward Zwick</v>
      </c>
      <c r="C2703" s="9">
        <v>57.0</v>
      </c>
      <c r="D2703" s="10">
        <v>6.6528842E7</v>
      </c>
      <c r="E2703" s="9" t="s">
        <v>6192</v>
      </c>
      <c r="F2703" s="9">
        <f t="shared" si="1"/>
        <v>4</v>
      </c>
      <c r="G2703" s="9" t="s">
        <v>237</v>
      </c>
      <c r="H2703" s="11" t="str">
        <f>IFERROR(__xludf.DUMMYFUNCTION("REGEXREPLACE(G2703, ""[^0-9a-zA-Z .'Ã]"","""")"),"Anthony Hopkins")</f>
        <v>Anthony Hopkins</v>
      </c>
      <c r="I2703" s="11" t="s">
        <v>8707</v>
      </c>
      <c r="J2703" s="9">
        <v>112175.0</v>
      </c>
      <c r="K2703" s="9" t="s">
        <v>8708</v>
      </c>
      <c r="L2703" s="9">
        <v>329.0</v>
      </c>
      <c r="M2703" s="9" t="s">
        <v>24</v>
      </c>
      <c r="N2703" s="9" t="s">
        <v>25</v>
      </c>
      <c r="O2703" s="10">
        <v>3.0E7</v>
      </c>
      <c r="P2703" s="10">
        <f t="shared" si="2"/>
        <v>36528842</v>
      </c>
      <c r="Q2703" s="12">
        <f t="shared" si="3"/>
        <v>0</v>
      </c>
      <c r="R2703" s="9">
        <v>1994.0</v>
      </c>
      <c r="S2703" s="9">
        <v>7.5</v>
      </c>
    </row>
    <row r="2704" ht="15.75" customHeight="1">
      <c r="A2704" s="13" t="s">
        <v>536</v>
      </c>
      <c r="B2704" s="8" t="str">
        <f>IFERROR(__xludf.DUMMYFUNCTION("REGEXREPLACE(A2704, ""[^0-9a-zA-Z .'Ã]"","""")"),"Robert Zemeckis")</f>
        <v>Robert Zemeckis</v>
      </c>
      <c r="C2704" s="14">
        <v>185.0</v>
      </c>
      <c r="D2704" s="15">
        <v>1.55370362E8</v>
      </c>
      <c r="E2704" s="14" t="s">
        <v>1563</v>
      </c>
      <c r="F2704" s="9">
        <f t="shared" si="1"/>
        <v>5</v>
      </c>
      <c r="G2704" s="14" t="s">
        <v>637</v>
      </c>
      <c r="H2704" s="11" t="str">
        <f>IFERROR(__xludf.DUMMYFUNCTION("REGEXREPLACE(G2704, ""[^0-9a-zA-Z .'Ã]"","""")"),"Harrison Ford")</f>
        <v>Harrison Ford</v>
      </c>
      <c r="I2704" s="16" t="s">
        <v>8709</v>
      </c>
      <c r="J2704" s="14">
        <v>98403.0</v>
      </c>
      <c r="K2704" s="14" t="s">
        <v>8710</v>
      </c>
      <c r="L2704" s="14">
        <v>683.0</v>
      </c>
      <c r="M2704" s="14" t="s">
        <v>24</v>
      </c>
      <c r="N2704" s="14" t="s">
        <v>25</v>
      </c>
      <c r="O2704" s="15">
        <v>1.0E8</v>
      </c>
      <c r="P2704" s="10">
        <f t="shared" si="2"/>
        <v>55370362</v>
      </c>
      <c r="Q2704" s="12">
        <f t="shared" si="3"/>
        <v>0</v>
      </c>
      <c r="R2704" s="14">
        <v>2000.0</v>
      </c>
      <c r="S2704" s="14">
        <v>6.6</v>
      </c>
    </row>
    <row r="2705" ht="15.75" customHeight="1">
      <c r="A2705" s="29" t="s">
        <v>4326</v>
      </c>
      <c r="B2705" s="8" t="str">
        <f>IFERROR(__xludf.DUMMYFUNCTION("REGEXREPLACE(A2705, ""[^0-9a-zA-Z .'Ã]"","""")"),"John Lee Hancock")</f>
        <v>John Lee Hancock</v>
      </c>
      <c r="C2705" s="30">
        <v>261.0</v>
      </c>
      <c r="D2705" s="31">
        <v>2.55950375E8</v>
      </c>
      <c r="E2705" s="30" t="s">
        <v>1124</v>
      </c>
      <c r="F2705" s="9">
        <f t="shared" si="1"/>
        <v>3</v>
      </c>
      <c r="G2705" s="30" t="s">
        <v>8711</v>
      </c>
      <c r="H2705" s="11" t="str">
        <f>IFERROR(__xludf.DUMMYFUNCTION("REGEXREPLACE(G2705, ""[^0-9a-zA-Z .'Ã]"","""")"),"Catherine Dyer")</f>
        <v>Catherine Dyer</v>
      </c>
      <c r="I2705" s="32" t="s">
        <v>8712</v>
      </c>
      <c r="J2705" s="30">
        <v>223127.0</v>
      </c>
      <c r="K2705" s="30" t="s">
        <v>8713</v>
      </c>
      <c r="L2705" s="30">
        <v>420.0</v>
      </c>
      <c r="M2705" s="30" t="s">
        <v>24</v>
      </c>
      <c r="N2705" s="30" t="s">
        <v>25</v>
      </c>
      <c r="O2705" s="31">
        <v>2.9E7</v>
      </c>
      <c r="P2705" s="10">
        <f t="shared" si="2"/>
        <v>226950375</v>
      </c>
      <c r="Q2705" s="12">
        <f t="shared" si="3"/>
        <v>0</v>
      </c>
      <c r="R2705" s="30">
        <v>2009.0</v>
      </c>
      <c r="S2705" s="30">
        <v>7.7</v>
      </c>
    </row>
    <row r="2706" ht="15.75" customHeight="1">
      <c r="A2706" s="7" t="s">
        <v>1419</v>
      </c>
      <c r="B2706" s="8" t="str">
        <f>IFERROR(__xludf.DUMMYFUNCTION("REGEXREPLACE(A2706, ""[^0-9a-zA-Z .'Ã]"","""")"),"Marc Lawrence")</f>
        <v>Marc Lawrence</v>
      </c>
      <c r="C2706" s="9">
        <v>133.0</v>
      </c>
      <c r="D2706" s="10">
        <v>2.9580087E7</v>
      </c>
      <c r="E2706" s="9" t="s">
        <v>159</v>
      </c>
      <c r="F2706" s="9">
        <f t="shared" si="1"/>
        <v>3</v>
      </c>
      <c r="G2706" s="9" t="s">
        <v>2184</v>
      </c>
      <c r="H2706" s="11" t="str">
        <f>IFERROR(__xludf.DUMMYFUNCTION("REGEXREPLACE(G2706, ""[^0-9a-zA-Z .'Ã]"","""")"),"Michael Kelly")</f>
        <v>Michael Kelly</v>
      </c>
      <c r="I2706" s="11" t="s">
        <v>8714</v>
      </c>
      <c r="J2706" s="9">
        <v>29523.0</v>
      </c>
      <c r="K2706" s="9" t="s">
        <v>8715</v>
      </c>
      <c r="L2706" s="9">
        <v>121.0</v>
      </c>
      <c r="M2706" s="9" t="s">
        <v>24</v>
      </c>
      <c r="N2706" s="9" t="s">
        <v>25</v>
      </c>
      <c r="O2706" s="10">
        <v>5.8E7</v>
      </c>
      <c r="P2706" s="10">
        <f t="shared" si="2"/>
        <v>0</v>
      </c>
      <c r="Q2706" s="12">
        <f t="shared" si="3"/>
        <v>28419913</v>
      </c>
      <c r="R2706" s="9">
        <v>2009.0</v>
      </c>
      <c r="S2706" s="9">
        <v>4.7</v>
      </c>
    </row>
    <row r="2707" ht="15.75" customHeight="1">
      <c r="A2707" s="21" t="s">
        <v>7932</v>
      </c>
      <c r="B2707" s="8" t="str">
        <f>IFERROR(__xludf.DUMMYFUNCTION("REGEXREPLACE(A2707, ""[^0-9a-zA-Z .'Ã]"","""")"),"Anthony Russo")</f>
        <v>Anthony Russo</v>
      </c>
      <c r="C2707" s="22">
        <v>516.0</v>
      </c>
      <c r="D2707" s="23">
        <v>4.07197282E8</v>
      </c>
      <c r="E2707" s="22" t="s">
        <v>185</v>
      </c>
      <c r="F2707" s="9">
        <f t="shared" si="1"/>
        <v>3</v>
      </c>
      <c r="G2707" s="22" t="s">
        <v>327</v>
      </c>
      <c r="H2707" s="11" t="str">
        <f>IFERROR(__xludf.DUMMYFUNCTION("REGEXREPLACE(G2707, ""[^0-9a-zA-Z .'Ã]"","""")"),"Robert Downey Jr.")</f>
        <v>Robert Downey Jr.</v>
      </c>
      <c r="I2707" s="24" t="s">
        <v>8716</v>
      </c>
      <c r="J2707" s="22">
        <v>272670.0</v>
      </c>
      <c r="K2707" s="22" t="s">
        <v>8717</v>
      </c>
      <c r="L2707" s="22">
        <v>1022.0</v>
      </c>
      <c r="M2707" s="22" t="s">
        <v>24</v>
      </c>
      <c r="N2707" s="22" t="s">
        <v>25</v>
      </c>
      <c r="O2707" s="23">
        <v>2.5E8</v>
      </c>
      <c r="P2707" s="10">
        <f t="shared" si="2"/>
        <v>157197282</v>
      </c>
      <c r="Q2707" s="12">
        <f t="shared" si="3"/>
        <v>0</v>
      </c>
      <c r="R2707" s="22">
        <v>2016.0</v>
      </c>
      <c r="S2707" s="22">
        <v>8.2</v>
      </c>
    </row>
    <row r="2708" ht="15.75" customHeight="1">
      <c r="A2708" s="7" t="s">
        <v>2187</v>
      </c>
      <c r="B2708" s="8" t="str">
        <f>IFERROR(__xludf.DUMMYFUNCTION("REGEXREPLACE(A2708, ""[^0-9a-zA-Z .'Ã]"","""")"),"Raja Gosnell")</f>
        <v>Raja Gosnell</v>
      </c>
      <c r="C2708" s="9">
        <v>94.0</v>
      </c>
      <c r="D2708" s="10">
        <v>8.4185387E7</v>
      </c>
      <c r="E2708" s="9" t="s">
        <v>8718</v>
      </c>
      <c r="F2708" s="9">
        <f t="shared" si="1"/>
        <v>6</v>
      </c>
      <c r="G2708" s="9" t="s">
        <v>3489</v>
      </c>
      <c r="H2708" s="11" t="str">
        <f>IFERROR(__xludf.DUMMYFUNCTION("REGEXREPLACE(G2708, ""[^0-9a-zA-Z .'Ã]"","""")"),"Sarah Michelle Gellar")</f>
        <v>Sarah Michelle Gellar</v>
      </c>
      <c r="I2708" s="11" t="s">
        <v>8719</v>
      </c>
      <c r="J2708" s="9">
        <v>33180.0</v>
      </c>
      <c r="K2708" s="9" t="s">
        <v>8720</v>
      </c>
      <c r="L2708" s="9">
        <v>149.0</v>
      </c>
      <c r="M2708" s="9" t="s">
        <v>24</v>
      </c>
      <c r="N2708" s="9" t="s">
        <v>25</v>
      </c>
      <c r="O2708" s="10">
        <v>8.0E7</v>
      </c>
      <c r="P2708" s="10">
        <f t="shared" si="2"/>
        <v>4185387</v>
      </c>
      <c r="Q2708" s="12">
        <f t="shared" si="3"/>
        <v>0</v>
      </c>
      <c r="R2708" s="9">
        <v>2004.0</v>
      </c>
      <c r="S2708" s="9">
        <v>4.9</v>
      </c>
    </row>
    <row r="2709" ht="15.75" customHeight="1">
      <c r="A2709" s="29" t="s">
        <v>1251</v>
      </c>
      <c r="B2709" s="8" t="str">
        <f>IFERROR(__xludf.DUMMYFUNCTION("REGEXREPLACE(A2709, ""[^0-9a-zA-Z .'Ã]"","""")"),"Chris Weitz")</f>
        <v>Chris Weitz</v>
      </c>
      <c r="C2709" s="30">
        <v>158.0</v>
      </c>
      <c r="D2709" s="31">
        <v>4.0566655E7</v>
      </c>
      <c r="E2709" s="30" t="s">
        <v>159</v>
      </c>
      <c r="F2709" s="9">
        <f t="shared" si="1"/>
        <v>3</v>
      </c>
      <c r="G2709" s="30" t="s">
        <v>8721</v>
      </c>
      <c r="H2709" s="11" t="str">
        <f>IFERROR(__xludf.DUMMYFUNCTION("REGEXREPLACE(G2709, ""[^0-9a-zA-Z .'Ã]"","""")"),"Sharon Small")</f>
        <v>Sharon Small</v>
      </c>
      <c r="I2709" s="32" t="s">
        <v>8722</v>
      </c>
      <c r="J2709" s="30">
        <v>144021.0</v>
      </c>
      <c r="K2709" s="30" t="s">
        <v>8723</v>
      </c>
      <c r="L2709" s="30">
        <v>391.0</v>
      </c>
      <c r="M2709" s="30" t="s">
        <v>24</v>
      </c>
      <c r="N2709" s="30" t="s">
        <v>130</v>
      </c>
      <c r="O2709" s="31">
        <v>3.0E7</v>
      </c>
      <c r="P2709" s="10">
        <f t="shared" si="2"/>
        <v>10566655</v>
      </c>
      <c r="Q2709" s="12">
        <f t="shared" si="3"/>
        <v>0</v>
      </c>
      <c r="R2709" s="30">
        <v>2002.0</v>
      </c>
      <c r="S2709" s="30">
        <v>7.1</v>
      </c>
    </row>
    <row r="2710" ht="15.75" customHeight="1">
      <c r="A2710" s="17" t="s">
        <v>8724</v>
      </c>
      <c r="B2710" s="8" t="str">
        <f>IFERROR(__xludf.DUMMYFUNCTION("REGEXREPLACE(A2710, ""[^0-9a-zA-Z .'Ã]"","""")"),"Jerry Zaks")</f>
        <v>Jerry Zaks</v>
      </c>
      <c r="C2710" s="18">
        <v>45.0</v>
      </c>
      <c r="D2710" s="19">
        <v>1.2782508E7</v>
      </c>
      <c r="E2710" s="18" t="s">
        <v>103</v>
      </c>
      <c r="F2710" s="9">
        <f t="shared" si="1"/>
        <v>1</v>
      </c>
      <c r="G2710" s="18" t="s">
        <v>1351</v>
      </c>
      <c r="H2710" s="11" t="str">
        <f>IFERROR(__xludf.DUMMYFUNCTION("REGEXREPLACE(G2710, ""[^0-9a-zA-Z .'Ã]"","""")"),"Leonardo DiCaprio")</f>
        <v>Leonardo DiCaprio</v>
      </c>
      <c r="I2710" s="20" t="s">
        <v>8725</v>
      </c>
      <c r="J2710" s="18">
        <v>20163.0</v>
      </c>
      <c r="K2710" s="18" t="s">
        <v>8726</v>
      </c>
      <c r="L2710" s="18">
        <v>71.0</v>
      </c>
      <c r="M2710" s="18" t="s">
        <v>24</v>
      </c>
      <c r="N2710" s="18" t="s">
        <v>25</v>
      </c>
      <c r="O2710" s="19">
        <v>2.3E7</v>
      </c>
      <c r="P2710" s="10">
        <f t="shared" si="2"/>
        <v>0</v>
      </c>
      <c r="Q2710" s="12">
        <f t="shared" si="3"/>
        <v>10217492</v>
      </c>
      <c r="R2710" s="18">
        <v>1996.0</v>
      </c>
      <c r="S2710" s="18">
        <v>6.7</v>
      </c>
    </row>
    <row r="2711" ht="15.75" customHeight="1">
      <c r="A2711" s="17" t="s">
        <v>935</v>
      </c>
      <c r="B2711" s="8" t="str">
        <f>IFERROR(__xludf.DUMMYFUNCTION("REGEXREPLACE(A2711, ""[^0-9a-zA-Z .'Ã]"","""")"),"Betty Thomas")</f>
        <v>Betty Thomas</v>
      </c>
      <c r="C2711" s="18">
        <v>105.0</v>
      </c>
      <c r="D2711" s="19">
        <v>3.31056E7</v>
      </c>
      <c r="E2711" s="18" t="s">
        <v>1207</v>
      </c>
      <c r="F2711" s="9">
        <f t="shared" si="1"/>
        <v>4</v>
      </c>
      <c r="G2711" s="18" t="s">
        <v>3688</v>
      </c>
      <c r="H2711" s="11" t="str">
        <f>IFERROR(__xludf.DUMMYFUNCTION("REGEXREPLACE(G2711, ""[^0-9a-zA-Z .'Ã]"","""")"),"Gary Cole")</f>
        <v>Gary Cole</v>
      </c>
      <c r="I2711" s="20" t="s">
        <v>8727</v>
      </c>
      <c r="J2711" s="18">
        <v>41663.0</v>
      </c>
      <c r="K2711" s="18" t="s">
        <v>8728</v>
      </c>
      <c r="L2711" s="18">
        <v>141.0</v>
      </c>
      <c r="M2711" s="18" t="s">
        <v>24</v>
      </c>
      <c r="N2711" s="18" t="s">
        <v>25</v>
      </c>
      <c r="O2711" s="19">
        <v>7.0E7</v>
      </c>
      <c r="P2711" s="10">
        <f t="shared" si="2"/>
        <v>0</v>
      </c>
      <c r="Q2711" s="12">
        <f t="shared" si="3"/>
        <v>36894400</v>
      </c>
      <c r="R2711" s="18">
        <v>2002.0</v>
      </c>
      <c r="S2711" s="18">
        <v>5.4</v>
      </c>
    </row>
    <row r="2712" ht="15.75" customHeight="1">
      <c r="A2712" s="17" t="s">
        <v>6797</v>
      </c>
      <c r="B2712" s="8" t="str">
        <f>IFERROR(__xludf.DUMMYFUNCTION("REGEXREPLACE(A2712, ""[^0-9a-zA-Z .'Ã]"","""")"),"Brad Peyton")</f>
        <v>Brad Peyton</v>
      </c>
      <c r="C2712" s="18">
        <v>178.0</v>
      </c>
      <c r="D2712" s="19">
        <v>1.03812241E8</v>
      </c>
      <c r="E2712" s="18" t="s">
        <v>2716</v>
      </c>
      <c r="F2712" s="9">
        <f t="shared" si="1"/>
        <v>6</v>
      </c>
      <c r="G2712" s="18" t="s">
        <v>811</v>
      </c>
      <c r="H2712" s="11" t="str">
        <f>IFERROR(__xludf.DUMMYFUNCTION("REGEXREPLACE(G2712, ""[^0-9a-zA-Z .'Ã]"","""")"),"Josh Hutcherson")</f>
        <v>Josh Hutcherson</v>
      </c>
      <c r="I2712" s="20" t="s">
        <v>8729</v>
      </c>
      <c r="J2712" s="18">
        <v>67296.0</v>
      </c>
      <c r="K2712" s="18" t="s">
        <v>8730</v>
      </c>
      <c r="L2712" s="18">
        <v>133.0</v>
      </c>
      <c r="M2712" s="18" t="s">
        <v>24</v>
      </c>
      <c r="N2712" s="18" t="s">
        <v>25</v>
      </c>
      <c r="O2712" s="19">
        <v>7.9E7</v>
      </c>
      <c r="P2712" s="10">
        <f t="shared" si="2"/>
        <v>24812241</v>
      </c>
      <c r="Q2712" s="12">
        <f t="shared" si="3"/>
        <v>0</v>
      </c>
      <c r="R2712" s="18">
        <v>2012.0</v>
      </c>
      <c r="S2712" s="18">
        <v>5.8</v>
      </c>
    </row>
    <row r="2713" ht="15.75" customHeight="1">
      <c r="A2713" s="29" t="s">
        <v>4971</v>
      </c>
      <c r="B2713" s="8" t="str">
        <f>IFERROR(__xludf.DUMMYFUNCTION("REGEXREPLACE(A2713, ""[^0-9a-zA-Z .'Ã]"","""")"),"Penny Marshall")</f>
        <v>Penny Marshall</v>
      </c>
      <c r="C2713" s="30">
        <v>41.0</v>
      </c>
      <c r="D2713" s="31">
        <v>1.07458785E8</v>
      </c>
      <c r="E2713" s="30" t="s">
        <v>6923</v>
      </c>
      <c r="F2713" s="9">
        <f t="shared" si="1"/>
        <v>3</v>
      </c>
      <c r="G2713" s="30" t="s">
        <v>461</v>
      </c>
      <c r="H2713" s="11" t="str">
        <f>IFERROR(__xludf.DUMMYFUNCTION("REGEXREPLACE(G2713, ""[^0-9a-zA-Z .'Ã]"","""")"),"Tom Hanks")</f>
        <v>Tom Hanks</v>
      </c>
      <c r="I2713" s="32" t="s">
        <v>8731</v>
      </c>
      <c r="J2713" s="30">
        <v>71754.0</v>
      </c>
      <c r="K2713" s="30" t="s">
        <v>8732</v>
      </c>
      <c r="L2713" s="30">
        <v>166.0</v>
      </c>
      <c r="M2713" s="30" t="s">
        <v>24</v>
      </c>
      <c r="N2713" s="30" t="s">
        <v>25</v>
      </c>
      <c r="O2713" s="31">
        <v>4.0E7</v>
      </c>
      <c r="P2713" s="10">
        <f t="shared" si="2"/>
        <v>67458785</v>
      </c>
      <c r="Q2713" s="12">
        <f t="shared" si="3"/>
        <v>0</v>
      </c>
      <c r="R2713" s="30">
        <v>1992.0</v>
      </c>
      <c r="S2713" s="30">
        <v>7.2</v>
      </c>
    </row>
    <row r="2714" ht="15.75" customHeight="1">
      <c r="A2714" s="17" t="s">
        <v>8733</v>
      </c>
      <c r="B2714" s="8" t="str">
        <f>IFERROR(__xludf.DUMMYFUNCTION("REGEXREPLACE(A2714, ""[^0-9a-zA-Z .'Ã]"","""")"),"Scott Ziehl")</f>
        <v>Scott Ziehl</v>
      </c>
      <c r="C2714" s="18">
        <v>18.0</v>
      </c>
      <c r="D2714" s="19">
        <v>13493.0</v>
      </c>
      <c r="E2714" s="18" t="s">
        <v>103</v>
      </c>
      <c r="F2714" s="9">
        <f t="shared" si="1"/>
        <v>1</v>
      </c>
      <c r="G2714" s="18" t="s">
        <v>3102</v>
      </c>
      <c r="H2714" s="11" t="str">
        <f>IFERROR(__xludf.DUMMYFUNCTION("REGEXREPLACE(G2714, ""[^0-9a-zA-Z .'Ã]"","""")"),"William Smith")</f>
        <v>William Smith</v>
      </c>
      <c r="I2714" s="20" t="s">
        <v>8734</v>
      </c>
      <c r="J2714" s="18">
        <v>531.0</v>
      </c>
      <c r="K2714" s="18" t="s">
        <v>8735</v>
      </c>
      <c r="L2714" s="18">
        <v>19.0</v>
      </c>
      <c r="M2714" s="18" t="s">
        <v>24</v>
      </c>
      <c r="N2714" s="18" t="s">
        <v>25</v>
      </c>
      <c r="O2714" s="19">
        <v>600000.0</v>
      </c>
      <c r="P2714" s="10">
        <f t="shared" si="2"/>
        <v>0</v>
      </c>
      <c r="Q2714" s="12">
        <f t="shared" si="3"/>
        <v>586507</v>
      </c>
      <c r="R2714" s="18">
        <v>1998.0</v>
      </c>
      <c r="S2714" s="18">
        <v>6.6</v>
      </c>
    </row>
    <row r="2715" ht="15.75" customHeight="1">
      <c r="A2715" s="7" t="s">
        <v>4196</v>
      </c>
      <c r="B2715" s="8" t="str">
        <f>IFERROR(__xludf.DUMMYFUNCTION("REGEXREPLACE(A2715, ""[^0-9a-zA-Z .'Ã]"","""")"),"Andrew Davis")</f>
        <v>Andrew Davis</v>
      </c>
      <c r="C2715" s="9">
        <v>135.0</v>
      </c>
      <c r="D2715" s="10">
        <v>4.0048332E7</v>
      </c>
      <c r="E2715" s="9" t="s">
        <v>175</v>
      </c>
      <c r="F2715" s="9">
        <f t="shared" si="1"/>
        <v>3</v>
      </c>
      <c r="G2715" s="9" t="s">
        <v>8736</v>
      </c>
      <c r="H2715" s="11" t="str">
        <f>IFERROR(__xludf.DUMMYFUNCTION("REGEXREPLACE(G2715, ""[^0-9a-zA-Z .'Ã]"","""")"),"Raymond Cruz")</f>
        <v>Raymond Cruz</v>
      </c>
      <c r="I2715" s="11" t="s">
        <v>8737</v>
      </c>
      <c r="J2715" s="9">
        <v>61417.0</v>
      </c>
      <c r="K2715" s="9" t="s">
        <v>8738</v>
      </c>
      <c r="L2715" s="9">
        <v>339.0</v>
      </c>
      <c r="M2715" s="9" t="s">
        <v>24</v>
      </c>
      <c r="N2715" s="9" t="s">
        <v>25</v>
      </c>
      <c r="O2715" s="10">
        <v>8.5E7</v>
      </c>
      <c r="P2715" s="10">
        <f t="shared" si="2"/>
        <v>0</v>
      </c>
      <c r="Q2715" s="12">
        <f t="shared" si="3"/>
        <v>44951668</v>
      </c>
      <c r="R2715" s="9">
        <v>2002.0</v>
      </c>
      <c r="S2715" s="9">
        <v>5.5</v>
      </c>
    </row>
    <row r="2716" ht="15.75" customHeight="1">
      <c r="A2716" s="17" t="s">
        <v>8739</v>
      </c>
      <c r="B2716" s="8" t="str">
        <f>IFERROR(__xludf.DUMMYFUNCTION("REGEXREPLACE(A2716, ""[^0-9a-zA-Z .'Ã]"","""")"),"Gary David Goldberg")</f>
        <v>Gary David Goldberg</v>
      </c>
      <c r="C2716" s="18">
        <v>120.0</v>
      </c>
      <c r="D2716" s="19">
        <v>4.3894863E7</v>
      </c>
      <c r="E2716" s="18" t="s">
        <v>89</v>
      </c>
      <c r="F2716" s="9">
        <f t="shared" si="1"/>
        <v>2</v>
      </c>
      <c r="G2716" s="18" t="s">
        <v>5960</v>
      </c>
      <c r="H2716" s="11" t="str">
        <f>IFERROR(__xludf.DUMMYFUNCTION("REGEXREPLACE(G2716, ""[^0-9a-zA-Z .'Ã]"","""")"),"Stockard Channing")</f>
        <v>Stockard Channing</v>
      </c>
      <c r="I2716" s="20" t="s">
        <v>8740</v>
      </c>
      <c r="J2716" s="18">
        <v>25883.0</v>
      </c>
      <c r="K2716" s="18" t="s">
        <v>8741</v>
      </c>
      <c r="L2716" s="18">
        <v>262.0</v>
      </c>
      <c r="M2716" s="18" t="s">
        <v>24</v>
      </c>
      <c r="N2716" s="18" t="s">
        <v>25</v>
      </c>
      <c r="O2716" s="19">
        <v>3.0E7</v>
      </c>
      <c r="P2716" s="10">
        <f t="shared" si="2"/>
        <v>13894863</v>
      </c>
      <c r="Q2716" s="12">
        <f t="shared" si="3"/>
        <v>0</v>
      </c>
      <c r="R2716" s="18">
        <v>2005.0</v>
      </c>
      <c r="S2716" s="18">
        <v>5.9</v>
      </c>
    </row>
    <row r="2717" ht="15.75" customHeight="1">
      <c r="A2717" s="29" t="s">
        <v>5613</v>
      </c>
      <c r="B2717" s="8" t="str">
        <f>IFERROR(__xludf.DUMMYFUNCTION("REGEXREPLACE(A2717, ""[^0-9a-zA-Z -.'Ã]"","""")"),"Mikael HÃfstrÃm")</f>
        <v>Mikael HÃfstrÃm</v>
      </c>
      <c r="C2717" s="30">
        <v>286.0</v>
      </c>
      <c r="D2717" s="31">
        <v>2.5121291E7</v>
      </c>
      <c r="E2717" s="30" t="s">
        <v>8742</v>
      </c>
      <c r="F2717" s="9">
        <f t="shared" si="1"/>
        <v>5</v>
      </c>
      <c r="G2717" s="30" t="s">
        <v>2532</v>
      </c>
      <c r="H2717" s="11" t="str">
        <f>IFERROR(__xludf.DUMMYFUNCTION("REGEXREPLACE(G2717, ""[^0-9a-zA-Z .'Ã]"","""")"),"Sylvester Stallone")</f>
        <v>Sylvester Stallone</v>
      </c>
      <c r="I2717" s="32" t="s">
        <v>8743</v>
      </c>
      <c r="J2717" s="30">
        <v>177653.0</v>
      </c>
      <c r="K2717" s="30" t="s">
        <v>8744</v>
      </c>
      <c r="L2717" s="30">
        <v>279.0</v>
      </c>
      <c r="M2717" s="30" t="s">
        <v>24</v>
      </c>
      <c r="N2717" s="30" t="s">
        <v>25</v>
      </c>
      <c r="O2717" s="31">
        <v>5.0E7</v>
      </c>
      <c r="P2717" s="10">
        <f t="shared" si="2"/>
        <v>0</v>
      </c>
      <c r="Q2717" s="12">
        <f t="shared" si="3"/>
        <v>24878709</v>
      </c>
      <c r="R2717" s="30">
        <v>2013.0</v>
      </c>
      <c r="S2717" s="30">
        <v>6.7</v>
      </c>
    </row>
    <row r="2718" ht="15.75" customHeight="1">
      <c r="A2718" s="21" t="s">
        <v>5534</v>
      </c>
      <c r="B2718" s="8" t="str">
        <f>IFERROR(__xludf.DUMMYFUNCTION("REGEXREPLACE(A2718, ""[^0-9a-zA-Z .'Ã]"","""")"),"Thomas Carter")</f>
        <v>Thomas Carter</v>
      </c>
      <c r="C2718" s="22">
        <v>101.0</v>
      </c>
      <c r="D2718" s="23">
        <v>9.1038276E7</v>
      </c>
      <c r="E2718" s="22" t="s">
        <v>734</v>
      </c>
      <c r="F2718" s="9">
        <f t="shared" si="1"/>
        <v>3</v>
      </c>
      <c r="G2718" s="22" t="s">
        <v>8745</v>
      </c>
      <c r="H2718" s="11" t="str">
        <f>IFERROR(__xludf.DUMMYFUNCTION("REGEXREPLACE(G2718, ""[^0-9a-zA-Z .'Ã]"","""")"),"Sean Patrick Thomas")</f>
        <v>Sean Patrick Thomas</v>
      </c>
      <c r="I2718" s="24" t="s">
        <v>8746</v>
      </c>
      <c r="J2718" s="22">
        <v>47876.0</v>
      </c>
      <c r="K2718" s="22" t="s">
        <v>8747</v>
      </c>
      <c r="L2718" s="22">
        <v>320.0</v>
      </c>
      <c r="M2718" s="22" t="s">
        <v>24</v>
      </c>
      <c r="N2718" s="22" t="s">
        <v>25</v>
      </c>
      <c r="O2718" s="23">
        <v>1.3E7</v>
      </c>
      <c r="P2718" s="10">
        <f t="shared" si="2"/>
        <v>78038276</v>
      </c>
      <c r="Q2718" s="12">
        <f t="shared" si="3"/>
        <v>0</v>
      </c>
      <c r="R2718" s="22">
        <v>2001.0</v>
      </c>
      <c r="S2718" s="22">
        <v>6.1</v>
      </c>
    </row>
    <row r="2719" ht="15.75" customHeight="1">
      <c r="A2719" s="21" t="s">
        <v>8748</v>
      </c>
      <c r="B2719" s="8" t="str">
        <f>IFERROR(__xludf.DUMMYFUNCTION("REGEXREPLACE(A2719, ""[^0-9a-zA-Z .'Ã]"","""")"),"Leigh Whannell")</f>
        <v>Leigh Whannell</v>
      </c>
      <c r="C2719" s="22">
        <v>242.0</v>
      </c>
      <c r="D2719" s="23">
        <v>5.2200504E7</v>
      </c>
      <c r="E2719" s="22" t="s">
        <v>955</v>
      </c>
      <c r="F2719" s="9">
        <f t="shared" si="1"/>
        <v>3</v>
      </c>
      <c r="G2719" s="22" t="s">
        <v>1713</v>
      </c>
      <c r="H2719" s="11" t="str">
        <f>IFERROR(__xludf.DUMMYFUNCTION("REGEXREPLACE(G2719, ""[^0-9a-zA-Z .'Ã]"","""")"),"Lin Shaye")</f>
        <v>Lin Shaye</v>
      </c>
      <c r="I2719" s="24" t="s">
        <v>8749</v>
      </c>
      <c r="J2719" s="22">
        <v>54190.0</v>
      </c>
      <c r="K2719" s="22" t="s">
        <v>8750</v>
      </c>
      <c r="L2719" s="22">
        <v>183.0</v>
      </c>
      <c r="M2719" s="22" t="s">
        <v>24</v>
      </c>
      <c r="N2719" s="22" t="s">
        <v>624</v>
      </c>
      <c r="O2719" s="23">
        <v>1.0E7</v>
      </c>
      <c r="P2719" s="10">
        <f t="shared" si="2"/>
        <v>42200504</v>
      </c>
      <c r="Q2719" s="12">
        <f t="shared" si="3"/>
        <v>0</v>
      </c>
      <c r="R2719" s="22">
        <v>2015.0</v>
      </c>
      <c r="S2719" s="22">
        <v>6.1</v>
      </c>
    </row>
    <row r="2720" ht="15.75" customHeight="1">
      <c r="A2720" s="25" t="s">
        <v>2190</v>
      </c>
      <c r="B2720" s="8" t="str">
        <f>IFERROR(__xludf.DUMMYFUNCTION("REGEXREPLACE(A2720, ""[^0-9a-zA-Z .'Ã]"","""")"),"Ben Stiller")</f>
        <v>Ben Stiller</v>
      </c>
      <c r="C2720" s="26">
        <v>226.0</v>
      </c>
      <c r="D2720" s="27">
        <v>2.8837115E7</v>
      </c>
      <c r="E2720" s="26" t="s">
        <v>137</v>
      </c>
      <c r="F2720" s="9">
        <f t="shared" si="1"/>
        <v>1</v>
      </c>
      <c r="G2720" s="26" t="s">
        <v>65</v>
      </c>
      <c r="H2720" s="11" t="str">
        <f>IFERROR(__xludf.DUMMYFUNCTION("REGEXREPLACE(G2720, ""[^0-9a-zA-Z .'Ã]"","""")"),"Milla Jovovich")</f>
        <v>Milla Jovovich</v>
      </c>
      <c r="I2720" s="28" t="s">
        <v>8751</v>
      </c>
      <c r="J2720" s="26">
        <v>34964.0</v>
      </c>
      <c r="K2720" s="26" t="s">
        <v>8752</v>
      </c>
      <c r="L2720" s="26">
        <v>150.0</v>
      </c>
      <c r="M2720" s="26" t="s">
        <v>24</v>
      </c>
      <c r="N2720" s="26" t="s">
        <v>25</v>
      </c>
      <c r="O2720" s="27">
        <v>5.0E7</v>
      </c>
      <c r="P2720" s="10">
        <f t="shared" si="2"/>
        <v>0</v>
      </c>
      <c r="Q2720" s="12">
        <f t="shared" si="3"/>
        <v>21162885</v>
      </c>
      <c r="R2720" s="26">
        <v>2016.0</v>
      </c>
      <c r="S2720" s="26">
        <v>4.8</v>
      </c>
    </row>
    <row r="2721" ht="15.75" customHeight="1">
      <c r="A2721" s="7" t="s">
        <v>8753</v>
      </c>
      <c r="B2721" s="8" t="str">
        <f>IFERROR(__xludf.DUMMYFUNCTION("REGEXREPLACE(A2721, ""[^0-9a-zA-Z .'Ã]"","""")"),"Peter Faiman")</f>
        <v>Peter Faiman</v>
      </c>
      <c r="C2721" s="9">
        <v>35.0</v>
      </c>
      <c r="D2721" s="10">
        <v>1.74635E8</v>
      </c>
      <c r="E2721" s="9" t="s">
        <v>693</v>
      </c>
      <c r="F2721" s="9">
        <f t="shared" si="1"/>
        <v>2</v>
      </c>
      <c r="G2721" s="9" t="s">
        <v>5680</v>
      </c>
      <c r="H2721" s="11" t="str">
        <f>IFERROR(__xludf.DUMMYFUNCTION("REGEXREPLACE(G2721, ""[^0-9a-zA-Z .'Ã]"","""")"),"Paul Hogan")</f>
        <v>Paul Hogan</v>
      </c>
      <c r="I2721" s="11" t="s">
        <v>8754</v>
      </c>
      <c r="J2721" s="9">
        <v>74743.0</v>
      </c>
      <c r="K2721" s="9" t="s">
        <v>8755</v>
      </c>
      <c r="L2721" s="9">
        <v>93.0</v>
      </c>
      <c r="M2721" s="9" t="s">
        <v>24</v>
      </c>
      <c r="N2721" s="9" t="s">
        <v>146</v>
      </c>
      <c r="O2721" s="10">
        <v>8800000.0</v>
      </c>
      <c r="P2721" s="10">
        <f t="shared" si="2"/>
        <v>165835000</v>
      </c>
      <c r="Q2721" s="12">
        <f t="shared" si="3"/>
        <v>0</v>
      </c>
      <c r="R2721" s="9">
        <v>1986.0</v>
      </c>
      <c r="S2721" s="9">
        <v>6.5</v>
      </c>
    </row>
    <row r="2722" ht="15.75" customHeight="1">
      <c r="A2722" s="7" t="s">
        <v>1701</v>
      </c>
      <c r="B2722" s="8" t="str">
        <f>IFERROR(__xludf.DUMMYFUNCTION("REGEXREPLACE(A2722, ""[^0-9a-zA-Z .'Ã]"","""")"),"Gavin Hood")</f>
        <v>Gavin Hood</v>
      </c>
      <c r="C2722" s="9">
        <v>152.0</v>
      </c>
      <c r="D2722" s="10">
        <v>2912363.0</v>
      </c>
      <c r="E2722" s="9" t="s">
        <v>54</v>
      </c>
      <c r="F2722" s="9">
        <f t="shared" si="1"/>
        <v>2</v>
      </c>
      <c r="G2722" s="9" t="s">
        <v>1809</v>
      </c>
      <c r="H2722" s="11" t="str">
        <f>IFERROR(__xludf.DUMMYFUNCTION("REGEXREPLACE(G2722, ""[^0-9a-zA-Z .'Ã]"","""")"),"Terry Pheto")</f>
        <v>Terry Pheto</v>
      </c>
      <c r="I2722" s="11" t="s">
        <v>8756</v>
      </c>
      <c r="J2722" s="9">
        <v>25063.0</v>
      </c>
      <c r="K2722" s="9" t="s">
        <v>8757</v>
      </c>
      <c r="L2722" s="9">
        <v>177.0</v>
      </c>
      <c r="M2722" s="9" t="s">
        <v>8758</v>
      </c>
      <c r="N2722" s="9" t="s">
        <v>130</v>
      </c>
      <c r="O2722" s="10">
        <v>3000000.0</v>
      </c>
      <c r="P2722" s="10">
        <f t="shared" si="2"/>
        <v>0</v>
      </c>
      <c r="Q2722" s="12">
        <f t="shared" si="3"/>
        <v>87637</v>
      </c>
      <c r="R2722" s="9">
        <v>2005.0</v>
      </c>
      <c r="S2722" s="9">
        <v>7.3</v>
      </c>
    </row>
    <row r="2723" ht="15.75" customHeight="1">
      <c r="A2723" s="7" t="s">
        <v>8759</v>
      </c>
      <c r="B2723" s="8" t="str">
        <f>IFERROR(__xludf.DUMMYFUNCTION("REGEXREPLACE(A2723, ""[^0-9a-zA-Z .'Ã]"","""")"),"James Isaac")</f>
        <v>James Isaac</v>
      </c>
      <c r="C2723" s="9">
        <v>205.0</v>
      </c>
      <c r="D2723" s="10">
        <v>1.2610731E7</v>
      </c>
      <c r="E2723" s="9" t="s">
        <v>64</v>
      </c>
      <c r="F2723" s="9">
        <f t="shared" si="1"/>
        <v>4</v>
      </c>
      <c r="G2723" s="9" t="s">
        <v>8760</v>
      </c>
      <c r="H2723" s="11" t="str">
        <f>IFERROR(__xludf.DUMMYFUNCTION("REGEXREPLACE(G2723, ""[^0-9a-zA-Z .'Ã]"","""")"),"Peter Mensah")</f>
        <v>Peter Mensah</v>
      </c>
      <c r="I2723" s="11" t="s">
        <v>8761</v>
      </c>
      <c r="J2723" s="9">
        <v>38985.0</v>
      </c>
      <c r="K2723" s="9" t="s">
        <v>8762</v>
      </c>
      <c r="L2723" s="9">
        <v>673.0</v>
      </c>
      <c r="M2723" s="9" t="s">
        <v>24</v>
      </c>
      <c r="N2723" s="9" t="s">
        <v>25</v>
      </c>
      <c r="O2723" s="10">
        <v>1.1E7</v>
      </c>
      <c r="P2723" s="10">
        <f t="shared" si="2"/>
        <v>1610731</v>
      </c>
      <c r="Q2723" s="12">
        <f t="shared" si="3"/>
        <v>0</v>
      </c>
      <c r="R2723" s="9">
        <v>2001.0</v>
      </c>
      <c r="S2723" s="9">
        <v>4.4</v>
      </c>
    </row>
    <row r="2724" ht="15.75" customHeight="1">
      <c r="A2724" s="17" t="s">
        <v>3386</v>
      </c>
      <c r="B2724" s="8" t="str">
        <f>IFERROR(__xludf.DUMMYFUNCTION("REGEXREPLACE(A2724, ""[^0-9a-zA-Z .'Ã]"","""")"),"Andrew Niccol")</f>
        <v>Andrew Niccol</v>
      </c>
      <c r="C2724" s="18">
        <v>298.0</v>
      </c>
      <c r="D2724" s="19">
        <v>2.6616999E7</v>
      </c>
      <c r="E2724" s="18" t="s">
        <v>4885</v>
      </c>
      <c r="F2724" s="9">
        <f t="shared" si="1"/>
        <v>5</v>
      </c>
      <c r="G2724" s="18" t="s">
        <v>8763</v>
      </c>
      <c r="H2724" s="11" t="str">
        <f>IFERROR(__xludf.DUMMYFUNCTION("REGEXREPLACE(G2724, ""[^0-9a-zA-Z .'Ã]"","""")"),"J.D. Evermore")</f>
        <v>J.D. Evermore</v>
      </c>
      <c r="I2724" s="20" t="s">
        <v>8764</v>
      </c>
      <c r="J2724" s="18">
        <v>92461.0</v>
      </c>
      <c r="K2724" s="18" t="s">
        <v>8765</v>
      </c>
      <c r="L2724" s="18">
        <v>347.0</v>
      </c>
      <c r="M2724" s="18" t="s">
        <v>24</v>
      </c>
      <c r="N2724" s="18" t="s">
        <v>25</v>
      </c>
      <c r="O2724" s="19">
        <v>4.0E7</v>
      </c>
      <c r="P2724" s="10">
        <f t="shared" si="2"/>
        <v>0</v>
      </c>
      <c r="Q2724" s="12">
        <f t="shared" si="3"/>
        <v>13383001</v>
      </c>
      <c r="R2724" s="18">
        <v>2013.0</v>
      </c>
      <c r="S2724" s="18">
        <v>5.9</v>
      </c>
    </row>
    <row r="2725" ht="15.75" customHeight="1">
      <c r="A2725" s="7" t="s">
        <v>1091</v>
      </c>
      <c r="B2725" s="8" t="str">
        <f>IFERROR(__xludf.DUMMYFUNCTION("REGEXREPLACE(A2725, ""[^0-9a-zA-Z .'Ã]"","""")"),"Brian Levant")</f>
        <v>Brian Levant</v>
      </c>
      <c r="C2725" s="9">
        <v>81.0</v>
      </c>
      <c r="D2725" s="10">
        <v>6.0573641E7</v>
      </c>
      <c r="E2725" s="9" t="s">
        <v>857</v>
      </c>
      <c r="F2725" s="9">
        <f t="shared" si="1"/>
        <v>2</v>
      </c>
      <c r="G2725" s="9" t="s">
        <v>6317</v>
      </c>
      <c r="H2725" s="11" t="str">
        <f>IFERROR(__xludf.DUMMYFUNCTION("REGEXREPLACE(G2725, ""[^0-9a-zA-Z .'Ã]"","""")"),"Jim Belushi")</f>
        <v>Jim Belushi</v>
      </c>
      <c r="I2725" s="11" t="s">
        <v>8766</v>
      </c>
      <c r="J2725" s="9">
        <v>68406.0</v>
      </c>
      <c r="K2725" s="9" t="s">
        <v>8767</v>
      </c>
      <c r="L2725" s="9">
        <v>162.0</v>
      </c>
      <c r="M2725" s="9" t="s">
        <v>24</v>
      </c>
      <c r="N2725" s="9" t="s">
        <v>25</v>
      </c>
      <c r="O2725" s="10">
        <v>6.0E7</v>
      </c>
      <c r="P2725" s="10">
        <f t="shared" si="2"/>
        <v>573641</v>
      </c>
      <c r="Q2725" s="12">
        <f t="shared" si="3"/>
        <v>0</v>
      </c>
      <c r="R2725" s="9">
        <v>1996.0</v>
      </c>
      <c r="S2725" s="9">
        <v>5.4</v>
      </c>
    </row>
    <row r="2726" ht="15.75" customHeight="1">
      <c r="A2726" s="17" t="s">
        <v>6494</v>
      </c>
      <c r="B2726" s="8" t="str">
        <f>IFERROR(__xludf.DUMMYFUNCTION("REGEXREPLACE(A2726, ""[^0-9a-zA-Z .'Ã]"","""")"),"Andrey Konchalovskiy")</f>
        <v>Andrey Konchalovskiy</v>
      </c>
      <c r="C2726" s="18">
        <v>45.0</v>
      </c>
      <c r="D2726" s="19">
        <v>6.3408614E7</v>
      </c>
      <c r="E2726" s="18" t="s">
        <v>790</v>
      </c>
      <c r="F2726" s="9">
        <f t="shared" si="1"/>
        <v>4</v>
      </c>
      <c r="G2726" s="18" t="s">
        <v>2532</v>
      </c>
      <c r="H2726" s="11" t="str">
        <f>IFERROR(__xludf.DUMMYFUNCTION("REGEXREPLACE(G2726, ""[^0-9a-zA-Z .'Ã]"","""")"),"Sylvester Stallone")</f>
        <v>Sylvester Stallone</v>
      </c>
      <c r="I2726" s="20" t="s">
        <v>8768</v>
      </c>
      <c r="J2726" s="18">
        <v>75365.0</v>
      </c>
      <c r="K2726" s="18" t="s">
        <v>8769</v>
      </c>
      <c r="L2726" s="18">
        <v>149.0</v>
      </c>
      <c r="M2726" s="18" t="s">
        <v>24</v>
      </c>
      <c r="N2726" s="18" t="s">
        <v>25</v>
      </c>
      <c r="O2726" s="19">
        <v>5.5E7</v>
      </c>
      <c r="P2726" s="10">
        <f t="shared" si="2"/>
        <v>8408614</v>
      </c>
      <c r="Q2726" s="12">
        <f t="shared" si="3"/>
        <v>0</v>
      </c>
      <c r="R2726" s="18">
        <v>1989.0</v>
      </c>
      <c r="S2726" s="18">
        <v>6.3</v>
      </c>
    </row>
    <row r="2727" ht="15.75" customHeight="1">
      <c r="A2727" s="21" t="s">
        <v>8770</v>
      </c>
      <c r="B2727" s="8" t="str">
        <f>IFERROR(__xludf.DUMMYFUNCTION("REGEXREPLACE(A2727, ""[^0-9a-zA-Z .'Ã]"","""")"),"Morgan Neville")</f>
        <v>Morgan Neville</v>
      </c>
      <c r="C2727" s="22">
        <v>149.0</v>
      </c>
      <c r="D2727" s="23">
        <v>4946250.0</v>
      </c>
      <c r="E2727" s="22" t="s">
        <v>715</v>
      </c>
      <c r="F2727" s="9">
        <f t="shared" si="1"/>
        <v>2</v>
      </c>
      <c r="G2727" s="22" t="s">
        <v>8771</v>
      </c>
      <c r="H2727" s="11" t="str">
        <f>IFERROR(__xludf.DUMMYFUNCTION("REGEXREPLACE(G2727, ""[^0-9a-zA-Z .'Ã]"","""")"),"Sheryl Crow")</f>
        <v>Sheryl Crow</v>
      </c>
      <c r="I2727" s="24" t="s">
        <v>8772</v>
      </c>
      <c r="J2727" s="22">
        <v>9540.0</v>
      </c>
      <c r="K2727" s="22" t="s">
        <v>8773</v>
      </c>
      <c r="L2727" s="22">
        <v>80.0</v>
      </c>
      <c r="M2727" s="22" t="s">
        <v>24</v>
      </c>
      <c r="N2727" s="22" t="s">
        <v>25</v>
      </c>
      <c r="O2727" s="23">
        <v>1000000.0</v>
      </c>
      <c r="P2727" s="10">
        <f t="shared" si="2"/>
        <v>3946250</v>
      </c>
      <c r="Q2727" s="12">
        <f t="shared" si="3"/>
        <v>0</v>
      </c>
      <c r="R2727" s="22">
        <v>2013.0</v>
      </c>
      <c r="S2727" s="22">
        <v>7.4</v>
      </c>
    </row>
    <row r="2728" ht="15.75" customHeight="1">
      <c r="A2728" s="21" t="s">
        <v>293</v>
      </c>
      <c r="B2728" s="8" t="str">
        <f>IFERROR(__xludf.DUMMYFUNCTION("REGEXREPLACE(A2728, ""[^0-9a-zA-Z .'Ã]"","""")"),"Michael Moore")</f>
        <v>Michael Moore</v>
      </c>
      <c r="C2728" s="22">
        <v>288.0</v>
      </c>
      <c r="D2728" s="23">
        <v>1.19078393E8</v>
      </c>
      <c r="E2728" s="22" t="s">
        <v>8774</v>
      </c>
      <c r="F2728" s="9">
        <f t="shared" si="1"/>
        <v>3</v>
      </c>
      <c r="G2728" s="22" t="s">
        <v>8775</v>
      </c>
      <c r="H2728" s="11" t="str">
        <f>IFERROR(__xludf.DUMMYFUNCTION("REGEXREPLACE(G2728, ""[^0-9a-zA-Z .'Ã]"","""")"),"Osama bin Laden")</f>
        <v>Osama bin Laden</v>
      </c>
      <c r="I2728" s="24" t="s">
        <v>8776</v>
      </c>
      <c r="J2728" s="22">
        <v>113152.0</v>
      </c>
      <c r="K2728" s="22" t="s">
        <v>8777</v>
      </c>
      <c r="L2728" s="22">
        <v>1416.0</v>
      </c>
      <c r="M2728" s="22" t="s">
        <v>24</v>
      </c>
      <c r="N2728" s="22" t="s">
        <v>25</v>
      </c>
      <c r="O2728" s="23">
        <v>6000000.0</v>
      </c>
      <c r="P2728" s="10">
        <f t="shared" si="2"/>
        <v>113078393</v>
      </c>
      <c r="Q2728" s="12">
        <f t="shared" si="3"/>
        <v>0</v>
      </c>
      <c r="R2728" s="22">
        <v>2004.0</v>
      </c>
      <c r="S2728" s="22">
        <v>7.5</v>
      </c>
    </row>
    <row r="2729" ht="15.75" customHeight="1">
      <c r="A2729" s="21" t="s">
        <v>1796</v>
      </c>
      <c r="B2729" s="8" t="str">
        <f>IFERROR(__xludf.DUMMYFUNCTION("REGEXREPLACE(A2729, ""[^0-9a-zA-Z .'Ã]"","""")"),"Harold Ramis")</f>
        <v>Harold Ramis</v>
      </c>
      <c r="C2729" s="22">
        <v>145.0</v>
      </c>
      <c r="D2729" s="23">
        <v>1.06694016E8</v>
      </c>
      <c r="E2729" s="22" t="s">
        <v>440</v>
      </c>
      <c r="F2729" s="9">
        <f t="shared" si="1"/>
        <v>2</v>
      </c>
      <c r="G2729" s="22" t="s">
        <v>883</v>
      </c>
      <c r="H2729" s="11" t="str">
        <f>IFERROR(__xludf.DUMMYFUNCTION("REGEXREPLACE(G2729, ""[^0-9a-zA-Z .'Ã]"","""")"),"Robert De Niro")</f>
        <v>Robert De Niro</v>
      </c>
      <c r="I2729" s="24" t="s">
        <v>8778</v>
      </c>
      <c r="J2729" s="22">
        <v>123940.0</v>
      </c>
      <c r="K2729" s="22" t="s">
        <v>8779</v>
      </c>
      <c r="L2729" s="22">
        <v>337.0</v>
      </c>
      <c r="M2729" s="22" t="s">
        <v>24</v>
      </c>
      <c r="N2729" s="22" t="s">
        <v>25</v>
      </c>
      <c r="O2729" s="23">
        <v>3.0E7</v>
      </c>
      <c r="P2729" s="10">
        <f t="shared" si="2"/>
        <v>76694016</v>
      </c>
      <c r="Q2729" s="12">
        <f t="shared" si="3"/>
        <v>0</v>
      </c>
      <c r="R2729" s="22">
        <v>1999.0</v>
      </c>
      <c r="S2729" s="22">
        <v>6.7</v>
      </c>
    </row>
    <row r="2730" ht="15.75" customHeight="1">
      <c r="A2730" s="7" t="s">
        <v>1733</v>
      </c>
      <c r="B2730" s="8" t="str">
        <f>IFERROR(__xludf.DUMMYFUNCTION("REGEXREPLACE(A2730, ""[^0-9a-zA-Z .'Ã]"","""")"),"Mark Neveldine")</f>
        <v>Mark Neveldine</v>
      </c>
      <c r="C2730" s="9">
        <v>287.0</v>
      </c>
      <c r="D2730" s="10">
        <v>5.1774002E7</v>
      </c>
      <c r="E2730" s="9" t="s">
        <v>199</v>
      </c>
      <c r="F2730" s="9">
        <f t="shared" si="1"/>
        <v>3</v>
      </c>
      <c r="G2730" s="9" t="s">
        <v>458</v>
      </c>
      <c r="H2730" s="11" t="str">
        <f>IFERROR(__xludf.DUMMYFUNCTION("REGEXREPLACE(G2730, ""[^0-9a-zA-Z .'Ã]"","""")"),"Nicolas Cage")</f>
        <v>Nicolas Cage</v>
      </c>
      <c r="I2730" s="11" t="s">
        <v>8780</v>
      </c>
      <c r="J2730" s="9">
        <v>87745.0</v>
      </c>
      <c r="K2730" s="9" t="s">
        <v>8781</v>
      </c>
      <c r="L2730" s="9">
        <v>331.0</v>
      </c>
      <c r="M2730" s="9" t="s">
        <v>24</v>
      </c>
      <c r="N2730" s="9" t="s">
        <v>25</v>
      </c>
      <c r="O2730" s="10">
        <v>5.7E7</v>
      </c>
      <c r="P2730" s="10">
        <f t="shared" si="2"/>
        <v>0</v>
      </c>
      <c r="Q2730" s="12">
        <f t="shared" si="3"/>
        <v>5225998</v>
      </c>
      <c r="R2730" s="9">
        <v>2011.0</v>
      </c>
      <c r="S2730" s="9">
        <v>4.3</v>
      </c>
    </row>
    <row r="2731" ht="15.75" customHeight="1">
      <c r="A2731" s="21" t="s">
        <v>3811</v>
      </c>
      <c r="B2731" s="8" t="str">
        <f>IFERROR(__xludf.DUMMYFUNCTION("REGEXREPLACE(A2731, ""[^0-9a-zA-Z .'Ã]"","""")"),"Howard Deutch")</f>
        <v>Howard Deutch</v>
      </c>
      <c r="C2731" s="22">
        <v>118.0</v>
      </c>
      <c r="D2731" s="23">
        <v>4.4737059E7</v>
      </c>
      <c r="E2731" s="22" t="s">
        <v>3398</v>
      </c>
      <c r="F2731" s="9">
        <f t="shared" si="1"/>
        <v>2</v>
      </c>
      <c r="G2731" s="22" t="s">
        <v>1170</v>
      </c>
      <c r="H2731" s="11" t="str">
        <f>IFERROR(__xludf.DUMMYFUNCTION("REGEXREPLACE(G2731, ""[^0-9a-zA-Z .'Ã]"","""")"),"Keanu Reeves")</f>
        <v>Keanu Reeves</v>
      </c>
      <c r="I2731" s="24" t="s">
        <v>8782</v>
      </c>
      <c r="J2731" s="22">
        <v>48322.0</v>
      </c>
      <c r="K2731" s="22" t="s">
        <v>8783</v>
      </c>
      <c r="L2731" s="22">
        <v>261.0</v>
      </c>
      <c r="M2731" s="22" t="s">
        <v>24</v>
      </c>
      <c r="N2731" s="22" t="s">
        <v>25</v>
      </c>
      <c r="O2731" s="23">
        <v>5.0E7</v>
      </c>
      <c r="P2731" s="10">
        <f t="shared" si="2"/>
        <v>0</v>
      </c>
      <c r="Q2731" s="12">
        <f t="shared" si="3"/>
        <v>5262941</v>
      </c>
      <c r="R2731" s="22">
        <v>2000.0</v>
      </c>
      <c r="S2731" s="22">
        <v>6.5</v>
      </c>
    </row>
    <row r="2732" ht="15.75" customHeight="1">
      <c r="A2732" s="7" t="s">
        <v>1248</v>
      </c>
      <c r="B2732" s="8" t="str">
        <f>IFERROR(__xludf.DUMMYFUNCTION("REGEXREPLACE(A2732, ""[^0-9a-zA-Z .'Ã]"","""")"),"Paul Weitz")</f>
        <v>Paul Weitz</v>
      </c>
      <c r="C2732" s="9">
        <v>145.0</v>
      </c>
      <c r="D2732" s="10">
        <v>1.01736215E8</v>
      </c>
      <c r="E2732" s="9" t="s">
        <v>137</v>
      </c>
      <c r="F2732" s="9">
        <f t="shared" si="1"/>
        <v>1</v>
      </c>
      <c r="G2732" s="9" t="s">
        <v>3870</v>
      </c>
      <c r="H2732" s="11" t="str">
        <f>IFERROR(__xludf.DUMMYFUNCTION("REGEXREPLACE(G2732, ""[^0-9a-zA-Z .'Ã]"","""")"),"Alyson Hannigan")</f>
        <v>Alyson Hannigan</v>
      </c>
      <c r="I2732" s="11" t="s">
        <v>8784</v>
      </c>
      <c r="J2732" s="9">
        <v>315549.0</v>
      </c>
      <c r="K2732" s="9" t="s">
        <v>8785</v>
      </c>
      <c r="L2732" s="9">
        <v>789.0</v>
      </c>
      <c r="M2732" s="9" t="s">
        <v>24</v>
      </c>
      <c r="N2732" s="9" t="s">
        <v>25</v>
      </c>
      <c r="O2732" s="10">
        <v>1.1E7</v>
      </c>
      <c r="P2732" s="10">
        <f t="shared" si="2"/>
        <v>90736215</v>
      </c>
      <c r="Q2732" s="12">
        <f t="shared" si="3"/>
        <v>0</v>
      </c>
      <c r="R2732" s="9">
        <v>1999.0</v>
      </c>
      <c r="S2732" s="9">
        <v>7.0</v>
      </c>
    </row>
    <row r="2733" ht="15.75" customHeight="1">
      <c r="A2733" s="25" t="s">
        <v>1569</v>
      </c>
      <c r="B2733" s="8" t="str">
        <f>IFERROR(__xludf.DUMMYFUNCTION("REGEXREPLACE(A2733, ""[^0-9a-zA-Z .'Ã]"","""")"),"Tom Tykwer")</f>
        <v>Tom Tykwer</v>
      </c>
      <c r="C2733" s="26">
        <v>245.0</v>
      </c>
      <c r="D2733" s="27">
        <v>2.5450527E7</v>
      </c>
      <c r="E2733" s="26" t="s">
        <v>610</v>
      </c>
      <c r="F2733" s="9">
        <f t="shared" si="1"/>
        <v>5</v>
      </c>
      <c r="G2733" s="26" t="s">
        <v>874</v>
      </c>
      <c r="H2733" s="11" t="str">
        <f>IFERROR(__xludf.DUMMYFUNCTION("REGEXREPLACE(G2733, ""[^0-9a-zA-Z .'Ã]"","""")"),"Naomi Watts")</f>
        <v>Naomi Watts</v>
      </c>
      <c r="I2733" s="28" t="s">
        <v>8786</v>
      </c>
      <c r="J2733" s="26">
        <v>80196.0</v>
      </c>
      <c r="K2733" s="26" t="s">
        <v>8787</v>
      </c>
      <c r="L2733" s="26">
        <v>190.0</v>
      </c>
      <c r="M2733" s="26" t="s">
        <v>24</v>
      </c>
      <c r="N2733" s="26" t="s">
        <v>25</v>
      </c>
      <c r="O2733" s="27">
        <v>5.0E7</v>
      </c>
      <c r="P2733" s="10">
        <f t="shared" si="2"/>
        <v>0</v>
      </c>
      <c r="Q2733" s="12">
        <f t="shared" si="3"/>
        <v>24549473</v>
      </c>
      <c r="R2733" s="26">
        <v>2009.0</v>
      </c>
      <c r="S2733" s="26">
        <v>6.5</v>
      </c>
    </row>
    <row r="2734" ht="15.75" customHeight="1">
      <c r="A2734" s="7" t="s">
        <v>8788</v>
      </c>
      <c r="B2734" s="8" t="str">
        <f>IFERROR(__xludf.DUMMYFUNCTION("REGEXREPLACE(A2734, ""[^0-9a-zA-Z .'Ã]"","""")"),"Dinesh D'Souza")</f>
        <v>Dinesh D'Souza</v>
      </c>
      <c r="C2734" s="9">
        <v>30.0</v>
      </c>
      <c r="D2734" s="10">
        <v>3.3349949E7</v>
      </c>
      <c r="E2734" s="9" t="s">
        <v>251</v>
      </c>
      <c r="F2734" s="9">
        <f t="shared" si="1"/>
        <v>1</v>
      </c>
      <c r="G2734" s="9" t="s">
        <v>8789</v>
      </c>
      <c r="H2734" s="11" t="str">
        <f>IFERROR(__xludf.DUMMYFUNCTION("REGEXREPLACE(G2734, ""[^0-9a-zA-Z .'Ã]"","""")"),"Barack Obama")</f>
        <v>Barack Obama</v>
      </c>
      <c r="I2734" s="11" t="s">
        <v>8790</v>
      </c>
      <c r="J2734" s="9">
        <v>9010.0</v>
      </c>
      <c r="K2734" s="9" t="s">
        <v>8791</v>
      </c>
      <c r="L2734" s="9">
        <v>199.0</v>
      </c>
      <c r="M2734" s="9" t="s">
        <v>24</v>
      </c>
      <c r="N2734" s="9" t="s">
        <v>25</v>
      </c>
      <c r="O2734" s="10">
        <v>2500000.0</v>
      </c>
      <c r="P2734" s="10">
        <f t="shared" si="2"/>
        <v>30849949</v>
      </c>
      <c r="Q2734" s="12">
        <f t="shared" si="3"/>
        <v>0</v>
      </c>
      <c r="R2734" s="9">
        <v>2012.0</v>
      </c>
      <c r="S2734" s="9">
        <v>5.1</v>
      </c>
    </row>
    <row r="2735" ht="15.75" customHeight="1">
      <c r="A2735" s="25" t="s">
        <v>5655</v>
      </c>
      <c r="B2735" s="8" t="str">
        <f>IFERROR(__xludf.DUMMYFUNCTION("REGEXREPLACE(A2735, ""[^0-9a-zA-Z .'Ã]"","""")"),"Darren Lynn Bousman")</f>
        <v>Darren Lynn Bousman</v>
      </c>
      <c r="C2735" s="26">
        <v>147.0</v>
      </c>
      <c r="D2735" s="27">
        <v>140244.0</v>
      </c>
      <c r="E2735" s="26" t="s">
        <v>8792</v>
      </c>
      <c r="F2735" s="9">
        <f t="shared" si="1"/>
        <v>3</v>
      </c>
      <c r="G2735" s="26" t="s">
        <v>2380</v>
      </c>
      <c r="H2735" s="11" t="str">
        <f>IFERROR(__xludf.DUMMYFUNCTION("REGEXREPLACE(G2735, ""[^0-9a-zA-Z .'Ã]"","""")"),"Alexa PenaVega")</f>
        <v>Alexa PenaVega</v>
      </c>
      <c r="I2735" s="28" t="s">
        <v>8793</v>
      </c>
      <c r="J2735" s="26">
        <v>20419.0</v>
      </c>
      <c r="K2735" s="26" t="s">
        <v>8794</v>
      </c>
      <c r="L2735" s="26">
        <v>259.0</v>
      </c>
      <c r="M2735" s="26" t="s">
        <v>24</v>
      </c>
      <c r="N2735" s="26" t="s">
        <v>25</v>
      </c>
      <c r="O2735" s="27">
        <v>8500000.0</v>
      </c>
      <c r="P2735" s="10">
        <f t="shared" si="2"/>
        <v>0</v>
      </c>
      <c r="Q2735" s="12">
        <f t="shared" si="3"/>
        <v>8359756</v>
      </c>
      <c r="R2735" s="26">
        <v>2008.0</v>
      </c>
      <c r="S2735" s="26">
        <v>6.7</v>
      </c>
    </row>
    <row r="2736" ht="15.75" customHeight="1">
      <c r="A2736" s="21" t="s">
        <v>1588</v>
      </c>
      <c r="B2736" s="8" t="str">
        <f>IFERROR(__xludf.DUMMYFUNCTION("REGEXREPLACE(A2736, ""[^0-9a-zA-Z .'Ã]"","""")"),"Frank Oz")</f>
        <v>Frank Oz</v>
      </c>
      <c r="C2736" s="22">
        <v>140.0</v>
      </c>
      <c r="D2736" s="23">
        <v>6.636529E7</v>
      </c>
      <c r="E2736" s="22" t="s">
        <v>137</v>
      </c>
      <c r="F2736" s="9">
        <f t="shared" si="1"/>
        <v>1</v>
      </c>
      <c r="G2736" s="22" t="s">
        <v>327</v>
      </c>
      <c r="H2736" s="11" t="str">
        <f>IFERROR(__xludf.DUMMYFUNCTION("REGEXREPLACE(G2736, ""[^0-9a-zA-Z .'Ã]"","""")"),"Robert Downey Jr.")</f>
        <v>Robert Downey Jr.</v>
      </c>
      <c r="I2736" s="24" t="s">
        <v>8795</v>
      </c>
      <c r="J2736" s="22">
        <v>56874.0</v>
      </c>
      <c r="K2736" s="22" t="s">
        <v>8796</v>
      </c>
      <c r="L2736" s="22">
        <v>358.0</v>
      </c>
      <c r="M2736" s="22" t="s">
        <v>24</v>
      </c>
      <c r="N2736" s="22" t="s">
        <v>25</v>
      </c>
      <c r="O2736" s="23">
        <v>5.5E7</v>
      </c>
      <c r="P2736" s="10">
        <f t="shared" si="2"/>
        <v>11365290</v>
      </c>
      <c r="Q2736" s="12">
        <f t="shared" si="3"/>
        <v>0</v>
      </c>
      <c r="R2736" s="22">
        <v>1999.0</v>
      </c>
      <c r="S2736" s="22">
        <v>6.4</v>
      </c>
    </row>
    <row r="2737" ht="15.75" customHeight="1">
      <c r="A2737" s="7" t="s">
        <v>4151</v>
      </c>
      <c r="B2737" s="8" t="str">
        <f>IFERROR(__xludf.DUMMYFUNCTION("REGEXREPLACE(A2737, ""[^0-9a-zA-Z .'Ã]"","""")"),"Frank Coraci")</f>
        <v>Frank Coraci</v>
      </c>
      <c r="C2737" s="9">
        <v>108.0</v>
      </c>
      <c r="D2737" s="10">
        <v>1.61487252E8</v>
      </c>
      <c r="E2737" s="9" t="s">
        <v>3398</v>
      </c>
      <c r="F2737" s="9">
        <f t="shared" si="1"/>
        <v>2</v>
      </c>
      <c r="G2737" s="9" t="s">
        <v>616</v>
      </c>
      <c r="H2737" s="11" t="str">
        <f>IFERROR(__xludf.DUMMYFUNCTION("REGEXREPLACE(G2737, ""[^0-9a-zA-Z .'Ã]"","""")"),"Adam Sandler")</f>
        <v>Adam Sandler</v>
      </c>
      <c r="I2737" s="11" t="s">
        <v>8797</v>
      </c>
      <c r="J2737" s="9">
        <v>119450.0</v>
      </c>
      <c r="K2737" s="9" t="s">
        <v>8798</v>
      </c>
      <c r="L2737" s="9">
        <v>300.0</v>
      </c>
      <c r="M2737" s="9" t="s">
        <v>24</v>
      </c>
      <c r="N2737" s="9" t="s">
        <v>25</v>
      </c>
      <c r="O2737" s="10">
        <v>2.0E7</v>
      </c>
      <c r="P2737" s="10">
        <f t="shared" si="2"/>
        <v>141487252</v>
      </c>
      <c r="Q2737" s="12">
        <f t="shared" si="3"/>
        <v>0</v>
      </c>
      <c r="R2737" s="9">
        <v>1998.0</v>
      </c>
      <c r="S2737" s="9">
        <v>6.1</v>
      </c>
    </row>
    <row r="2738" ht="15.75" customHeight="1">
      <c r="A2738" s="29" t="s">
        <v>8799</v>
      </c>
      <c r="B2738" s="8" t="str">
        <f>IFERROR(__xludf.DUMMYFUNCTION("REGEXREPLACE(A2738, ""[^0-9a-zA-Z .'Ã]"","""")"),"James Gray")</f>
        <v>James Gray</v>
      </c>
      <c r="C2738" s="30">
        <v>190.0</v>
      </c>
      <c r="D2738" s="31">
        <v>3148482.0</v>
      </c>
      <c r="E2738" s="30" t="s">
        <v>232</v>
      </c>
      <c r="F2738" s="9">
        <f t="shared" si="1"/>
        <v>2</v>
      </c>
      <c r="G2738" s="30" t="s">
        <v>6048</v>
      </c>
      <c r="H2738" s="11" t="str">
        <f>IFERROR(__xludf.DUMMYFUNCTION("REGEXREPLACE(G2738, ""[^0-9a-zA-Z .'Ã]"","""")"),"Isabella Rossellini")</f>
        <v>Isabella Rossellini</v>
      </c>
      <c r="I2738" s="32" t="s">
        <v>8800</v>
      </c>
      <c r="J2738" s="30">
        <v>29613.0</v>
      </c>
      <c r="K2738" s="30" t="s">
        <v>8801</v>
      </c>
      <c r="L2738" s="30">
        <v>98.0</v>
      </c>
      <c r="M2738" s="30" t="s">
        <v>24</v>
      </c>
      <c r="N2738" s="30" t="s">
        <v>25</v>
      </c>
      <c r="O2738" s="31">
        <v>1.2E7</v>
      </c>
      <c r="P2738" s="10">
        <f t="shared" si="2"/>
        <v>0</v>
      </c>
      <c r="Q2738" s="12">
        <f t="shared" si="3"/>
        <v>8851518</v>
      </c>
      <c r="R2738" s="30">
        <v>2008.0</v>
      </c>
      <c r="S2738" s="30">
        <v>7.1</v>
      </c>
    </row>
    <row r="2739" ht="15.75" customHeight="1">
      <c r="A2739" s="17" t="s">
        <v>8802</v>
      </c>
      <c r="B2739" s="8" t="str">
        <f>IFERROR(__xludf.DUMMYFUNCTION("REGEXREPLACE(A2739, ""[^0-9a-zA-Z .'Ã]"","""")"),"Jodie Foster")</f>
        <v>Jodie Foster</v>
      </c>
      <c r="C2739" s="18">
        <v>268.0</v>
      </c>
      <c r="D2739" s="19">
        <v>4.1008532E7</v>
      </c>
      <c r="E2739" s="18" t="s">
        <v>113</v>
      </c>
      <c r="F2739" s="9">
        <f t="shared" si="1"/>
        <v>3</v>
      </c>
      <c r="G2739" s="18" t="s">
        <v>533</v>
      </c>
      <c r="H2739" s="11" t="str">
        <f>IFERROR(__xludf.DUMMYFUNCTION("REGEXREPLACE(G2739, ""[^0-9a-zA-Z .'Ã]"","""")"),"Julia Roberts")</f>
        <v>Julia Roberts</v>
      </c>
      <c r="I2739" s="20" t="s">
        <v>8803</v>
      </c>
      <c r="J2739" s="18">
        <v>19611.0</v>
      </c>
      <c r="K2739" s="18" t="s">
        <v>8804</v>
      </c>
      <c r="L2739" s="18">
        <v>103.0</v>
      </c>
      <c r="M2739" s="18" t="s">
        <v>24</v>
      </c>
      <c r="N2739" s="18" t="s">
        <v>25</v>
      </c>
      <c r="O2739" s="19">
        <v>2.7E7</v>
      </c>
      <c r="P2739" s="10">
        <f t="shared" si="2"/>
        <v>14008532</v>
      </c>
      <c r="Q2739" s="12">
        <f t="shared" si="3"/>
        <v>0</v>
      </c>
      <c r="R2739" s="18">
        <v>2016.0</v>
      </c>
      <c r="S2739" s="18">
        <v>6.7</v>
      </c>
    </row>
    <row r="2740" ht="15.75" customHeight="1">
      <c r="A2740" s="7" t="s">
        <v>1391</v>
      </c>
      <c r="B2740" s="8" t="str">
        <f>IFERROR(__xludf.DUMMYFUNCTION("REGEXREPLACE(A2740, ""[^0-9a-zA-Z .'Ã]"","""")"),"Kevin Reynolds")</f>
        <v>Kevin Reynolds</v>
      </c>
      <c r="C2740" s="9">
        <v>138.0</v>
      </c>
      <c r="D2740" s="10">
        <v>5.4228104E7</v>
      </c>
      <c r="E2740" s="9" t="s">
        <v>8805</v>
      </c>
      <c r="F2740" s="9">
        <f t="shared" si="1"/>
        <v>5</v>
      </c>
      <c r="G2740" s="9" t="s">
        <v>1307</v>
      </c>
      <c r="H2740" s="11" t="str">
        <f>IFERROR(__xludf.DUMMYFUNCTION("REGEXREPLACE(G2740, ""[^0-9a-zA-Z .'Ã]"","""")"),"Henry Cavill")</f>
        <v>Henry Cavill</v>
      </c>
      <c r="I2740" s="11" t="s">
        <v>8806</v>
      </c>
      <c r="J2740" s="9">
        <v>104991.0</v>
      </c>
      <c r="K2740" s="9" t="s">
        <v>8807</v>
      </c>
      <c r="L2740" s="9">
        <v>544.0</v>
      </c>
      <c r="M2740" s="9" t="s">
        <v>24</v>
      </c>
      <c r="N2740" s="9" t="s">
        <v>130</v>
      </c>
      <c r="O2740" s="10">
        <v>3.5E7</v>
      </c>
      <c r="P2740" s="10">
        <f t="shared" si="2"/>
        <v>19228104</v>
      </c>
      <c r="Q2740" s="12">
        <f t="shared" si="3"/>
        <v>0</v>
      </c>
      <c r="R2740" s="9">
        <v>2002.0</v>
      </c>
      <c r="S2740" s="9">
        <v>7.7</v>
      </c>
    </row>
    <row r="2741" ht="15.75" customHeight="1">
      <c r="A2741" s="17" t="s">
        <v>473</v>
      </c>
      <c r="B2741" s="8" t="str">
        <f>IFERROR(__xludf.DUMMYFUNCTION("REGEXREPLACE(A2741, ""[^0-9a-zA-Z .'Ã]"","""")"),"John McTiernan")</f>
        <v>John McTiernan</v>
      </c>
      <c r="C2741" s="18">
        <v>217.0</v>
      </c>
      <c r="D2741" s="19">
        <v>5.9735548E7</v>
      </c>
      <c r="E2741" s="18" t="s">
        <v>2417</v>
      </c>
      <c r="F2741" s="9">
        <f t="shared" si="1"/>
        <v>3</v>
      </c>
      <c r="G2741" s="18" t="s">
        <v>4776</v>
      </c>
      <c r="H2741" s="11" t="str">
        <f>IFERROR(__xludf.DUMMYFUNCTION("REGEXREPLACE(G2741, ""[^0-9a-zA-Z .'Ã]"","""")"),"Shane Black")</f>
        <v>Shane Black</v>
      </c>
      <c r="I2741" s="20" t="s">
        <v>8808</v>
      </c>
      <c r="J2741" s="18">
        <v>290949.0</v>
      </c>
      <c r="K2741" s="18" t="s">
        <v>8809</v>
      </c>
      <c r="L2741" s="18">
        <v>629.0</v>
      </c>
      <c r="M2741" s="18" t="s">
        <v>24</v>
      </c>
      <c r="N2741" s="18" t="s">
        <v>25</v>
      </c>
      <c r="O2741" s="19">
        <v>1.5E7</v>
      </c>
      <c r="P2741" s="10">
        <f t="shared" si="2"/>
        <v>44735548</v>
      </c>
      <c r="Q2741" s="12">
        <f t="shared" si="3"/>
        <v>0</v>
      </c>
      <c r="R2741" s="18">
        <v>1987.0</v>
      </c>
      <c r="S2741" s="18">
        <v>7.8</v>
      </c>
    </row>
    <row r="2742" ht="15.75" customHeight="1">
      <c r="A2742" s="17" t="s">
        <v>218</v>
      </c>
      <c r="B2742" s="8" t="str">
        <f>IFERROR(__xludf.DUMMYFUNCTION("REGEXREPLACE(A2742, ""[^0-9a-zA-Z .'Ã]"","""")"),"James Mangold")</f>
        <v>James Mangold</v>
      </c>
      <c r="C2742" s="18">
        <v>133.0</v>
      </c>
      <c r="D2742" s="19">
        <v>2.887119E7</v>
      </c>
      <c r="E2742" s="18" t="s">
        <v>359</v>
      </c>
      <c r="F2742" s="9">
        <f t="shared" si="1"/>
        <v>2</v>
      </c>
      <c r="G2742" s="18" t="s">
        <v>844</v>
      </c>
      <c r="H2742" s="11" t="str">
        <f>IFERROR(__xludf.DUMMYFUNCTION("REGEXREPLACE(G2742, ""[^0-9a-zA-Z .'Ã]"","""")"),"Angelina Jolie Pitt")</f>
        <v>Angelina Jolie Pitt</v>
      </c>
      <c r="I2742" s="20" t="s">
        <v>8810</v>
      </c>
      <c r="J2742" s="18">
        <v>125421.0</v>
      </c>
      <c r="K2742" s="18" t="s">
        <v>8811</v>
      </c>
      <c r="L2742" s="18">
        <v>385.0</v>
      </c>
      <c r="M2742" s="18" t="s">
        <v>24</v>
      </c>
      <c r="N2742" s="18" t="s">
        <v>25</v>
      </c>
      <c r="O2742" s="19">
        <v>2.4E7</v>
      </c>
      <c r="P2742" s="10">
        <f t="shared" si="2"/>
        <v>4871190</v>
      </c>
      <c r="Q2742" s="12">
        <f t="shared" si="3"/>
        <v>0</v>
      </c>
      <c r="R2742" s="18">
        <v>1999.0</v>
      </c>
      <c r="S2742" s="18">
        <v>7.3</v>
      </c>
    </row>
    <row r="2743" ht="15.75" customHeight="1">
      <c r="A2743" s="21" t="s">
        <v>6832</v>
      </c>
      <c r="B2743" s="8" t="str">
        <f>IFERROR(__xludf.DUMMYFUNCTION("REGEXREPLACE(A2743, ""[^0-9a-zA-Z .'Ã]"","""")"),"Tim Story")</f>
        <v>Tim Story</v>
      </c>
      <c r="C2743" s="22">
        <v>91.0</v>
      </c>
      <c r="D2743" s="23">
        <v>7.507495E7</v>
      </c>
      <c r="E2743" s="22" t="s">
        <v>454</v>
      </c>
      <c r="F2743" s="9">
        <f t="shared" si="1"/>
        <v>2</v>
      </c>
      <c r="G2743" s="22" t="s">
        <v>8745</v>
      </c>
      <c r="H2743" s="11" t="str">
        <f>IFERROR(__xludf.DUMMYFUNCTION("REGEXREPLACE(G2743, ""[^0-9a-zA-Z .'Ã]"","""")"),"Sean Patrick Thomas")</f>
        <v>Sean Patrick Thomas</v>
      </c>
      <c r="I2743" s="24" t="s">
        <v>8812</v>
      </c>
      <c r="J2743" s="22">
        <v>22147.0</v>
      </c>
      <c r="K2743" s="22" t="s">
        <v>8813</v>
      </c>
      <c r="L2743" s="22">
        <v>156.0</v>
      </c>
      <c r="M2743" s="22" t="s">
        <v>24</v>
      </c>
      <c r="N2743" s="22" t="s">
        <v>25</v>
      </c>
      <c r="O2743" s="23">
        <v>1.2E7</v>
      </c>
      <c r="P2743" s="10">
        <f t="shared" si="2"/>
        <v>63074950</v>
      </c>
      <c r="Q2743" s="12">
        <f t="shared" si="3"/>
        <v>0</v>
      </c>
      <c r="R2743" s="22">
        <v>2002.0</v>
      </c>
      <c r="S2743" s="22">
        <v>6.3</v>
      </c>
    </row>
    <row r="2744" ht="15.75" customHeight="1">
      <c r="A2744" s="7" t="s">
        <v>8814</v>
      </c>
      <c r="B2744" s="8" t="str">
        <f>IFERROR(__xludf.DUMMYFUNCTION("REGEXREPLACE(A2744, ""[^0-9a-zA-Z .'Ã]"","""")"),"Niels Arden Oplev")</f>
        <v>Niels Arden Oplev</v>
      </c>
      <c r="C2744" s="9">
        <v>217.0</v>
      </c>
      <c r="D2744" s="10">
        <v>1.0880926E7</v>
      </c>
      <c r="E2744" s="9" t="s">
        <v>501</v>
      </c>
      <c r="F2744" s="9">
        <f t="shared" si="1"/>
        <v>4</v>
      </c>
      <c r="G2744" s="9" t="s">
        <v>2478</v>
      </c>
      <c r="H2744" s="11" t="str">
        <f>IFERROR(__xludf.DUMMYFUNCTION("REGEXREPLACE(G2744, ""[^0-9a-zA-Z .'Ã]"","""")"),"Dominic Cooper")</f>
        <v>Dominic Cooper</v>
      </c>
      <c r="I2744" s="11" t="s">
        <v>8815</v>
      </c>
      <c r="J2744" s="9">
        <v>54147.0</v>
      </c>
      <c r="K2744" s="9" t="s">
        <v>8816</v>
      </c>
      <c r="L2744" s="9">
        <v>127.0</v>
      </c>
      <c r="M2744" s="9" t="s">
        <v>24</v>
      </c>
      <c r="N2744" s="9" t="s">
        <v>25</v>
      </c>
      <c r="O2744" s="10">
        <v>3.0E7</v>
      </c>
      <c r="P2744" s="10">
        <f t="shared" si="2"/>
        <v>0</v>
      </c>
      <c r="Q2744" s="12">
        <f t="shared" si="3"/>
        <v>19119074</v>
      </c>
      <c r="R2744" s="9">
        <v>2013.0</v>
      </c>
      <c r="S2744" s="9">
        <v>6.5</v>
      </c>
    </row>
    <row r="2745" ht="15.75" customHeight="1">
      <c r="A2745" s="21" t="s">
        <v>714</v>
      </c>
      <c r="B2745" s="8" t="str">
        <f>IFERROR(__xludf.DUMMYFUNCTION("REGEXREPLACE(A2745, ""[^0-9a-zA-Z .'Ã]"","""")"),"Jon M. Chu")</f>
        <v>Jon M. Chu</v>
      </c>
      <c r="C2745" s="22">
        <v>138.0</v>
      </c>
      <c r="D2745" s="23">
        <v>4.238552E7</v>
      </c>
      <c r="E2745" s="22" t="s">
        <v>734</v>
      </c>
      <c r="F2745" s="9">
        <f t="shared" si="1"/>
        <v>3</v>
      </c>
      <c r="G2745" s="22" t="s">
        <v>8817</v>
      </c>
      <c r="H2745" s="11" t="str">
        <f>IFERROR(__xludf.DUMMYFUNCTION("REGEXREPLACE(G2745, ""[^0-9a-zA-Z .'Ã]"","""")"),"Alyson Stoner")</f>
        <v>Alyson Stoner</v>
      </c>
      <c r="I2745" s="24" t="s">
        <v>8818</v>
      </c>
      <c r="J2745" s="22">
        <v>47297.0</v>
      </c>
      <c r="K2745" s="22" t="s">
        <v>8819</v>
      </c>
      <c r="L2745" s="22">
        <v>86.0</v>
      </c>
      <c r="M2745" s="22" t="s">
        <v>24</v>
      </c>
      <c r="N2745" s="22" t="s">
        <v>25</v>
      </c>
      <c r="O2745" s="23">
        <v>3.0E7</v>
      </c>
      <c r="P2745" s="10">
        <f t="shared" si="2"/>
        <v>12385520</v>
      </c>
      <c r="Q2745" s="12">
        <f t="shared" si="3"/>
        <v>0</v>
      </c>
      <c r="R2745" s="22">
        <v>2010.0</v>
      </c>
      <c r="S2745" s="22">
        <v>6.2</v>
      </c>
    </row>
    <row r="2746" ht="15.75" customHeight="1">
      <c r="A2746" s="7" t="s">
        <v>347</v>
      </c>
      <c r="B2746" s="8" t="str">
        <f>IFERROR(__xludf.DUMMYFUNCTION("REGEXREPLACE(A2746, ""[^0-9a-zA-Z .'Ã]"","""")"),"Andrew Adamson")</f>
        <v>Andrew Adamson</v>
      </c>
      <c r="C2746" s="9">
        <v>212.0</v>
      </c>
      <c r="D2746" s="10">
        <v>2.67652016E8</v>
      </c>
      <c r="E2746" s="9" t="s">
        <v>301</v>
      </c>
      <c r="F2746" s="9">
        <f t="shared" si="1"/>
        <v>5</v>
      </c>
      <c r="G2746" s="9" t="s">
        <v>8820</v>
      </c>
      <c r="H2746" s="11" t="str">
        <f>IFERROR(__xludf.DUMMYFUNCTION("REGEXREPLACE(G2746, ""[^0-9a-zA-Z .'Ã]"","""")"),"Kathleen Freeman")</f>
        <v>Kathleen Freeman</v>
      </c>
      <c r="I2746" s="11" t="s">
        <v>8821</v>
      </c>
      <c r="J2746" s="9">
        <v>467113.0</v>
      </c>
      <c r="K2746" s="9" t="s">
        <v>8822</v>
      </c>
      <c r="L2746" s="9">
        <v>945.0</v>
      </c>
      <c r="M2746" s="9" t="s">
        <v>24</v>
      </c>
      <c r="N2746" s="9" t="s">
        <v>25</v>
      </c>
      <c r="O2746" s="10">
        <v>6.0E7</v>
      </c>
      <c r="P2746" s="10">
        <f t="shared" si="2"/>
        <v>207652016</v>
      </c>
      <c r="Q2746" s="12">
        <f t="shared" si="3"/>
        <v>0</v>
      </c>
      <c r="R2746" s="9">
        <v>2001.0</v>
      </c>
      <c r="S2746" s="9">
        <v>7.9</v>
      </c>
    </row>
    <row r="2747" ht="15.75" customHeight="1">
      <c r="A2747" s="7" t="s">
        <v>1314</v>
      </c>
      <c r="B2747" s="8" t="str">
        <f>IFERROR(__xludf.DUMMYFUNCTION("REGEXREPLACE(A2747, ""[^0-9a-zA-Z .'Ã]"","""")"),"Bryan Singer")</f>
        <v>Bryan Singer</v>
      </c>
      <c r="C2747" s="9">
        <v>289.0</v>
      </c>
      <c r="D2747" s="10">
        <v>2.1494878E8</v>
      </c>
      <c r="E2747" s="9" t="s">
        <v>449</v>
      </c>
      <c r="F2747" s="9">
        <f t="shared" si="1"/>
        <v>5</v>
      </c>
      <c r="G2747" s="9" t="s">
        <v>974</v>
      </c>
      <c r="H2747" s="11" t="str">
        <f>IFERROR(__xludf.DUMMYFUNCTION("REGEXREPLACE(G2747, ""[^0-9a-zA-Z .'Ã]"","""")"),"Hugh Jackman")</f>
        <v>Hugh Jackman</v>
      </c>
      <c r="I2747" s="11" t="s">
        <v>8823</v>
      </c>
      <c r="J2747" s="9">
        <v>405973.0</v>
      </c>
      <c r="K2747" s="9" t="s">
        <v>8824</v>
      </c>
      <c r="L2747" s="9">
        <v>1055.0</v>
      </c>
      <c r="M2747" s="9" t="s">
        <v>24</v>
      </c>
      <c r="N2747" s="9" t="s">
        <v>624</v>
      </c>
      <c r="O2747" s="10">
        <v>1.1E8</v>
      </c>
      <c r="P2747" s="10">
        <f t="shared" si="2"/>
        <v>104948780</v>
      </c>
      <c r="Q2747" s="12">
        <f t="shared" si="3"/>
        <v>0</v>
      </c>
      <c r="R2747" s="9">
        <v>2003.0</v>
      </c>
      <c r="S2747" s="9">
        <v>7.5</v>
      </c>
    </row>
    <row r="2748" ht="15.75" customHeight="1">
      <c r="A2748" s="7" t="s">
        <v>8825</v>
      </c>
      <c r="B2748" s="8" t="str">
        <f>IFERROR(__xludf.DUMMYFUNCTION("REGEXREPLACE(A2748, ""[^0-9a-zA-Z .'Ã]"","""")"),"Rebecca Miller")</f>
        <v>Rebecca Miller</v>
      </c>
      <c r="C2748" s="9">
        <v>75.0</v>
      </c>
      <c r="D2748" s="10">
        <v>712294.0</v>
      </c>
      <c r="E2748" s="9" t="s">
        <v>103</v>
      </c>
      <c r="F2748" s="9">
        <f t="shared" si="1"/>
        <v>1</v>
      </c>
      <c r="G2748" s="9" t="s">
        <v>8826</v>
      </c>
      <c r="H2748" s="11" t="str">
        <f>IFERROR(__xludf.DUMMYFUNCTION("REGEXREPLACE(G2748, ""[^0-9a-zA-Z .'Ã]"","""")"),"Beau Bridges")</f>
        <v>Beau Bridges</v>
      </c>
      <c r="I2748" s="11" t="s">
        <v>8827</v>
      </c>
      <c r="J2748" s="9">
        <v>9408.0</v>
      </c>
      <c r="K2748" s="9" t="s">
        <v>8828</v>
      </c>
      <c r="L2748" s="9">
        <v>68.0</v>
      </c>
      <c r="M2748" s="9" t="s">
        <v>24</v>
      </c>
      <c r="N2748" s="9" t="s">
        <v>25</v>
      </c>
      <c r="O2748" s="10">
        <v>1500000.0</v>
      </c>
      <c r="P2748" s="10">
        <f t="shared" si="2"/>
        <v>0</v>
      </c>
      <c r="Q2748" s="12">
        <f t="shared" si="3"/>
        <v>787706</v>
      </c>
      <c r="R2748" s="9">
        <v>2005.0</v>
      </c>
      <c r="S2748" s="9">
        <v>6.7</v>
      </c>
    </row>
    <row r="2749" ht="15.75" customHeight="1">
      <c r="A2749" s="25" t="s">
        <v>2859</v>
      </c>
      <c r="B2749" s="8" t="str">
        <f>IFERROR(__xludf.DUMMYFUNCTION("REGEXREPLACE(A2749, ""[^0-9a-zA-Z .'Ã]"","""")"),"Louis Leterrier")</f>
        <v>Louis Leterrier</v>
      </c>
      <c r="C2749" s="26">
        <v>171.0</v>
      </c>
      <c r="D2749" s="27">
        <v>2.5296447E7</v>
      </c>
      <c r="E2749" s="26" t="s">
        <v>152</v>
      </c>
      <c r="F2749" s="9">
        <f t="shared" si="1"/>
        <v>3</v>
      </c>
      <c r="G2749" s="26" t="s">
        <v>815</v>
      </c>
      <c r="H2749" s="11" t="str">
        <f>IFERROR(__xludf.DUMMYFUNCTION("REGEXREPLACE(G2749, ""[^0-9a-zA-Z .'Ã]"","""")"),"Jason Statham")</f>
        <v>Jason Statham</v>
      </c>
      <c r="I2749" s="28" t="s">
        <v>8829</v>
      </c>
      <c r="J2749" s="26">
        <v>237248.0</v>
      </c>
      <c r="K2749" s="26" t="s">
        <v>8830</v>
      </c>
      <c r="L2749" s="26">
        <v>460.0</v>
      </c>
      <c r="M2749" s="26" t="s">
        <v>24</v>
      </c>
      <c r="N2749" s="26" t="s">
        <v>608</v>
      </c>
      <c r="O2749" s="27">
        <v>2.1E7</v>
      </c>
      <c r="P2749" s="10">
        <f t="shared" si="2"/>
        <v>4296447</v>
      </c>
      <c r="Q2749" s="12">
        <f t="shared" si="3"/>
        <v>0</v>
      </c>
      <c r="R2749" s="26">
        <v>2002.0</v>
      </c>
      <c r="S2749" s="26">
        <v>6.8</v>
      </c>
    </row>
    <row r="2750" ht="15.75" customHeight="1">
      <c r="A2750" s="25" t="s">
        <v>8831</v>
      </c>
      <c r="B2750" s="8" t="str">
        <f>IFERROR(__xludf.DUMMYFUNCTION("REGEXREPLACE(A2750, ""[^0-9a-zA-Z -.'Ã]"","""")"),"Hyung-rae Shim")</f>
        <v>Hyung-rae Shim</v>
      </c>
      <c r="C2750" s="26">
        <v>93.0</v>
      </c>
      <c r="D2750" s="27">
        <v>1.0956379E7</v>
      </c>
      <c r="E2750" s="26" t="s">
        <v>8832</v>
      </c>
      <c r="F2750" s="9">
        <f t="shared" si="1"/>
        <v>5</v>
      </c>
      <c r="G2750" s="26" t="s">
        <v>2335</v>
      </c>
      <c r="H2750" s="11" t="str">
        <f>IFERROR(__xludf.DUMMYFUNCTION("REGEXREPLACE(G2750, ""[^0-9a-zA-Z .'Ã]"","""")"),"Robert Forster")</f>
        <v>Robert Forster</v>
      </c>
      <c r="I2750" s="28" t="s">
        <v>8833</v>
      </c>
      <c r="J2750" s="26">
        <v>21506.0</v>
      </c>
      <c r="K2750" s="26" t="s">
        <v>8834</v>
      </c>
      <c r="L2750" s="26">
        <v>364.0</v>
      </c>
      <c r="M2750" s="26" t="s">
        <v>24</v>
      </c>
      <c r="N2750" s="26" t="s">
        <v>1766</v>
      </c>
      <c r="O2750" s="27">
        <v>3.5E7</v>
      </c>
      <c r="P2750" s="10">
        <f t="shared" si="2"/>
        <v>0</v>
      </c>
      <c r="Q2750" s="12">
        <f t="shared" si="3"/>
        <v>24043621</v>
      </c>
      <c r="R2750" s="26">
        <v>2007.0</v>
      </c>
      <c r="S2750" s="26">
        <v>3.6</v>
      </c>
    </row>
    <row r="2751" ht="15.75" customHeight="1">
      <c r="A2751" s="7" t="s">
        <v>8835</v>
      </c>
      <c r="B2751" s="8" t="str">
        <f>IFERROR(__xludf.DUMMYFUNCTION("REGEXREPLACE(A2751, ""[^0-9a-zA-Z .'Ã]"","""")"),"Darren Grant")</f>
        <v>Darren Grant</v>
      </c>
      <c r="C2751" s="9">
        <v>62.0</v>
      </c>
      <c r="D2751" s="10">
        <v>5.0382128E7</v>
      </c>
      <c r="E2751" s="9" t="s">
        <v>159</v>
      </c>
      <c r="F2751" s="9">
        <f t="shared" si="1"/>
        <v>3</v>
      </c>
      <c r="G2751" s="9" t="s">
        <v>2695</v>
      </c>
      <c r="H2751" s="11" t="str">
        <f>IFERROR(__xludf.DUMMYFUNCTION("REGEXREPLACE(G2751, ""[^0-9a-zA-Z .'Ã]"","""")"),"Cicely Tyson")</f>
        <v>Cicely Tyson</v>
      </c>
      <c r="I2751" s="11" t="s">
        <v>8836</v>
      </c>
      <c r="J2751" s="9">
        <v>10472.0</v>
      </c>
      <c r="K2751" s="9" t="s">
        <v>8837</v>
      </c>
      <c r="L2751" s="9">
        <v>202.0</v>
      </c>
      <c r="M2751" s="9" t="s">
        <v>24</v>
      </c>
      <c r="N2751" s="9" t="s">
        <v>25</v>
      </c>
      <c r="O2751" s="10">
        <v>5500000.0</v>
      </c>
      <c r="P2751" s="10">
        <f t="shared" si="2"/>
        <v>44882128</v>
      </c>
      <c r="Q2751" s="12">
        <f t="shared" si="3"/>
        <v>0</v>
      </c>
      <c r="R2751" s="9">
        <v>2005.0</v>
      </c>
      <c r="S2751" s="9">
        <v>5.6</v>
      </c>
    </row>
    <row r="2752" ht="15.75" customHeight="1">
      <c r="A2752" s="7" t="s">
        <v>8838</v>
      </c>
      <c r="B2752" s="8" t="str">
        <f>IFERROR(__xludf.DUMMYFUNCTION("REGEXREPLACE(A2752, ""[^0-9a-zA-Z .'Ã]"","""")"),"Steve Boyum")</f>
        <v>Steve Boyum</v>
      </c>
      <c r="C2752" s="9">
        <v>18.0</v>
      </c>
      <c r="D2752" s="10">
        <v>4308981.0</v>
      </c>
      <c r="E2752" s="9" t="s">
        <v>857</v>
      </c>
      <c r="F2752" s="9">
        <f t="shared" si="1"/>
        <v>2</v>
      </c>
      <c r="G2752" s="9" t="s">
        <v>802</v>
      </c>
      <c r="H2752" s="11" t="str">
        <f>IFERROR(__xludf.DUMMYFUNCTION("REGEXREPLACE(G2752, ""[^0-9a-zA-Z .'Ã]"","""")"),"Paul Walker")</f>
        <v>Paul Walker</v>
      </c>
      <c r="I2752" s="11" t="s">
        <v>8839</v>
      </c>
      <c r="J2752" s="9">
        <v>2265.0</v>
      </c>
      <c r="K2752" s="9" t="s">
        <v>8840</v>
      </c>
      <c r="L2752" s="9">
        <v>37.0</v>
      </c>
      <c r="M2752" s="9" t="s">
        <v>24</v>
      </c>
      <c r="N2752" s="9" t="s">
        <v>25</v>
      </c>
      <c r="O2752" s="10">
        <v>2.4E7</v>
      </c>
      <c r="P2752" s="10">
        <f t="shared" si="2"/>
        <v>0</v>
      </c>
      <c r="Q2752" s="12">
        <f t="shared" si="3"/>
        <v>19691019</v>
      </c>
      <c r="R2752" s="9">
        <v>1998.0</v>
      </c>
      <c r="S2752" s="9">
        <v>3.9</v>
      </c>
    </row>
    <row r="2753" ht="15.75" customHeight="1">
      <c r="A2753" s="7" t="s">
        <v>640</v>
      </c>
      <c r="B2753" s="8" t="str">
        <f>IFERROR(__xludf.DUMMYFUNCTION("REGEXREPLACE(A2753, ""[^0-9a-zA-Z .'Ã]"","""")"),"David O. Russell")</f>
        <v>David O. Russell</v>
      </c>
      <c r="C2753" s="9">
        <v>50.0</v>
      </c>
      <c r="D2753" s="10">
        <v>1.4891E7</v>
      </c>
      <c r="E2753" s="9" t="s">
        <v>137</v>
      </c>
      <c r="F2753" s="9">
        <f t="shared" si="1"/>
        <v>1</v>
      </c>
      <c r="G2753" s="9" t="s">
        <v>2118</v>
      </c>
      <c r="H2753" s="11" t="str">
        <f>IFERROR(__xludf.DUMMYFUNCTION("REGEXREPLACE(G2753, ""[^0-9a-zA-Z .'Ã]"","""")"),"Lily Tomlin")</f>
        <v>Lily Tomlin</v>
      </c>
      <c r="I2753" s="11" t="s">
        <v>8841</v>
      </c>
      <c r="J2753" s="9">
        <v>15088.0</v>
      </c>
      <c r="K2753" s="9" t="s">
        <v>8842</v>
      </c>
      <c r="L2753" s="9">
        <v>105.0</v>
      </c>
      <c r="M2753" s="9" t="s">
        <v>24</v>
      </c>
      <c r="N2753" s="9" t="s">
        <v>25</v>
      </c>
      <c r="O2753" s="10">
        <v>7000000.0</v>
      </c>
      <c r="P2753" s="10">
        <f t="shared" si="2"/>
        <v>7891000</v>
      </c>
      <c r="Q2753" s="12">
        <f t="shared" si="3"/>
        <v>0</v>
      </c>
      <c r="R2753" s="9">
        <v>1996.0</v>
      </c>
      <c r="S2753" s="9">
        <v>6.8</v>
      </c>
    </row>
    <row r="2754" ht="15.75" customHeight="1">
      <c r="A2754" s="7" t="s">
        <v>529</v>
      </c>
      <c r="B2754" s="8" t="str">
        <f>IFERROR(__xludf.DUMMYFUNCTION("REGEXREPLACE(A2754, ""[^0-9a-zA-Z .'Ã]"","""")"),"Joel Schumacher")</f>
        <v>Joel Schumacher</v>
      </c>
      <c r="C2754" s="9">
        <v>49.0</v>
      </c>
      <c r="D2754" s="10">
        <v>6.149E7</v>
      </c>
      <c r="E2754" s="9" t="s">
        <v>2324</v>
      </c>
      <c r="F2754" s="9">
        <f t="shared" si="1"/>
        <v>4</v>
      </c>
      <c r="G2754" s="9" t="s">
        <v>533</v>
      </c>
      <c r="H2754" s="11" t="str">
        <f>IFERROR(__xludf.DUMMYFUNCTION("REGEXREPLACE(G2754, ""[^0-9a-zA-Z .'Ã]"","""")"),"Julia Roberts")</f>
        <v>Julia Roberts</v>
      </c>
      <c r="I2754" s="11" t="s">
        <v>8843</v>
      </c>
      <c r="J2754" s="9">
        <v>62037.0</v>
      </c>
      <c r="K2754" s="9" t="s">
        <v>8844</v>
      </c>
      <c r="L2754" s="9">
        <v>148.0</v>
      </c>
      <c r="M2754" s="9" t="s">
        <v>24</v>
      </c>
      <c r="N2754" s="9" t="s">
        <v>25</v>
      </c>
      <c r="O2754" s="10">
        <v>2.6E7</v>
      </c>
      <c r="P2754" s="10">
        <f t="shared" si="2"/>
        <v>35490000</v>
      </c>
      <c r="Q2754" s="12">
        <f t="shared" si="3"/>
        <v>0</v>
      </c>
      <c r="R2754" s="9">
        <v>1990.0</v>
      </c>
      <c r="S2754" s="9">
        <v>6.6</v>
      </c>
    </row>
    <row r="2755" ht="15.75" customHeight="1">
      <c r="A2755" s="21" t="s">
        <v>3896</v>
      </c>
      <c r="B2755" s="8" t="str">
        <f>IFERROR(__xludf.DUMMYFUNCTION("REGEXREPLACE(A2755, ""[^0-9a-zA-Z .'Ã]"","""")"),"Burr Steers")</f>
        <v>Burr Steers</v>
      </c>
      <c r="C2755" s="22">
        <v>191.0</v>
      </c>
      <c r="D2755" s="23">
        <v>6.4149837E7</v>
      </c>
      <c r="E2755" s="22" t="s">
        <v>8845</v>
      </c>
      <c r="F2755" s="9">
        <f t="shared" si="1"/>
        <v>5</v>
      </c>
      <c r="G2755" s="22" t="s">
        <v>5714</v>
      </c>
      <c r="H2755" s="11" t="str">
        <f>IFERROR(__xludf.DUMMYFUNCTION("REGEXREPLACE(G2755, ""[^0-9a-zA-Z .'Ã]"","""")"),"Matthew Perry")</f>
        <v>Matthew Perry</v>
      </c>
      <c r="I2755" s="24" t="s">
        <v>8846</v>
      </c>
      <c r="J2755" s="22">
        <v>146899.0</v>
      </c>
      <c r="K2755" s="22" t="s">
        <v>8847</v>
      </c>
      <c r="L2755" s="22">
        <v>185.0</v>
      </c>
      <c r="M2755" s="22" t="s">
        <v>24</v>
      </c>
      <c r="N2755" s="22" t="s">
        <v>25</v>
      </c>
      <c r="O2755" s="23">
        <v>2.0E7</v>
      </c>
      <c r="P2755" s="10">
        <f t="shared" si="2"/>
        <v>44149837</v>
      </c>
      <c r="Q2755" s="12">
        <f t="shared" si="3"/>
        <v>0</v>
      </c>
      <c r="R2755" s="22">
        <v>2009.0</v>
      </c>
      <c r="S2755" s="22">
        <v>6.4</v>
      </c>
    </row>
    <row r="2756" ht="15.75" customHeight="1">
      <c r="A2756" s="7" t="s">
        <v>2071</v>
      </c>
      <c r="B2756" s="8" t="str">
        <f>IFERROR(__xludf.DUMMYFUNCTION("REGEXREPLACE(A2756, ""[^0-9a-zA-Z .'Ã]"","""")"),"Oliver Parker")</f>
        <v>Oliver Parker</v>
      </c>
      <c r="C2756" s="9">
        <v>105.0</v>
      </c>
      <c r="D2756" s="10">
        <v>1.8535191E7</v>
      </c>
      <c r="E2756" s="9" t="s">
        <v>89</v>
      </c>
      <c r="F2756" s="9">
        <f t="shared" si="1"/>
        <v>2</v>
      </c>
      <c r="G2756" s="9" t="s">
        <v>1397</v>
      </c>
      <c r="H2756" s="11" t="str">
        <f>IFERROR(__xludf.DUMMYFUNCTION("REGEXREPLACE(G2756, ""[^0-9a-zA-Z .'Ã]"","""")"),"Minnie Driver")</f>
        <v>Minnie Driver</v>
      </c>
      <c r="I2756" s="11" t="s">
        <v>8848</v>
      </c>
      <c r="J2756" s="9">
        <v>12980.0</v>
      </c>
      <c r="K2756" s="9" t="s">
        <v>8849</v>
      </c>
      <c r="L2756" s="9">
        <v>132.0</v>
      </c>
      <c r="M2756" s="9" t="s">
        <v>24</v>
      </c>
      <c r="N2756" s="9" t="s">
        <v>130</v>
      </c>
      <c r="O2756" s="10">
        <v>1.4E7</v>
      </c>
      <c r="P2756" s="10">
        <f t="shared" si="2"/>
        <v>4535191</v>
      </c>
      <c r="Q2756" s="12">
        <f t="shared" si="3"/>
        <v>0</v>
      </c>
      <c r="R2756" s="9">
        <v>1999.0</v>
      </c>
      <c r="S2756" s="9">
        <v>6.9</v>
      </c>
    </row>
    <row r="2757" ht="15.75" customHeight="1">
      <c r="A2757" s="21" t="s">
        <v>8850</v>
      </c>
      <c r="B2757" s="8" t="str">
        <f>IFERROR(__xludf.DUMMYFUNCTION("REGEXREPLACE(A2757, ""[^0-9a-zA-Z -.'Ã]"","""")"),"Agnieszka Wojtowicz-Vosloo")</f>
        <v>Agnieszka Wojtowicz-Vosloo</v>
      </c>
      <c r="C2757" s="22">
        <v>138.0</v>
      </c>
      <c r="D2757" s="23">
        <v>108229.0</v>
      </c>
      <c r="E2757" s="22" t="s">
        <v>2384</v>
      </c>
      <c r="F2757" s="9">
        <f t="shared" si="1"/>
        <v>4</v>
      </c>
      <c r="G2757" s="22" t="s">
        <v>605</v>
      </c>
      <c r="H2757" s="11" t="str">
        <f>IFERROR(__xludf.DUMMYFUNCTION("REGEXREPLACE(G2757, ""[^0-9a-zA-Z .'Ã]"","""")"),"Liam Neeson")</f>
        <v>Liam Neeson</v>
      </c>
      <c r="I2757" s="24" t="s">
        <v>8851</v>
      </c>
      <c r="J2757" s="22">
        <v>30836.0</v>
      </c>
      <c r="K2757" s="22" t="s">
        <v>8852</v>
      </c>
      <c r="L2757" s="22">
        <v>137.0</v>
      </c>
      <c r="M2757" s="22" t="s">
        <v>24</v>
      </c>
      <c r="N2757" s="22" t="s">
        <v>25</v>
      </c>
      <c r="O2757" s="23">
        <v>4500000.0</v>
      </c>
      <c r="P2757" s="10">
        <f t="shared" si="2"/>
        <v>0</v>
      </c>
      <c r="Q2757" s="12">
        <f t="shared" si="3"/>
        <v>4391771</v>
      </c>
      <c r="R2757" s="22">
        <v>2009.0</v>
      </c>
      <c r="S2757" s="22">
        <v>5.9</v>
      </c>
    </row>
    <row r="2758" ht="15.75" customHeight="1">
      <c r="A2758" s="25" t="s">
        <v>5262</v>
      </c>
      <c r="B2758" s="8" t="str">
        <f>IFERROR(__xludf.DUMMYFUNCTION("REGEXREPLACE(A2758, ""[^0-9a-zA-Z .'Ã]"","""")"),"Jake Kasdan")</f>
        <v>Jake Kasdan</v>
      </c>
      <c r="C2758" s="26">
        <v>81.0</v>
      </c>
      <c r="D2758" s="27">
        <v>1980338.0</v>
      </c>
      <c r="E2758" s="26" t="s">
        <v>8853</v>
      </c>
      <c r="F2758" s="9">
        <f t="shared" si="1"/>
        <v>5</v>
      </c>
      <c r="G2758" s="26" t="s">
        <v>8854</v>
      </c>
      <c r="H2758" s="11" t="str">
        <f>IFERROR(__xludf.DUMMYFUNCTION("REGEXREPLACE(G2758, ""[^0-9a-zA-Z .'Ã]"","""")"),"Kim Dickens")</f>
        <v>Kim Dickens</v>
      </c>
      <c r="I2758" s="28" t="s">
        <v>8855</v>
      </c>
      <c r="J2758" s="26">
        <v>12366.0</v>
      </c>
      <c r="K2758" s="26" t="s">
        <v>8856</v>
      </c>
      <c r="L2758" s="26">
        <v>151.0</v>
      </c>
      <c r="M2758" s="26" t="s">
        <v>24</v>
      </c>
      <c r="N2758" s="26" t="s">
        <v>25</v>
      </c>
      <c r="O2758" s="27">
        <v>5000000.0</v>
      </c>
      <c r="P2758" s="10">
        <f t="shared" si="2"/>
        <v>0</v>
      </c>
      <c r="Q2758" s="12">
        <f t="shared" si="3"/>
        <v>3019662</v>
      </c>
      <c r="R2758" s="26">
        <v>1998.0</v>
      </c>
      <c r="S2758" s="26">
        <v>7.0</v>
      </c>
    </row>
    <row r="2759" ht="15.75" customHeight="1">
      <c r="A2759" s="29" t="s">
        <v>8857</v>
      </c>
      <c r="B2759" s="8" t="str">
        <f>IFERROR(__xludf.DUMMYFUNCTION("REGEXREPLACE(A2759, ""[^0-9a-zA-Z .'Ã]"","""")"),"Lance Mungia")</f>
        <v>Lance Mungia</v>
      </c>
      <c r="C2759" s="30">
        <v>51.0</v>
      </c>
      <c r="D2759" s="31">
        <v>124494.0</v>
      </c>
      <c r="E2759" s="30" t="s">
        <v>8858</v>
      </c>
      <c r="F2759" s="9">
        <f t="shared" si="1"/>
        <v>6</v>
      </c>
      <c r="G2759" s="30" t="s">
        <v>8859</v>
      </c>
      <c r="H2759" s="11" t="str">
        <f>IFERROR(__xludf.DUMMYFUNCTION("REGEXREPLACE(G2759, ""[^0-9a-zA-Z .'Ã]"","""")"),"Jeffrey Falcon")</f>
        <v>Jeffrey Falcon</v>
      </c>
      <c r="I2759" s="32" t="s">
        <v>8860</v>
      </c>
      <c r="J2759" s="30">
        <v>5613.0</v>
      </c>
      <c r="K2759" s="30" t="s">
        <v>8861</v>
      </c>
      <c r="L2759" s="30">
        <v>102.0</v>
      </c>
      <c r="M2759" s="30" t="s">
        <v>24</v>
      </c>
      <c r="N2759" s="30" t="s">
        <v>25</v>
      </c>
      <c r="O2759" s="31">
        <v>2000000.0</v>
      </c>
      <c r="P2759" s="10">
        <f t="shared" si="2"/>
        <v>0</v>
      </c>
      <c r="Q2759" s="12">
        <f t="shared" si="3"/>
        <v>1875506</v>
      </c>
      <c r="R2759" s="30">
        <v>1998.0</v>
      </c>
      <c r="S2759" s="30">
        <v>6.7</v>
      </c>
    </row>
    <row r="2760" ht="15.75" customHeight="1">
      <c r="A2760" s="25" t="s">
        <v>7028</v>
      </c>
      <c r="B2760" s="8" t="str">
        <f>IFERROR(__xludf.DUMMYFUNCTION("REGEXREPLACE(A2760, ""[^0-9a-zA-Z .'Ã]"","""")"),"Glen Morgan")</f>
        <v>Glen Morgan</v>
      </c>
      <c r="C2760" s="26">
        <v>186.0</v>
      </c>
      <c r="D2760" s="27">
        <v>1.6235293E7</v>
      </c>
      <c r="E2760" s="26" t="s">
        <v>148</v>
      </c>
      <c r="F2760" s="9">
        <f t="shared" si="1"/>
        <v>1</v>
      </c>
      <c r="G2760" s="26" t="s">
        <v>5379</v>
      </c>
      <c r="H2760" s="11" t="str">
        <f>IFERROR(__xludf.DUMMYFUNCTION("REGEXREPLACE(G2760, ""[^0-9a-zA-Z .'Ã]"","""")"),"Oliver Hudson")</f>
        <v>Oliver Hudson</v>
      </c>
      <c r="I2760" s="28" t="s">
        <v>8862</v>
      </c>
      <c r="J2760" s="26">
        <v>19918.0</v>
      </c>
      <c r="K2760" s="26" t="s">
        <v>8863</v>
      </c>
      <c r="L2760" s="26">
        <v>278.0</v>
      </c>
      <c r="M2760" s="26" t="s">
        <v>24</v>
      </c>
      <c r="N2760" s="26" t="s">
        <v>25</v>
      </c>
      <c r="O2760" s="27">
        <v>9000000.0</v>
      </c>
      <c r="P2760" s="10">
        <f t="shared" si="2"/>
        <v>7235293</v>
      </c>
      <c r="Q2760" s="12">
        <f t="shared" si="3"/>
        <v>0</v>
      </c>
      <c r="R2760" s="26">
        <v>2006.0</v>
      </c>
      <c r="S2760" s="26">
        <v>4.5</v>
      </c>
    </row>
    <row r="2761" ht="15.75" customHeight="1">
      <c r="A2761" s="7" t="s">
        <v>998</v>
      </c>
      <c r="B2761" s="8" t="str">
        <f>IFERROR(__xludf.DUMMYFUNCTION("REGEXREPLACE(A2761, ""[^0-9a-zA-Z .'Ã]"","""")"),"Peter Jackson")</f>
        <v>Peter Jackson</v>
      </c>
      <c r="C2761" s="9">
        <v>422.0</v>
      </c>
      <c r="D2761" s="10">
        <v>2.5510837E8</v>
      </c>
      <c r="E2761" s="9" t="s">
        <v>3101</v>
      </c>
      <c r="F2761" s="9">
        <f t="shared" si="1"/>
        <v>2</v>
      </c>
      <c r="G2761" s="9" t="s">
        <v>6458</v>
      </c>
      <c r="H2761" s="11" t="str">
        <f>IFERROR(__xludf.DUMMYFUNCTION("REGEXREPLACE(G2761, ""[^0-9a-zA-Z .'Ã]"","""")"),"Aidan Turner")</f>
        <v>Aidan Turner</v>
      </c>
      <c r="I2761" s="11" t="s">
        <v>8864</v>
      </c>
      <c r="J2761" s="9">
        <v>354228.0</v>
      </c>
      <c r="K2761" s="9" t="s">
        <v>8865</v>
      </c>
      <c r="L2761" s="9">
        <v>802.0</v>
      </c>
      <c r="M2761" s="9" t="s">
        <v>24</v>
      </c>
      <c r="N2761" s="9" t="s">
        <v>1002</v>
      </c>
      <c r="O2761" s="10">
        <v>2.5E8</v>
      </c>
      <c r="P2761" s="10">
        <f t="shared" si="2"/>
        <v>5108370</v>
      </c>
      <c r="Q2761" s="12">
        <f t="shared" si="3"/>
        <v>0</v>
      </c>
      <c r="R2761" s="9">
        <v>2014.0</v>
      </c>
      <c r="S2761" s="9">
        <v>7.5</v>
      </c>
    </row>
    <row r="2762" ht="15.75" customHeight="1">
      <c r="A2762" s="13" t="s">
        <v>8866</v>
      </c>
      <c r="B2762" s="8" t="str">
        <f>IFERROR(__xludf.DUMMYFUNCTION("REGEXREPLACE(A2762, ""[^0-9a-zA-Z .'Ã]"","""")"),"Philip G. Atwell")</f>
        <v>Philip G. Atwell</v>
      </c>
      <c r="C2762" s="14">
        <v>119.0</v>
      </c>
      <c r="D2762" s="15">
        <v>2.2466994E7</v>
      </c>
      <c r="E2762" s="14" t="s">
        <v>152</v>
      </c>
      <c r="F2762" s="9">
        <f t="shared" si="1"/>
        <v>3</v>
      </c>
      <c r="G2762" s="14" t="s">
        <v>815</v>
      </c>
      <c r="H2762" s="11" t="str">
        <f>IFERROR(__xludf.DUMMYFUNCTION("REGEXREPLACE(G2762, ""[^0-9a-zA-Z .'Ã]"","""")"),"Jason Statham")</f>
        <v>Jason Statham</v>
      </c>
      <c r="I2762" s="16" t="s">
        <v>8867</v>
      </c>
      <c r="J2762" s="14">
        <v>72673.0</v>
      </c>
      <c r="K2762" s="14" t="s">
        <v>8868</v>
      </c>
      <c r="L2762" s="14">
        <v>166.0</v>
      </c>
      <c r="M2762" s="14" t="s">
        <v>24</v>
      </c>
      <c r="N2762" s="14" t="s">
        <v>25</v>
      </c>
      <c r="O2762" s="15">
        <v>2.5E7</v>
      </c>
      <c r="P2762" s="10">
        <f t="shared" si="2"/>
        <v>0</v>
      </c>
      <c r="Q2762" s="12">
        <f t="shared" si="3"/>
        <v>2533006</v>
      </c>
      <c r="R2762" s="14">
        <v>2007.0</v>
      </c>
      <c r="S2762" s="14">
        <v>6.3</v>
      </c>
    </row>
    <row r="2763" ht="15.75" customHeight="1">
      <c r="A2763" s="17" t="s">
        <v>8869</v>
      </c>
      <c r="B2763" s="8" t="str">
        <f>IFERROR(__xludf.DUMMYFUNCTION("REGEXREPLACE(A2763, ""[^0-9a-zA-Z .'Ã]"","""")"),"Jon Hess")</f>
        <v>Jon Hess</v>
      </c>
      <c r="C2763" s="18">
        <v>19.0</v>
      </c>
      <c r="D2763" s="19">
        <v>1200000.0</v>
      </c>
      <c r="E2763" s="18" t="s">
        <v>180</v>
      </c>
      <c r="F2763" s="9">
        <f t="shared" si="1"/>
        <v>1</v>
      </c>
      <c r="G2763" s="18" t="s">
        <v>8870</v>
      </c>
      <c r="H2763" s="11" t="str">
        <f>IFERROR(__xludf.DUMMYFUNCTION("REGEXREPLACE(G2763, ""[^0-9a-zA-Z .'Ã]"","""")"),"Burt Young")</f>
        <v>Burt Young</v>
      </c>
      <c r="I2763" s="20" t="s">
        <v>8871</v>
      </c>
      <c r="J2763" s="18">
        <v>922.0</v>
      </c>
      <c r="K2763" s="18" t="s">
        <v>8872</v>
      </c>
      <c r="L2763" s="18">
        <v>23.0</v>
      </c>
      <c r="M2763" s="18" t="s">
        <v>24</v>
      </c>
      <c r="N2763" s="18" t="s">
        <v>25</v>
      </c>
      <c r="O2763" s="19">
        <v>3000000.0</v>
      </c>
      <c r="P2763" s="10">
        <f t="shared" si="2"/>
        <v>0</v>
      </c>
      <c r="Q2763" s="12">
        <f t="shared" si="3"/>
        <v>1800000</v>
      </c>
      <c r="R2763" s="18">
        <v>1993.0</v>
      </c>
      <c r="S2763" s="18">
        <v>5.1</v>
      </c>
    </row>
    <row r="2764" ht="15.75" customHeight="1">
      <c r="A2764" s="7" t="s">
        <v>2532</v>
      </c>
      <c r="B2764" s="8" t="str">
        <f>IFERROR(__xludf.DUMMYFUNCTION("REGEXREPLACE(A2764, ""[^0-9a-zA-Z .'Ã]"","""")"),"Sylvester Stallone")</f>
        <v>Sylvester Stallone</v>
      </c>
      <c r="C2764" s="9">
        <v>285.0</v>
      </c>
      <c r="D2764" s="10">
        <v>7.0269171E7</v>
      </c>
      <c r="E2764" s="9" t="s">
        <v>132</v>
      </c>
      <c r="F2764" s="9">
        <f t="shared" si="1"/>
        <v>2</v>
      </c>
      <c r="G2764" s="9" t="s">
        <v>2532</v>
      </c>
      <c r="H2764" s="11" t="str">
        <f>IFERROR(__xludf.DUMMYFUNCTION("REGEXREPLACE(G2764, ""[^0-9a-zA-Z .'Ã]"","""")"),"Sylvester Stallone")</f>
        <v>Sylvester Stallone</v>
      </c>
      <c r="I2764" s="11" t="s">
        <v>8873</v>
      </c>
      <c r="J2764" s="9">
        <v>162130.0</v>
      </c>
      <c r="K2764" s="9" t="s">
        <v>8874</v>
      </c>
      <c r="L2764" s="9">
        <v>962.0</v>
      </c>
      <c r="M2764" s="9" t="s">
        <v>24</v>
      </c>
      <c r="N2764" s="9" t="s">
        <v>25</v>
      </c>
      <c r="O2764" s="10">
        <v>2.4E7</v>
      </c>
      <c r="P2764" s="10">
        <f t="shared" si="2"/>
        <v>46269171</v>
      </c>
      <c r="Q2764" s="12">
        <f t="shared" si="3"/>
        <v>0</v>
      </c>
      <c r="R2764" s="9">
        <v>2006.0</v>
      </c>
      <c r="S2764" s="9">
        <v>7.2</v>
      </c>
    </row>
    <row r="2765" ht="15.75" customHeight="1">
      <c r="A2765" s="21" t="s">
        <v>8875</v>
      </c>
      <c r="B2765" s="8" t="str">
        <f>IFERROR(__xludf.DUMMYFUNCTION("REGEXREPLACE(A2765, ""[^0-9a-zA-Z .'Ã]"","""")"),"Jamie Babbit")</f>
        <v>Jamie Babbit</v>
      </c>
      <c r="C2765" s="22">
        <v>65.0</v>
      </c>
      <c r="D2765" s="23">
        <v>381186.0</v>
      </c>
      <c r="E2765" s="22" t="s">
        <v>369</v>
      </c>
      <c r="F2765" s="9">
        <f t="shared" si="1"/>
        <v>2</v>
      </c>
      <c r="G2765" s="22" t="s">
        <v>3817</v>
      </c>
      <c r="H2765" s="11" t="str">
        <f>IFERROR(__xludf.DUMMYFUNCTION("REGEXREPLACE(G2765, ""[^0-9a-zA-Z .'Ã]"","""")"),"Katy Mixon")</f>
        <v>Katy Mixon</v>
      </c>
      <c r="I2765" s="24" t="s">
        <v>8876</v>
      </c>
      <c r="J2765" s="22">
        <v>13485.0</v>
      </c>
      <c r="K2765" s="22" t="s">
        <v>8877</v>
      </c>
      <c r="L2765" s="22">
        <v>90.0</v>
      </c>
      <c r="M2765" s="22" t="s">
        <v>24</v>
      </c>
      <c r="N2765" s="22" t="s">
        <v>25</v>
      </c>
      <c r="O2765" s="23">
        <v>900000.0</v>
      </c>
      <c r="P2765" s="10">
        <f t="shared" si="2"/>
        <v>0</v>
      </c>
      <c r="Q2765" s="12">
        <f t="shared" si="3"/>
        <v>518814</v>
      </c>
      <c r="R2765" s="22">
        <v>2005.0</v>
      </c>
      <c r="S2765" s="22">
        <v>6.4</v>
      </c>
    </row>
    <row r="2766" ht="15.75" customHeight="1">
      <c r="A2766" s="17" t="s">
        <v>2229</v>
      </c>
      <c r="B2766" s="8" t="str">
        <f>IFERROR(__xludf.DUMMYFUNCTION("REGEXREPLACE(A2766, ""[^0-9a-zA-Z .'Ã]"","""")"),"Harold Becker")</f>
        <v>Harold Becker</v>
      </c>
      <c r="C2766" s="18">
        <v>43.0</v>
      </c>
      <c r="D2766" s="19">
        <v>5.8571513E7</v>
      </c>
      <c r="E2766" s="18" t="s">
        <v>435</v>
      </c>
      <c r="F2766" s="9">
        <f t="shared" si="1"/>
        <v>4</v>
      </c>
      <c r="G2766" s="18" t="s">
        <v>317</v>
      </c>
      <c r="H2766" s="11" t="str">
        <f>IFERROR(__xludf.DUMMYFUNCTION("REGEXREPLACE(G2766, ""[^0-9a-zA-Z .'Ã]"","""")"),"Al Pacino")</f>
        <v>Al Pacino</v>
      </c>
      <c r="I2766" s="20" t="s">
        <v>8878</v>
      </c>
      <c r="J2766" s="18">
        <v>30213.0</v>
      </c>
      <c r="K2766" s="18" t="s">
        <v>8879</v>
      </c>
      <c r="L2766" s="18">
        <v>112.0</v>
      </c>
      <c r="M2766" s="18" t="s">
        <v>24</v>
      </c>
      <c r="N2766" s="18" t="s">
        <v>25</v>
      </c>
      <c r="O2766" s="19">
        <v>1.9E7</v>
      </c>
      <c r="P2766" s="10">
        <f t="shared" si="2"/>
        <v>39571513</v>
      </c>
      <c r="Q2766" s="12">
        <f t="shared" si="3"/>
        <v>0</v>
      </c>
      <c r="R2766" s="18">
        <v>1989.0</v>
      </c>
      <c r="S2766" s="18">
        <v>6.8</v>
      </c>
    </row>
    <row r="2767" ht="15.75" customHeight="1">
      <c r="A2767" s="13" t="s">
        <v>529</v>
      </c>
      <c r="B2767" s="8" t="str">
        <f>IFERROR(__xludf.DUMMYFUNCTION("REGEXREPLACE(A2767, ""[^0-9a-zA-Z .'Ã]"","""")"),"Joel Schumacher")</f>
        <v>Joel Schumacher</v>
      </c>
      <c r="C2767" s="14">
        <v>153.0</v>
      </c>
      <c r="D2767" s="15">
        <v>5.1225796E7</v>
      </c>
      <c r="E2767" s="14" t="s">
        <v>8880</v>
      </c>
      <c r="F2767" s="9">
        <f t="shared" si="1"/>
        <v>4</v>
      </c>
      <c r="G2767" s="14" t="s">
        <v>830</v>
      </c>
      <c r="H2767" s="11" t="str">
        <f>IFERROR(__xludf.DUMMYFUNCTION("REGEXREPLACE(G2767, ""[^0-9a-zA-Z .'Ã]"","""")"),"Gerard Butler")</f>
        <v>Gerard Butler</v>
      </c>
      <c r="I2767" s="16" t="s">
        <v>8881</v>
      </c>
      <c r="J2767" s="14">
        <v>96654.0</v>
      </c>
      <c r="K2767" s="14" t="s">
        <v>8882</v>
      </c>
      <c r="L2767" s="14">
        <v>2047.0</v>
      </c>
      <c r="M2767" s="14" t="s">
        <v>24</v>
      </c>
      <c r="N2767" s="14" t="s">
        <v>130</v>
      </c>
      <c r="O2767" s="15">
        <v>7.0E7</v>
      </c>
      <c r="P2767" s="10">
        <f t="shared" si="2"/>
        <v>0</v>
      </c>
      <c r="Q2767" s="12">
        <f t="shared" si="3"/>
        <v>18774204</v>
      </c>
      <c r="R2767" s="14">
        <v>2004.0</v>
      </c>
      <c r="S2767" s="14">
        <v>7.4</v>
      </c>
    </row>
    <row r="2768" ht="15.75" customHeight="1">
      <c r="A2768" s="7" t="s">
        <v>1756</v>
      </c>
      <c r="B2768" s="8" t="str">
        <f>IFERROR(__xludf.DUMMYFUNCTION("REGEXREPLACE(A2768, ""[^0-9a-zA-Z .'Ã]"","""")"),"Courtney Solomon")</f>
        <v>Courtney Solomon</v>
      </c>
      <c r="C2768" s="9">
        <v>125.0</v>
      </c>
      <c r="D2768" s="10">
        <v>1.6298046E7</v>
      </c>
      <c r="E2768" s="9" t="s">
        <v>94</v>
      </c>
      <c r="F2768" s="9">
        <f t="shared" si="1"/>
        <v>3</v>
      </c>
      <c r="G2768" s="9" t="s">
        <v>8883</v>
      </c>
      <c r="H2768" s="11" t="str">
        <f>IFERROR(__xludf.DUMMYFUNCTION("REGEXREPLACE(G2768, ""[^0-9a-zA-Z .'Ã]"","""")"),"Sissy Spacek")</f>
        <v>Sissy Spacek</v>
      </c>
      <c r="I2768" s="11" t="s">
        <v>8884</v>
      </c>
      <c r="J2768" s="9">
        <v>22207.0</v>
      </c>
      <c r="K2768" s="9" t="s">
        <v>8885</v>
      </c>
      <c r="L2768" s="9">
        <v>747.0</v>
      </c>
      <c r="M2768" s="9" t="s">
        <v>24</v>
      </c>
      <c r="N2768" s="9" t="s">
        <v>130</v>
      </c>
      <c r="O2768" s="10">
        <v>1.4E7</v>
      </c>
      <c r="P2768" s="10">
        <f t="shared" si="2"/>
        <v>2298046</v>
      </c>
      <c r="Q2768" s="12">
        <f t="shared" si="3"/>
        <v>0</v>
      </c>
      <c r="R2768" s="9">
        <v>2005.0</v>
      </c>
      <c r="S2768" s="9">
        <v>5.0</v>
      </c>
    </row>
    <row r="2769" ht="15.75" customHeight="1">
      <c r="A2769" s="25" t="s">
        <v>3076</v>
      </c>
      <c r="B2769" s="8" t="str">
        <f>IFERROR(__xludf.DUMMYFUNCTION("REGEXREPLACE(A2769, ""[^0-9a-zA-Z .'Ã]"","""")"),"Kirk De Micco")</f>
        <v>Kirk De Micco</v>
      </c>
      <c r="C2769" s="26">
        <v>85.0</v>
      </c>
      <c r="D2769" s="27">
        <v>3.0105968E7</v>
      </c>
      <c r="E2769" s="26" t="s">
        <v>20</v>
      </c>
      <c r="F2769" s="9">
        <f t="shared" si="1"/>
        <v>5</v>
      </c>
      <c r="G2769" s="26" t="s">
        <v>8886</v>
      </c>
      <c r="H2769" s="11" t="str">
        <f>IFERROR(__xludf.DUMMYFUNCTION("REGEXREPLACE(G2769, ""[^0-9a-zA-Z .'Ã]"","""")"),"Cheryl Hines")</f>
        <v>Cheryl Hines</v>
      </c>
      <c r="I2769" s="28" t="s">
        <v>8887</v>
      </c>
      <c r="J2769" s="26">
        <v>8860.0</v>
      </c>
      <c r="K2769" s="26" t="s">
        <v>8888</v>
      </c>
      <c r="L2769" s="26">
        <v>45.0</v>
      </c>
      <c r="M2769" s="26" t="s">
        <v>24</v>
      </c>
      <c r="N2769" s="26" t="s">
        <v>25</v>
      </c>
      <c r="O2769" s="27">
        <v>3.7E7</v>
      </c>
      <c r="P2769" s="10">
        <f t="shared" si="2"/>
        <v>0</v>
      </c>
      <c r="Q2769" s="12">
        <f t="shared" si="3"/>
        <v>6894032</v>
      </c>
      <c r="R2769" s="26">
        <v>2008.0</v>
      </c>
      <c r="S2769" s="26">
        <v>4.5</v>
      </c>
    </row>
    <row r="2770" ht="15.75" customHeight="1">
      <c r="A2770" s="21" t="s">
        <v>6430</v>
      </c>
      <c r="B2770" s="8" t="str">
        <f>IFERROR(__xludf.DUMMYFUNCTION("REGEXREPLACE(A2770, ""[^0-9a-zA-Z .'Ã]"","""")"),"Leonard Nimoy")</f>
        <v>Leonard Nimoy</v>
      </c>
      <c r="C2770" s="22">
        <v>21.0</v>
      </c>
      <c r="D2770" s="23">
        <v>1.6778096E8</v>
      </c>
      <c r="E2770" s="22" t="s">
        <v>1486</v>
      </c>
      <c r="F2770" s="9">
        <f t="shared" si="1"/>
        <v>3</v>
      </c>
      <c r="G2770" s="22" t="s">
        <v>191</v>
      </c>
      <c r="H2770" s="11" t="str">
        <f>IFERROR(__xludf.DUMMYFUNCTION("REGEXREPLACE(G2770, ""[^0-9a-zA-Z .'Ã]"","""")"),"Tom Selleck")</f>
        <v>Tom Selleck</v>
      </c>
      <c r="I2770" s="24" t="s">
        <v>8889</v>
      </c>
      <c r="J2770" s="22">
        <v>36918.0</v>
      </c>
      <c r="K2770" s="22" t="s">
        <v>8890</v>
      </c>
      <c r="L2770" s="22">
        <v>42.0</v>
      </c>
      <c r="M2770" s="22" t="s">
        <v>24</v>
      </c>
      <c r="N2770" s="22" t="s">
        <v>25</v>
      </c>
      <c r="O2770" s="23">
        <v>1.1E7</v>
      </c>
      <c r="P2770" s="10">
        <f t="shared" si="2"/>
        <v>156780960</v>
      </c>
      <c r="Q2770" s="12">
        <f t="shared" si="3"/>
        <v>0</v>
      </c>
      <c r="R2770" s="22">
        <v>1987.0</v>
      </c>
      <c r="S2770" s="22">
        <v>5.9</v>
      </c>
    </row>
    <row r="2771" ht="15.75" customHeight="1">
      <c r="A2771" s="7" t="s">
        <v>6428</v>
      </c>
      <c r="B2771" s="8" t="str">
        <f>IFERROR(__xludf.DUMMYFUNCTION("REGEXREPLACE(A2771, ""[^0-9a-zA-Z .'Ã]"","""")"),"Gary Trousdale")</f>
        <v>Gary Trousdale</v>
      </c>
      <c r="C2771" s="9">
        <v>80.0</v>
      </c>
      <c r="D2771" s="10">
        <v>1.00117603E8</v>
      </c>
      <c r="E2771" s="9" t="s">
        <v>8891</v>
      </c>
      <c r="F2771" s="9">
        <f t="shared" si="1"/>
        <v>5</v>
      </c>
      <c r="G2771" s="9" t="s">
        <v>1559</v>
      </c>
      <c r="H2771" s="11" t="str">
        <f>IFERROR(__xludf.DUMMYFUNCTION("REGEXREPLACE(G2771, ""[^0-9a-zA-Z .'Ã]"","""")"),"Demi Moore")</f>
        <v>Demi Moore</v>
      </c>
      <c r="I2771" s="11" t="s">
        <v>8892</v>
      </c>
      <c r="J2771" s="9">
        <v>102933.0</v>
      </c>
      <c r="K2771" s="9" t="s">
        <v>8893</v>
      </c>
      <c r="L2771" s="9">
        <v>230.0</v>
      </c>
      <c r="M2771" s="9" t="s">
        <v>24</v>
      </c>
      <c r="N2771" s="9" t="s">
        <v>25</v>
      </c>
      <c r="O2771" s="10">
        <v>1.0E8</v>
      </c>
      <c r="P2771" s="10">
        <f t="shared" si="2"/>
        <v>117603</v>
      </c>
      <c r="Q2771" s="12">
        <f t="shared" si="3"/>
        <v>0</v>
      </c>
      <c r="R2771" s="9">
        <v>1996.0</v>
      </c>
      <c r="S2771" s="9">
        <v>6.9</v>
      </c>
    </row>
    <row r="2772" ht="15.75" customHeight="1">
      <c r="A2772" s="17" t="s">
        <v>5686</v>
      </c>
      <c r="B2772" s="8" t="str">
        <f>IFERROR(__xludf.DUMMYFUNCTION("REGEXREPLACE(A2772, ""[^0-9a-zA-Z .'Ã]"","""")"),"John Luessenhop")</f>
        <v>John Luessenhop</v>
      </c>
      <c r="C2772" s="18">
        <v>119.0</v>
      </c>
      <c r="D2772" s="19">
        <v>5.774472E7</v>
      </c>
      <c r="E2772" s="18" t="s">
        <v>152</v>
      </c>
      <c r="F2772" s="9">
        <f t="shared" si="1"/>
        <v>3</v>
      </c>
      <c r="G2772" s="18" t="s">
        <v>802</v>
      </c>
      <c r="H2772" s="11" t="str">
        <f>IFERROR(__xludf.DUMMYFUNCTION("REGEXREPLACE(G2772, ""[^0-9a-zA-Z .'Ã]"","""")"),"Paul Walker")</f>
        <v>Paul Walker</v>
      </c>
      <c r="I2772" s="20" t="s">
        <v>8894</v>
      </c>
      <c r="J2772" s="18">
        <v>46961.0</v>
      </c>
      <c r="K2772" s="18" t="s">
        <v>8895</v>
      </c>
      <c r="L2772" s="18">
        <v>132.0</v>
      </c>
      <c r="M2772" s="18" t="s">
        <v>24</v>
      </c>
      <c r="N2772" s="18" t="s">
        <v>25</v>
      </c>
      <c r="O2772" s="19">
        <v>2.0E7</v>
      </c>
      <c r="P2772" s="10">
        <f t="shared" si="2"/>
        <v>37744720</v>
      </c>
      <c r="Q2772" s="12">
        <f t="shared" si="3"/>
        <v>0</v>
      </c>
      <c r="R2772" s="18">
        <v>2010.0</v>
      </c>
      <c r="S2772" s="18">
        <v>6.2</v>
      </c>
    </row>
    <row r="2773" ht="15.75" customHeight="1">
      <c r="A2773" s="7" t="s">
        <v>8896</v>
      </c>
      <c r="B2773" s="8" t="str">
        <f>IFERROR(__xludf.DUMMYFUNCTION("REGEXREPLACE(A2773, ""[^0-9a-zA-Z .'Ã]"","""")"),"Justin Dillon")</f>
        <v>Justin Dillon</v>
      </c>
      <c r="C2773" s="9">
        <v>7.0</v>
      </c>
      <c r="D2773" s="10">
        <v>215185.0</v>
      </c>
      <c r="E2773" s="9" t="s">
        <v>2801</v>
      </c>
      <c r="F2773" s="9">
        <f t="shared" si="1"/>
        <v>3</v>
      </c>
      <c r="G2773" s="9" t="s">
        <v>8897</v>
      </c>
      <c r="H2773" s="11" t="str">
        <f>IFERROR(__xludf.DUMMYFUNCTION("REGEXREPLACE(G2773, ""[^0-9a-zA-Z .'Ã]"","""")"),"Matisyahu")</f>
        <v>Matisyahu</v>
      </c>
      <c r="I2773" s="11" t="s">
        <v>8898</v>
      </c>
      <c r="J2773" s="9">
        <v>48.0</v>
      </c>
      <c r="K2773" s="9" t="s">
        <v>8899</v>
      </c>
      <c r="L2773" s="9">
        <v>2.0</v>
      </c>
      <c r="M2773" s="9" t="s">
        <v>24</v>
      </c>
      <c r="N2773" s="9" t="s">
        <v>25</v>
      </c>
      <c r="O2773" s="10">
        <v>200000.0</v>
      </c>
      <c r="P2773" s="10">
        <f t="shared" si="2"/>
        <v>15185</v>
      </c>
      <c r="Q2773" s="12">
        <f t="shared" si="3"/>
        <v>0</v>
      </c>
      <c r="R2773" s="9">
        <v>2008.0</v>
      </c>
      <c r="S2773" s="9">
        <v>7.5</v>
      </c>
    </row>
    <row r="2774" ht="15.75" customHeight="1">
      <c r="A2774" s="21" t="s">
        <v>2674</v>
      </c>
      <c r="B2774" s="8" t="str">
        <f>IFERROR(__xludf.DUMMYFUNCTION("REGEXREPLACE(A2774, ""[^0-9a-zA-Z .'Ã]"","""")"),"Michael Mann")</f>
        <v>Michael Mann</v>
      </c>
      <c r="C2774" s="22">
        <v>174.0</v>
      </c>
      <c r="D2774" s="23">
        <v>5.8183966E7</v>
      </c>
      <c r="E2774" s="22" t="s">
        <v>1124</v>
      </c>
      <c r="F2774" s="9">
        <f t="shared" si="1"/>
        <v>3</v>
      </c>
      <c r="G2774" s="22" t="s">
        <v>2717</v>
      </c>
      <c r="H2774" s="11" t="str">
        <f>IFERROR(__xludf.DUMMYFUNCTION("REGEXREPLACE(G2774, ""[^0-9a-zA-Z .'Ã]"","""")"),"Will Smith")</f>
        <v>Will Smith</v>
      </c>
      <c r="I2774" s="24" t="s">
        <v>8900</v>
      </c>
      <c r="J2774" s="22">
        <v>79186.0</v>
      </c>
      <c r="K2774" s="22" t="s">
        <v>8901</v>
      </c>
      <c r="L2774" s="22">
        <v>386.0</v>
      </c>
      <c r="M2774" s="22" t="s">
        <v>24</v>
      </c>
      <c r="N2774" s="22" t="s">
        <v>25</v>
      </c>
      <c r="O2774" s="23">
        <v>1.07E8</v>
      </c>
      <c r="P2774" s="10">
        <f t="shared" si="2"/>
        <v>0</v>
      </c>
      <c r="Q2774" s="12">
        <f t="shared" si="3"/>
        <v>48816034</v>
      </c>
      <c r="R2774" s="22">
        <v>2001.0</v>
      </c>
      <c r="S2774" s="22">
        <v>6.8</v>
      </c>
    </row>
    <row r="2775" ht="15.75" customHeight="1">
      <c r="A2775" s="25" t="s">
        <v>281</v>
      </c>
      <c r="B2775" s="8" t="str">
        <f>IFERROR(__xludf.DUMMYFUNCTION("REGEXREPLACE(A2775, ""[^0-9a-zA-Z .'Ã]"","""")"),"Adam McKay")</f>
        <v>Adam McKay</v>
      </c>
      <c r="C2775" s="26">
        <v>181.0</v>
      </c>
      <c r="D2775" s="27">
        <v>8.4136909E7</v>
      </c>
      <c r="E2775" s="26" t="s">
        <v>137</v>
      </c>
      <c r="F2775" s="9">
        <f t="shared" si="1"/>
        <v>1</v>
      </c>
      <c r="G2775" s="26" t="s">
        <v>8902</v>
      </c>
      <c r="H2775" s="11" t="str">
        <f>IFERROR(__xludf.DUMMYFUNCTION("REGEXREPLACE(G2775, ""[^0-9a-zA-Z .'Ã]"","""")"),"Darcy Donavan")</f>
        <v>Darcy Donavan</v>
      </c>
      <c r="I2775" s="28" t="s">
        <v>8903</v>
      </c>
      <c r="J2775" s="26">
        <v>267921.0</v>
      </c>
      <c r="K2775" s="26" t="s">
        <v>8904</v>
      </c>
      <c r="L2775" s="26">
        <v>577.0</v>
      </c>
      <c r="M2775" s="26" t="s">
        <v>24</v>
      </c>
      <c r="N2775" s="26" t="s">
        <v>25</v>
      </c>
      <c r="O2775" s="27">
        <v>2.6E7</v>
      </c>
      <c r="P2775" s="10">
        <f t="shared" si="2"/>
        <v>58136909</v>
      </c>
      <c r="Q2775" s="12">
        <f t="shared" si="3"/>
        <v>0</v>
      </c>
      <c r="R2775" s="26">
        <v>2004.0</v>
      </c>
      <c r="S2775" s="26">
        <v>7.2</v>
      </c>
    </row>
    <row r="2776" ht="15.75" customHeight="1">
      <c r="A2776" s="7" t="s">
        <v>8905</v>
      </c>
      <c r="B2776" s="8" t="str">
        <f>IFERROR(__xludf.DUMMYFUNCTION("REGEXREPLACE(A2776, ""[^0-9a-zA-Z .'Ã]"","""")"),"Anthony Powell")</f>
        <v>Anthony Powell</v>
      </c>
      <c r="C2776" s="9">
        <v>31.0</v>
      </c>
      <c r="D2776" s="10">
        <v>287761.0</v>
      </c>
      <c r="E2776" s="9" t="s">
        <v>8906</v>
      </c>
      <c r="F2776" s="9">
        <f t="shared" si="1"/>
        <v>4</v>
      </c>
      <c r="G2776" s="9" t="s">
        <v>8907</v>
      </c>
      <c r="H2776" s="11" t="str">
        <f>IFERROR(__xludf.DUMMYFUNCTION("REGEXREPLACE(G2776, ""[^0-9a-zA-Z .'Ã]"","""")"),"Josh Swanson")</f>
        <v>Josh Swanson</v>
      </c>
      <c r="I2776" s="11" t="s">
        <v>8908</v>
      </c>
      <c r="J2776" s="9">
        <v>2482.0</v>
      </c>
      <c r="K2776" s="9" t="s">
        <v>8909</v>
      </c>
      <c r="L2776" s="9">
        <v>16.0</v>
      </c>
      <c r="M2776" s="9" t="s">
        <v>24</v>
      </c>
      <c r="N2776" s="9" t="s">
        <v>1002</v>
      </c>
      <c r="O2776" s="10">
        <v>1000000.0</v>
      </c>
      <c r="P2776" s="10">
        <f t="shared" si="2"/>
        <v>0</v>
      </c>
      <c r="Q2776" s="12">
        <f t="shared" si="3"/>
        <v>712239</v>
      </c>
      <c r="R2776" s="9">
        <v>2013.0</v>
      </c>
      <c r="S2776" s="9">
        <v>7.6</v>
      </c>
    </row>
    <row r="2777" ht="15.75" customHeight="1">
      <c r="A2777" s="13" t="s">
        <v>8910</v>
      </c>
      <c r="B2777" s="8" t="str">
        <f>IFERROR(__xludf.DUMMYFUNCTION("REGEXREPLACE(A2777, ""[^0-9a-zA-Z .'Ã]"","""")"),"Kevin Brodie")</f>
        <v>Kevin Brodie</v>
      </c>
      <c r="C2777" s="14">
        <v>25.0</v>
      </c>
      <c r="D2777" s="15">
        <v>2148212.0</v>
      </c>
      <c r="E2777" s="14" t="s">
        <v>2166</v>
      </c>
      <c r="F2777" s="9">
        <f t="shared" si="1"/>
        <v>2</v>
      </c>
      <c r="G2777" s="14" t="s">
        <v>6833</v>
      </c>
      <c r="H2777" s="11" t="str">
        <f>IFERROR(__xludf.DUMMYFUNCTION("REGEXREPLACE(G2777, ""[^0-9a-zA-Z .'Ã]"","""")"),"Bruce McGill")</f>
        <v>Bruce McGill</v>
      </c>
      <c r="I2777" s="16" t="s">
        <v>8911</v>
      </c>
      <c r="J2777" s="14">
        <v>781.0</v>
      </c>
      <c r="K2777" s="14" t="s">
        <v>8912</v>
      </c>
      <c r="L2777" s="14">
        <v>20.0</v>
      </c>
      <c r="M2777" s="14" t="s">
        <v>24</v>
      </c>
      <c r="N2777" s="14" t="s">
        <v>25</v>
      </c>
      <c r="O2777" s="15">
        <v>7000000.0</v>
      </c>
      <c r="P2777" s="10">
        <f t="shared" si="2"/>
        <v>0</v>
      </c>
      <c r="Q2777" s="12">
        <f t="shared" si="3"/>
        <v>4851788</v>
      </c>
      <c r="R2777" s="14">
        <v>1999.0</v>
      </c>
      <c r="S2777" s="14">
        <v>6.3</v>
      </c>
    </row>
    <row r="2778" ht="15.75" customHeight="1">
      <c r="A2778" s="7" t="s">
        <v>7871</v>
      </c>
      <c r="B2778" s="8" t="str">
        <f>IFERROR(__xludf.DUMMYFUNCTION("REGEXREPLACE(A2778, ""[^0-9a-zA-Z .'Ã]"","""")"),"Alan Parker")</f>
        <v>Alan Parker</v>
      </c>
      <c r="C2778" s="9">
        <v>76.0</v>
      </c>
      <c r="D2778" s="10">
        <v>4.9994804E7</v>
      </c>
      <c r="E2778" s="9" t="s">
        <v>8913</v>
      </c>
      <c r="F2778" s="9">
        <f t="shared" si="1"/>
        <v>4</v>
      </c>
      <c r="G2778" s="9" t="s">
        <v>8914</v>
      </c>
      <c r="H2778" s="11" t="str">
        <f>IFERROR(__xludf.DUMMYFUNCTION("REGEXREPLACE(G2778, ""[^0-9a-zA-Z .'Ã]"","""")"),"Andrea Corr")</f>
        <v>Andrea Corr</v>
      </c>
      <c r="I2778" s="11" t="s">
        <v>8915</v>
      </c>
      <c r="J2778" s="9">
        <v>29205.0</v>
      </c>
      <c r="K2778" s="9" t="s">
        <v>8916</v>
      </c>
      <c r="L2778" s="9">
        <v>194.0</v>
      </c>
      <c r="M2778" s="9" t="s">
        <v>24</v>
      </c>
      <c r="N2778" s="9" t="s">
        <v>25</v>
      </c>
      <c r="O2778" s="10">
        <v>5.5E7</v>
      </c>
      <c r="P2778" s="10">
        <f t="shared" si="2"/>
        <v>0</v>
      </c>
      <c r="Q2778" s="12">
        <f t="shared" si="3"/>
        <v>5005196</v>
      </c>
      <c r="R2778" s="9">
        <v>1996.0</v>
      </c>
      <c r="S2778" s="9">
        <v>6.3</v>
      </c>
    </row>
    <row r="2779" ht="15.75" customHeight="1">
      <c r="A2779" s="7" t="s">
        <v>8111</v>
      </c>
      <c r="B2779" s="8" t="str">
        <f>IFERROR(__xludf.DUMMYFUNCTION("REGEXREPLACE(A2779, ""[^0-9a-zA-Z .'Ã]"","""")"),"Nicholas Meyer")</f>
        <v>Nicholas Meyer</v>
      </c>
      <c r="C2779" s="9">
        <v>148.0</v>
      </c>
      <c r="D2779" s="10">
        <v>7.89E7</v>
      </c>
      <c r="E2779" s="9" t="s">
        <v>185</v>
      </c>
      <c r="F2779" s="9">
        <f t="shared" si="1"/>
        <v>3</v>
      </c>
      <c r="G2779" s="9" t="s">
        <v>6430</v>
      </c>
      <c r="H2779" s="11" t="str">
        <f>IFERROR(__xludf.DUMMYFUNCTION("REGEXREPLACE(G2779, ""[^0-9a-zA-Z .'Ã]"","""")"),"Leonard Nimoy")</f>
        <v>Leonard Nimoy</v>
      </c>
      <c r="I2779" s="11" t="s">
        <v>8917</v>
      </c>
      <c r="J2779" s="9">
        <v>91414.0</v>
      </c>
      <c r="K2779" s="9" t="s">
        <v>8918</v>
      </c>
      <c r="L2779" s="9">
        <v>359.0</v>
      </c>
      <c r="M2779" s="9" t="s">
        <v>24</v>
      </c>
      <c r="N2779" s="9" t="s">
        <v>25</v>
      </c>
      <c r="O2779" s="10">
        <v>1.1E7</v>
      </c>
      <c r="P2779" s="10">
        <f t="shared" si="2"/>
        <v>67900000</v>
      </c>
      <c r="Q2779" s="12">
        <f t="shared" si="3"/>
        <v>0</v>
      </c>
      <c r="R2779" s="9">
        <v>1982.0</v>
      </c>
      <c r="S2779" s="9">
        <v>7.7</v>
      </c>
    </row>
    <row r="2780" ht="15.75" customHeight="1">
      <c r="A2780" s="7" t="s">
        <v>3896</v>
      </c>
      <c r="B2780" s="8" t="str">
        <f>IFERROR(__xludf.DUMMYFUNCTION("REGEXREPLACE(A2780, ""[^0-9a-zA-Z .'Ã]"","""")"),"Burr Steers")</f>
        <v>Burr Steers</v>
      </c>
      <c r="C2780" s="9">
        <v>117.0</v>
      </c>
      <c r="D2780" s="10">
        <v>3.113695E7</v>
      </c>
      <c r="E2780" s="9" t="s">
        <v>3253</v>
      </c>
      <c r="F2780" s="9">
        <f t="shared" si="1"/>
        <v>3</v>
      </c>
      <c r="G2780" s="9" t="s">
        <v>8919</v>
      </c>
      <c r="H2780" s="11" t="str">
        <f>IFERROR(__xludf.DUMMYFUNCTION("REGEXREPLACE(G2780, ""[^0-9a-zA-Z .'Ã]"","""")"),"Augustus Prew")</f>
        <v>Augustus Prew</v>
      </c>
      <c r="I2780" s="11" t="s">
        <v>8920</v>
      </c>
      <c r="J2780" s="9">
        <v>47364.0</v>
      </c>
      <c r="K2780" s="9" t="s">
        <v>8921</v>
      </c>
      <c r="L2780" s="9">
        <v>75.0</v>
      </c>
      <c r="M2780" s="9" t="s">
        <v>24</v>
      </c>
      <c r="N2780" s="9" t="s">
        <v>25</v>
      </c>
      <c r="O2780" s="10">
        <v>4.4E7</v>
      </c>
      <c r="P2780" s="10">
        <f t="shared" si="2"/>
        <v>0</v>
      </c>
      <c r="Q2780" s="12">
        <f t="shared" si="3"/>
        <v>12863050</v>
      </c>
      <c r="R2780" s="9">
        <v>2010.0</v>
      </c>
      <c r="S2780" s="9">
        <v>6.5</v>
      </c>
    </row>
    <row r="2781" ht="15.75" customHeight="1">
      <c r="A2781" s="21" t="s">
        <v>3461</v>
      </c>
      <c r="B2781" s="8" t="str">
        <f>IFERROR(__xludf.DUMMYFUNCTION("REGEXREPLACE(A2781, ""[^0-9a-zA-Z .'Ã]"","""")"),"Brad Furman")</f>
        <v>Brad Furman</v>
      </c>
      <c r="C2781" s="22">
        <v>274.0</v>
      </c>
      <c r="D2781" s="23">
        <v>5.7981889E7</v>
      </c>
      <c r="E2781" s="22" t="s">
        <v>113</v>
      </c>
      <c r="F2781" s="9">
        <f t="shared" si="1"/>
        <v>3</v>
      </c>
      <c r="G2781" s="22" t="s">
        <v>80</v>
      </c>
      <c r="H2781" s="11" t="str">
        <f>IFERROR(__xludf.DUMMYFUNCTION("REGEXREPLACE(G2781, ""[^0-9a-zA-Z .'Ã]"","""")"),"Matthew McConaughey")</f>
        <v>Matthew McConaughey</v>
      </c>
      <c r="I2781" s="24" t="s">
        <v>8922</v>
      </c>
      <c r="J2781" s="22">
        <v>173848.0</v>
      </c>
      <c r="K2781" s="22" t="s">
        <v>8923</v>
      </c>
      <c r="L2781" s="22">
        <v>203.0</v>
      </c>
      <c r="M2781" s="22" t="s">
        <v>24</v>
      </c>
      <c r="N2781" s="22" t="s">
        <v>25</v>
      </c>
      <c r="O2781" s="23">
        <v>4.0E7</v>
      </c>
      <c r="P2781" s="10">
        <f t="shared" si="2"/>
        <v>17981889</v>
      </c>
      <c r="Q2781" s="12">
        <f t="shared" si="3"/>
        <v>0</v>
      </c>
      <c r="R2781" s="22">
        <v>2011.0</v>
      </c>
      <c r="S2781" s="22">
        <v>7.3</v>
      </c>
    </row>
    <row r="2782" ht="15.75" customHeight="1">
      <c r="A2782" s="21" t="s">
        <v>1740</v>
      </c>
      <c r="B2782" s="8" t="str">
        <f>IFERROR(__xludf.DUMMYFUNCTION("REGEXREPLACE(A2782, ""[^0-9a-zA-Z .'Ã]"","""")"),"Woody Allen")</f>
        <v>Woody Allen</v>
      </c>
      <c r="C2782" s="22">
        <v>104.0</v>
      </c>
      <c r="D2782" s="23">
        <v>1.0569071E7</v>
      </c>
      <c r="E2782" s="22" t="s">
        <v>137</v>
      </c>
      <c r="F2782" s="9">
        <f t="shared" si="1"/>
        <v>1</v>
      </c>
      <c r="G2782" s="22" t="s">
        <v>1740</v>
      </c>
      <c r="H2782" s="11" t="str">
        <f>IFERROR(__xludf.DUMMYFUNCTION("REGEXREPLACE(G2782, ""[^0-9a-zA-Z .'Ã]"","""")"),"Woody Allen")</f>
        <v>Woody Allen</v>
      </c>
      <c r="I2782" s="24" t="s">
        <v>8924</v>
      </c>
      <c r="J2782" s="22">
        <v>35586.0</v>
      </c>
      <c r="K2782" s="22" t="s">
        <v>8925</v>
      </c>
      <c r="L2782" s="22">
        <v>131.0</v>
      </c>
      <c r="M2782" s="22" t="s">
        <v>24</v>
      </c>
      <c r="N2782" s="22" t="s">
        <v>25</v>
      </c>
      <c r="O2782" s="23">
        <v>2.0E7</v>
      </c>
      <c r="P2782" s="10">
        <f t="shared" si="2"/>
        <v>0</v>
      </c>
      <c r="Q2782" s="12">
        <f t="shared" si="3"/>
        <v>9430929</v>
      </c>
      <c r="R2782" s="22">
        <v>1997.0</v>
      </c>
      <c r="S2782" s="22">
        <v>7.4</v>
      </c>
    </row>
    <row r="2783" ht="15.75" customHeight="1">
      <c r="A2783" s="21" t="s">
        <v>4393</v>
      </c>
      <c r="B2783" s="8" t="str">
        <f>IFERROR(__xludf.DUMMYFUNCTION("REGEXREPLACE(A2783, ""[^0-9a-zA-Z .'Ã]"","""")"),"Pierre Morel")</f>
        <v>Pierre Morel</v>
      </c>
      <c r="C2783" s="22">
        <v>203.0</v>
      </c>
      <c r="D2783" s="23">
        <v>2.3324666E7</v>
      </c>
      <c r="E2783" s="22" t="s">
        <v>1096</v>
      </c>
      <c r="F2783" s="9">
        <f t="shared" si="1"/>
        <v>2</v>
      </c>
      <c r="G2783" s="22" t="s">
        <v>8926</v>
      </c>
      <c r="H2783" s="11" t="str">
        <f>IFERROR(__xludf.DUMMYFUNCTION("REGEXREPLACE(G2783, ""[^0-9a-zA-Z .'Ã]"","""")"),"Kasia Smutniak")</f>
        <v>Kasia Smutniak</v>
      </c>
      <c r="I2783" s="24" t="s">
        <v>8927</v>
      </c>
      <c r="J2783" s="22">
        <v>97775.0</v>
      </c>
      <c r="K2783" s="22" t="s">
        <v>8928</v>
      </c>
      <c r="L2783" s="22">
        <v>211.0</v>
      </c>
      <c r="M2783" s="22" t="s">
        <v>24</v>
      </c>
      <c r="N2783" s="22" t="s">
        <v>608</v>
      </c>
      <c r="O2783" s="23">
        <v>5.2E7</v>
      </c>
      <c r="P2783" s="10">
        <f t="shared" si="2"/>
        <v>0</v>
      </c>
      <c r="Q2783" s="12">
        <f t="shared" si="3"/>
        <v>28675334</v>
      </c>
      <c r="R2783" s="22">
        <v>2010.0</v>
      </c>
      <c r="S2783" s="22">
        <v>6.5</v>
      </c>
    </row>
    <row r="2784" ht="15.75" customHeight="1">
      <c r="A2784" s="21" t="s">
        <v>8929</v>
      </c>
      <c r="B2784" s="8" t="str">
        <f>IFERROR(__xludf.DUMMYFUNCTION("REGEXREPLACE(A2784, ""[^0-9a-zA-Z .'Ã]"","""")"),"Goran Dukic")</f>
        <v>Goran Dukic</v>
      </c>
      <c r="C2784" s="22">
        <v>117.0</v>
      </c>
      <c r="D2784" s="23">
        <v>104077.0</v>
      </c>
      <c r="E2784" s="22" t="s">
        <v>59</v>
      </c>
      <c r="F2784" s="9">
        <f t="shared" si="1"/>
        <v>4</v>
      </c>
      <c r="G2784" s="22" t="s">
        <v>1661</v>
      </c>
      <c r="H2784" s="11" t="str">
        <f>IFERROR(__xludf.DUMMYFUNCTION("REGEXREPLACE(G2784, ""[^0-9a-zA-Z .'Ã]"","""")"),"Leslie Bibb")</f>
        <v>Leslie Bibb</v>
      </c>
      <c r="I2784" s="24" t="s">
        <v>8930</v>
      </c>
      <c r="J2784" s="22">
        <v>46076.0</v>
      </c>
      <c r="K2784" s="22" t="s">
        <v>8931</v>
      </c>
      <c r="L2784" s="22">
        <v>88.0</v>
      </c>
      <c r="M2784" s="22" t="s">
        <v>24</v>
      </c>
      <c r="N2784" s="22" t="s">
        <v>25</v>
      </c>
      <c r="O2784" s="23">
        <v>1000000.0</v>
      </c>
      <c r="P2784" s="10">
        <f t="shared" si="2"/>
        <v>0</v>
      </c>
      <c r="Q2784" s="12">
        <f t="shared" si="3"/>
        <v>895923</v>
      </c>
      <c r="R2784" s="22">
        <v>2006.0</v>
      </c>
      <c r="S2784" s="22">
        <v>7.4</v>
      </c>
    </row>
    <row r="2785" ht="15.75" customHeight="1">
      <c r="A2785" s="17" t="s">
        <v>1425</v>
      </c>
      <c r="B2785" s="8" t="str">
        <f>IFERROR(__xludf.DUMMYFUNCTION("REGEXREPLACE(A2785, ""[^0-9a-zA-Z .'Ã]"","""")"),"David Fincher")</f>
        <v>David Fincher</v>
      </c>
      <c r="C2785" s="18">
        <v>556.0</v>
      </c>
      <c r="D2785" s="19">
        <v>9.6917897E7</v>
      </c>
      <c r="E2785" s="18" t="s">
        <v>359</v>
      </c>
      <c r="F2785" s="9">
        <f t="shared" si="1"/>
        <v>2</v>
      </c>
      <c r="G2785" s="18" t="s">
        <v>5114</v>
      </c>
      <c r="H2785" s="11" t="str">
        <f>IFERROR(__xludf.DUMMYFUNCTION("REGEXREPLACE(G2785, ""[^0-9a-zA-Z .'Ã]"","""")"),"Andrew Garfield")</f>
        <v>Andrew Garfield</v>
      </c>
      <c r="I2785" s="20" t="s">
        <v>8932</v>
      </c>
      <c r="J2785" s="18">
        <v>479453.0</v>
      </c>
      <c r="K2785" s="18" t="s">
        <v>8933</v>
      </c>
      <c r="L2785" s="18">
        <v>696.0</v>
      </c>
      <c r="M2785" s="18" t="s">
        <v>24</v>
      </c>
      <c r="N2785" s="18" t="s">
        <v>25</v>
      </c>
      <c r="O2785" s="19">
        <v>4.0E7</v>
      </c>
      <c r="P2785" s="10">
        <f t="shared" si="2"/>
        <v>56917897</v>
      </c>
      <c r="Q2785" s="12">
        <f t="shared" si="3"/>
        <v>0</v>
      </c>
      <c r="R2785" s="18">
        <v>2010.0</v>
      </c>
      <c r="S2785" s="18">
        <v>7.7</v>
      </c>
    </row>
    <row r="2786" ht="15.75" customHeight="1">
      <c r="A2786" s="7" t="s">
        <v>7874</v>
      </c>
      <c r="B2786" s="8" t="str">
        <f>IFERROR(__xludf.DUMMYFUNCTION("REGEXREPLACE(A2786, ""[^0-9a-zA-Z .'Ã]"","""")"),"Michael Tollin")</f>
        <v>Michael Tollin</v>
      </c>
      <c r="C2786" s="9">
        <v>50.0</v>
      </c>
      <c r="D2786" s="10">
        <v>1.9693891E7</v>
      </c>
      <c r="E2786" s="9" t="s">
        <v>1038</v>
      </c>
      <c r="F2786" s="9">
        <f t="shared" si="1"/>
        <v>4</v>
      </c>
      <c r="G2786" s="9" t="s">
        <v>6910</v>
      </c>
      <c r="H2786" s="11" t="str">
        <f>IFERROR(__xludf.DUMMYFUNCTION("REGEXREPLACE(G2786, ""[^0-9a-zA-Z .'Ã]"","""")"),"Marc Blucas")</f>
        <v>Marc Blucas</v>
      </c>
      <c r="I2786" s="11" t="s">
        <v>8934</v>
      </c>
      <c r="J2786" s="9">
        <v>12993.0</v>
      </c>
      <c r="K2786" s="9" t="s">
        <v>8935</v>
      </c>
      <c r="L2786" s="9">
        <v>107.0</v>
      </c>
      <c r="M2786" s="9" t="s">
        <v>24</v>
      </c>
      <c r="N2786" s="9" t="s">
        <v>25</v>
      </c>
      <c r="O2786" s="10">
        <v>3.4E7</v>
      </c>
      <c r="P2786" s="10">
        <f t="shared" si="2"/>
        <v>0</v>
      </c>
      <c r="Q2786" s="12">
        <f t="shared" si="3"/>
        <v>14306109</v>
      </c>
      <c r="R2786" s="9">
        <v>2001.0</v>
      </c>
      <c r="S2786" s="9">
        <v>4.9</v>
      </c>
    </row>
    <row r="2787" ht="15.75" customHeight="1">
      <c r="A2787" s="7" t="s">
        <v>8936</v>
      </c>
      <c r="B2787" s="8" t="str">
        <f>IFERROR(__xludf.DUMMYFUNCTION("REGEXREPLACE(A2787, ""[^0-9a-zA-Z .'Ã]"","""")"),"Danny Leiner")</f>
        <v>Danny Leiner</v>
      </c>
      <c r="C2787" s="9">
        <v>150.0</v>
      </c>
      <c r="D2787" s="10">
        <v>1.8225165E7</v>
      </c>
      <c r="E2787" s="9" t="s">
        <v>693</v>
      </c>
      <c r="F2787" s="9">
        <f t="shared" si="1"/>
        <v>2</v>
      </c>
      <c r="G2787" s="9" t="s">
        <v>2515</v>
      </c>
      <c r="H2787" s="11" t="str">
        <f>IFERROR(__xludf.DUMMYFUNCTION("REGEXREPLACE(G2787, ""[^0-9a-zA-Z .'Ã]"","""")"),"Ethan Embry")</f>
        <v>Ethan Embry</v>
      </c>
      <c r="I2787" s="11" t="s">
        <v>8937</v>
      </c>
      <c r="J2787" s="9">
        <v>155262.0</v>
      </c>
      <c r="K2787" s="9" t="s">
        <v>8938</v>
      </c>
      <c r="L2787" s="9">
        <v>316.0</v>
      </c>
      <c r="M2787" s="9" t="s">
        <v>24</v>
      </c>
      <c r="N2787" s="9" t="s">
        <v>25</v>
      </c>
      <c r="O2787" s="10">
        <v>9000000.0</v>
      </c>
      <c r="P2787" s="10">
        <f t="shared" si="2"/>
        <v>9225165</v>
      </c>
      <c r="Q2787" s="12">
        <f t="shared" si="3"/>
        <v>0</v>
      </c>
      <c r="R2787" s="9">
        <v>2004.0</v>
      </c>
      <c r="S2787" s="9">
        <v>7.1</v>
      </c>
    </row>
    <row r="2788" ht="15.75" customHeight="1">
      <c r="A2788" s="25" t="s">
        <v>8939</v>
      </c>
      <c r="B2788" s="8" t="str">
        <f>IFERROR(__xludf.DUMMYFUNCTION("REGEXREPLACE(A2788, ""[^0-9a-zA-Z .'Ã]"","""")"),"Annabel Jankel")</f>
        <v>Annabel Jankel</v>
      </c>
      <c r="C2788" s="26">
        <v>36.0</v>
      </c>
      <c r="D2788" s="27">
        <v>2.0915465E7</v>
      </c>
      <c r="E2788" s="26" t="s">
        <v>8940</v>
      </c>
      <c r="F2788" s="9">
        <f t="shared" si="1"/>
        <v>5</v>
      </c>
      <c r="G2788" s="26" t="s">
        <v>597</v>
      </c>
      <c r="H2788" s="11" t="str">
        <f>IFERROR(__xludf.DUMMYFUNCTION("REGEXREPLACE(G2788, ""[^0-9a-zA-Z .'Ã]"","""")"),"Bob Hoskins")</f>
        <v>Bob Hoskins</v>
      </c>
      <c r="I2788" s="28" t="s">
        <v>8941</v>
      </c>
      <c r="J2788" s="26">
        <v>38203.0</v>
      </c>
      <c r="K2788" s="26" t="s">
        <v>8942</v>
      </c>
      <c r="L2788" s="26">
        <v>290.0</v>
      </c>
      <c r="M2788" s="26" t="s">
        <v>24</v>
      </c>
      <c r="N2788" s="26" t="s">
        <v>130</v>
      </c>
      <c r="O2788" s="27">
        <v>4.2E7</v>
      </c>
      <c r="P2788" s="10">
        <f t="shared" si="2"/>
        <v>0</v>
      </c>
      <c r="Q2788" s="12">
        <f t="shared" si="3"/>
        <v>21084535</v>
      </c>
      <c r="R2788" s="26">
        <v>1993.0</v>
      </c>
      <c r="S2788" s="26">
        <v>4.0</v>
      </c>
    </row>
    <row r="2789" ht="15.75" customHeight="1">
      <c r="A2789" s="7" t="s">
        <v>635</v>
      </c>
      <c r="B2789" s="8" t="str">
        <f>IFERROR(__xludf.DUMMYFUNCTION("REGEXREPLACE(A2789, ""[^0-9a-zA-Z .'Ã]"","""")"),"Steven Spielberg")</f>
        <v>Steven Spielberg</v>
      </c>
      <c r="C2789" s="9">
        <v>177.0</v>
      </c>
      <c r="D2789" s="10">
        <v>2.29074524E8</v>
      </c>
      <c r="E2789" s="9" t="s">
        <v>185</v>
      </c>
      <c r="F2789" s="9">
        <f t="shared" si="1"/>
        <v>3</v>
      </c>
      <c r="G2789" s="9" t="s">
        <v>2724</v>
      </c>
      <c r="H2789" s="11" t="str">
        <f>IFERROR(__xludf.DUMMYFUNCTION("REGEXREPLACE(G2789, ""[^0-9a-zA-Z .'Ã]"","""")"),"Ariana Richards")</f>
        <v>Ariana Richards</v>
      </c>
      <c r="I2789" s="11" t="s">
        <v>8943</v>
      </c>
      <c r="J2789" s="9">
        <v>278362.0</v>
      </c>
      <c r="K2789" s="9" t="s">
        <v>8944</v>
      </c>
      <c r="L2789" s="9">
        <v>552.0</v>
      </c>
      <c r="M2789" s="9" t="s">
        <v>24</v>
      </c>
      <c r="N2789" s="9" t="s">
        <v>25</v>
      </c>
      <c r="O2789" s="10">
        <v>7.3E7</v>
      </c>
      <c r="P2789" s="10">
        <f t="shared" si="2"/>
        <v>156074524</v>
      </c>
      <c r="Q2789" s="12">
        <f t="shared" si="3"/>
        <v>0</v>
      </c>
      <c r="R2789" s="9">
        <v>1997.0</v>
      </c>
      <c r="S2789" s="9">
        <v>6.5</v>
      </c>
    </row>
    <row r="2790" ht="15.75" customHeight="1">
      <c r="A2790" s="13" t="s">
        <v>8945</v>
      </c>
      <c r="B2790" s="8" t="str">
        <f>IFERROR(__xludf.DUMMYFUNCTION("REGEXREPLACE(A2790, ""[^0-9a-zA-Z .'Ã]"","""")"),"Chris Rock")</f>
        <v>Chris Rock</v>
      </c>
      <c r="C2790" s="14">
        <v>44.0</v>
      </c>
      <c r="D2790" s="15">
        <v>3.7788228E7</v>
      </c>
      <c r="E2790" s="14" t="s">
        <v>137</v>
      </c>
      <c r="F2790" s="9">
        <f t="shared" si="1"/>
        <v>1</v>
      </c>
      <c r="G2790" s="14" t="s">
        <v>195</v>
      </c>
      <c r="H2790" s="11" t="str">
        <f>IFERROR(__xludf.DUMMYFUNCTION("REGEXREPLACE(G2790, ""[^0-9a-zA-Z .'Ã]"","""")"),"Bernie Mac")</f>
        <v>Bernie Mac</v>
      </c>
      <c r="I2790" s="16" t="s">
        <v>8946</v>
      </c>
      <c r="J2790" s="14">
        <v>15046.0</v>
      </c>
      <c r="K2790" s="14" t="s">
        <v>8947</v>
      </c>
      <c r="L2790" s="14">
        <v>80.0</v>
      </c>
      <c r="M2790" s="14" t="s">
        <v>24</v>
      </c>
      <c r="N2790" s="14" t="s">
        <v>25</v>
      </c>
      <c r="O2790" s="15">
        <v>3.52E7</v>
      </c>
      <c r="P2790" s="10">
        <f t="shared" si="2"/>
        <v>2588228</v>
      </c>
      <c r="Q2790" s="12">
        <f t="shared" si="3"/>
        <v>0</v>
      </c>
      <c r="R2790" s="14">
        <v>2003.0</v>
      </c>
      <c r="S2790" s="14">
        <v>5.4</v>
      </c>
    </row>
    <row r="2791" ht="15.75" customHeight="1">
      <c r="A2791" s="17" t="s">
        <v>924</v>
      </c>
      <c r="B2791" s="8" t="str">
        <f>IFERROR(__xludf.DUMMYFUNCTION("REGEXREPLACE(A2791, ""[^0-9a-zA-Z .'Ã]"","""")"),"Wolfgang Petersen")</f>
        <v>Wolfgang Petersen</v>
      </c>
      <c r="C2791" s="18">
        <v>231.0</v>
      </c>
      <c r="D2791" s="19">
        <v>1.82618434E8</v>
      </c>
      <c r="E2791" s="18" t="s">
        <v>925</v>
      </c>
      <c r="F2791" s="9">
        <f t="shared" si="1"/>
        <v>4</v>
      </c>
      <c r="G2791" s="18" t="s">
        <v>8948</v>
      </c>
      <c r="H2791" s="11" t="str">
        <f>IFERROR(__xludf.DUMMYFUNCTION("REGEXREPLACE(G2791, ""[^0-9a-zA-Z .'Ã]"","""")"),"Karen Allen")</f>
        <v>Karen Allen</v>
      </c>
      <c r="I2791" s="20" t="s">
        <v>8949</v>
      </c>
      <c r="J2791" s="18">
        <v>133076.0</v>
      </c>
      <c r="K2791" s="18" t="s">
        <v>8950</v>
      </c>
      <c r="L2791" s="18">
        <v>779.0</v>
      </c>
      <c r="M2791" s="18" t="s">
        <v>24</v>
      </c>
      <c r="N2791" s="18" t="s">
        <v>25</v>
      </c>
      <c r="O2791" s="19">
        <v>1.4E8</v>
      </c>
      <c r="P2791" s="10">
        <f t="shared" si="2"/>
        <v>42618434</v>
      </c>
      <c r="Q2791" s="12">
        <f t="shared" si="3"/>
        <v>0</v>
      </c>
      <c r="R2791" s="18">
        <v>2000.0</v>
      </c>
      <c r="S2791" s="18">
        <v>6.4</v>
      </c>
    </row>
    <row r="2792" ht="15.75" customHeight="1">
      <c r="A2792" s="21" t="s">
        <v>594</v>
      </c>
      <c r="B2792" s="8" t="str">
        <f>IFERROR(__xludf.DUMMYFUNCTION("REGEXREPLACE(A2792, ""[^0-9a-zA-Z .'Ã]"","""")"),"Phil Lord")</f>
        <v>Phil Lord</v>
      </c>
      <c r="C2792" s="22">
        <v>191.0</v>
      </c>
      <c r="D2792" s="23">
        <v>1.24870275E8</v>
      </c>
      <c r="E2792" s="22" t="s">
        <v>8951</v>
      </c>
      <c r="F2792" s="9">
        <f t="shared" si="1"/>
        <v>4</v>
      </c>
      <c r="G2792" s="22" t="s">
        <v>1275</v>
      </c>
      <c r="H2792" s="11" t="str">
        <f>IFERROR(__xludf.DUMMYFUNCTION("REGEXREPLACE(G2792, ""[^0-9a-zA-Z .'Ã]"","""")"),"Will Forte")</f>
        <v>Will Forte</v>
      </c>
      <c r="I2792" s="24" t="s">
        <v>8952</v>
      </c>
      <c r="J2792" s="22">
        <v>152601.0</v>
      </c>
      <c r="K2792" s="22" t="s">
        <v>8953</v>
      </c>
      <c r="L2792" s="22">
        <v>156.0</v>
      </c>
      <c r="M2792" s="22" t="s">
        <v>24</v>
      </c>
      <c r="N2792" s="22" t="s">
        <v>25</v>
      </c>
      <c r="O2792" s="23">
        <v>1.0E8</v>
      </c>
      <c r="P2792" s="10">
        <f t="shared" si="2"/>
        <v>24870275</v>
      </c>
      <c r="Q2792" s="12">
        <f t="shared" si="3"/>
        <v>0</v>
      </c>
      <c r="R2792" s="22">
        <v>2009.0</v>
      </c>
      <c r="S2792" s="22">
        <v>7.0</v>
      </c>
    </row>
    <row r="2793" ht="15.75" customHeight="1">
      <c r="A2793" s="17" t="s">
        <v>4001</v>
      </c>
      <c r="B2793" s="8" t="str">
        <f>IFERROR(__xludf.DUMMYFUNCTION("REGEXREPLACE(A2793, ""[^0-9a-zA-Z .'Ã]"","""")"),"Garry Marshall")</f>
        <v>Garry Marshall</v>
      </c>
      <c r="C2793" s="18">
        <v>186.0</v>
      </c>
      <c r="D2793" s="19">
        <v>1.10476776E8</v>
      </c>
      <c r="E2793" s="18" t="s">
        <v>89</v>
      </c>
      <c r="F2793" s="9">
        <f t="shared" si="1"/>
        <v>2</v>
      </c>
      <c r="G2793" s="18" t="s">
        <v>1903</v>
      </c>
      <c r="H2793" s="11" t="str">
        <f>IFERROR(__xludf.DUMMYFUNCTION("REGEXREPLACE(G2793, ""[^0-9a-zA-Z .'Ã]"","""")"),"Bradley Cooper")</f>
        <v>Bradley Cooper</v>
      </c>
      <c r="I2793" s="20" t="s">
        <v>8954</v>
      </c>
      <c r="J2793" s="18">
        <v>95437.0</v>
      </c>
      <c r="K2793" s="18" t="s">
        <v>8955</v>
      </c>
      <c r="L2793" s="18">
        <v>211.0</v>
      </c>
      <c r="M2793" s="18" t="s">
        <v>24</v>
      </c>
      <c r="N2793" s="18" t="s">
        <v>25</v>
      </c>
      <c r="O2793" s="19">
        <v>5.2E7</v>
      </c>
      <c r="P2793" s="10">
        <f t="shared" si="2"/>
        <v>58476776</v>
      </c>
      <c r="Q2793" s="12">
        <f t="shared" si="3"/>
        <v>0</v>
      </c>
      <c r="R2793" s="18">
        <v>2010.0</v>
      </c>
      <c r="S2793" s="18">
        <v>5.7</v>
      </c>
    </row>
    <row r="2794" ht="15.75" customHeight="1">
      <c r="A2794" s="7" t="s">
        <v>8956</v>
      </c>
      <c r="B2794" s="8" t="str">
        <f>IFERROR(__xludf.DUMMYFUNCTION("REGEXREPLACE(A2794, ""[^0-9a-zA-Z .'Ã]"","""")"),"Vincenzo Natali")</f>
        <v>Vincenzo Natali</v>
      </c>
      <c r="C2794" s="9">
        <v>99.0</v>
      </c>
      <c r="D2794" s="10">
        <v>489220.0</v>
      </c>
      <c r="E2794" s="9" t="s">
        <v>5549</v>
      </c>
      <c r="F2794" s="9">
        <f t="shared" si="1"/>
        <v>3</v>
      </c>
      <c r="G2794" s="9" t="s">
        <v>8957</v>
      </c>
      <c r="H2794" s="11" t="str">
        <f>IFERROR(__xludf.DUMMYFUNCTION("REGEXREPLACE(G2794, ""[^0-9a-zA-Z .'Ã]"","""")"),"David Hewlett")</f>
        <v>David Hewlett</v>
      </c>
      <c r="I2794" s="11" t="s">
        <v>8958</v>
      </c>
      <c r="J2794" s="9">
        <v>160511.0</v>
      </c>
      <c r="K2794" s="9" t="s">
        <v>8959</v>
      </c>
      <c r="L2794" s="9">
        <v>696.0</v>
      </c>
      <c r="M2794" s="9" t="s">
        <v>24</v>
      </c>
      <c r="N2794" s="9" t="s">
        <v>624</v>
      </c>
      <c r="O2794" s="10">
        <v>365000.0</v>
      </c>
      <c r="P2794" s="10">
        <f t="shared" si="2"/>
        <v>124220</v>
      </c>
      <c r="Q2794" s="12">
        <f t="shared" si="3"/>
        <v>0</v>
      </c>
      <c r="R2794" s="9">
        <v>1997.0</v>
      </c>
      <c r="S2794" s="9">
        <v>7.3</v>
      </c>
    </row>
    <row r="2795" ht="15.75" customHeight="1">
      <c r="A2795" s="29" t="s">
        <v>3495</v>
      </c>
      <c r="B2795" s="8" t="str">
        <f>IFERROR(__xludf.DUMMYFUNCTION("REGEXREPLACE(A2795, ""[^0-9a-zA-Z .'Ã]"","""")"),"Jon Avnet")</f>
        <v>Jon Avnet</v>
      </c>
      <c r="C2795" s="30">
        <v>198.0</v>
      </c>
      <c r="D2795" s="31">
        <v>4.0076438E7</v>
      </c>
      <c r="E2795" s="30" t="s">
        <v>610</v>
      </c>
      <c r="F2795" s="9">
        <f t="shared" si="1"/>
        <v>5</v>
      </c>
      <c r="G2795" s="30" t="s">
        <v>883</v>
      </c>
      <c r="H2795" s="11" t="str">
        <f>IFERROR(__xludf.DUMMYFUNCTION("REGEXREPLACE(G2795, ""[^0-9a-zA-Z .'Ã]"","""")"),"Robert De Niro")</f>
        <v>Robert De Niro</v>
      </c>
      <c r="I2795" s="32" t="s">
        <v>8960</v>
      </c>
      <c r="J2795" s="30">
        <v>73368.0</v>
      </c>
      <c r="K2795" s="30" t="s">
        <v>8961</v>
      </c>
      <c r="L2795" s="30">
        <v>248.0</v>
      </c>
      <c r="M2795" s="30" t="s">
        <v>24</v>
      </c>
      <c r="N2795" s="30" t="s">
        <v>25</v>
      </c>
      <c r="O2795" s="31">
        <v>6.0E7</v>
      </c>
      <c r="P2795" s="10">
        <f t="shared" si="2"/>
        <v>0</v>
      </c>
      <c r="Q2795" s="12">
        <f t="shared" si="3"/>
        <v>19923562</v>
      </c>
      <c r="R2795" s="30">
        <v>2008.0</v>
      </c>
      <c r="S2795" s="30">
        <v>6.0</v>
      </c>
    </row>
    <row r="2796" ht="15.75" customHeight="1">
      <c r="A2796" s="17" t="s">
        <v>8962</v>
      </c>
      <c r="B2796" s="8" t="str">
        <f>IFERROR(__xludf.DUMMYFUNCTION("REGEXREPLACE(A2796, ""[^0-9a-zA-Z .'Ã]"","""")"),"Sean McNamara")</f>
        <v>Sean McNamara</v>
      </c>
      <c r="C2796" s="18">
        <v>110.0</v>
      </c>
      <c r="D2796" s="19">
        <v>4.3853424E7</v>
      </c>
      <c r="E2796" s="18" t="s">
        <v>8963</v>
      </c>
      <c r="F2796" s="9">
        <f t="shared" si="1"/>
        <v>4</v>
      </c>
      <c r="G2796" s="18" t="s">
        <v>45</v>
      </c>
      <c r="H2796" s="11" t="str">
        <f>IFERROR(__xludf.DUMMYFUNCTION("REGEXREPLACE(G2796, ""[^0-9a-zA-Z .'Ã]"","""")"),"Dennis Quaid")</f>
        <v>Dennis Quaid</v>
      </c>
      <c r="I2796" s="20" t="s">
        <v>8964</v>
      </c>
      <c r="J2796" s="18">
        <v>35514.0</v>
      </c>
      <c r="K2796" s="18" t="s">
        <v>8965</v>
      </c>
      <c r="L2796" s="18">
        <v>114.0</v>
      </c>
      <c r="M2796" s="18" t="s">
        <v>24</v>
      </c>
      <c r="N2796" s="18" t="s">
        <v>25</v>
      </c>
      <c r="O2796" s="19">
        <v>1.8E7</v>
      </c>
      <c r="P2796" s="10">
        <f t="shared" si="2"/>
        <v>25853424</v>
      </c>
      <c r="Q2796" s="12">
        <f t="shared" si="3"/>
        <v>0</v>
      </c>
      <c r="R2796" s="18">
        <v>2011.0</v>
      </c>
      <c r="S2796" s="18">
        <v>7.1</v>
      </c>
    </row>
    <row r="2797" ht="15.75" customHeight="1">
      <c r="A2797" s="21" t="s">
        <v>1139</v>
      </c>
      <c r="B2797" s="8" t="str">
        <f>IFERROR(__xludf.DUMMYFUNCTION("REGEXREPLACE(A2797, ""[^0-9a-zA-Z .'Ã]"","""")"),"Todd Haynes")</f>
        <v>Todd Haynes</v>
      </c>
      <c r="C2797" s="22">
        <v>231.0</v>
      </c>
      <c r="D2797" s="23">
        <v>4001121.0</v>
      </c>
      <c r="E2797" s="22" t="s">
        <v>2225</v>
      </c>
      <c r="F2797" s="9">
        <f t="shared" si="1"/>
        <v>3</v>
      </c>
      <c r="G2797" s="22" t="s">
        <v>1579</v>
      </c>
      <c r="H2797" s="11" t="str">
        <f>IFERROR(__xludf.DUMMYFUNCTION("REGEXREPLACE(G2797, ""[^0-9a-zA-Z .'Ã]"","""")"),"Christian Bale")</f>
        <v>Christian Bale</v>
      </c>
      <c r="I2797" s="24" t="s">
        <v>8966</v>
      </c>
      <c r="J2797" s="22">
        <v>48346.0</v>
      </c>
      <c r="K2797" s="22" t="s">
        <v>8967</v>
      </c>
      <c r="L2797" s="22">
        <v>230.0</v>
      </c>
      <c r="M2797" s="22" t="s">
        <v>24</v>
      </c>
      <c r="N2797" s="22" t="s">
        <v>25</v>
      </c>
      <c r="O2797" s="23">
        <v>2.0E7</v>
      </c>
      <c r="P2797" s="10">
        <f t="shared" si="2"/>
        <v>0</v>
      </c>
      <c r="Q2797" s="12">
        <f t="shared" si="3"/>
        <v>15998879</v>
      </c>
      <c r="R2797" s="22">
        <v>2007.0</v>
      </c>
      <c r="S2797" s="22">
        <v>7.0</v>
      </c>
    </row>
    <row r="2798" ht="15.75" customHeight="1">
      <c r="A2798" s="25" t="s">
        <v>2302</v>
      </c>
      <c r="B2798" s="8" t="str">
        <f>IFERROR(__xludf.DUMMYFUNCTION("REGEXREPLACE(A2798, ""[^0-9a-zA-Z .'Ã]"","""")"),"George Tillman Jr.")</f>
        <v>George Tillman Jr.</v>
      </c>
      <c r="C2798" s="26">
        <v>34.0</v>
      </c>
      <c r="D2798" s="27">
        <v>4.3490057E7</v>
      </c>
      <c r="E2798" s="26" t="s">
        <v>454</v>
      </c>
      <c r="F2798" s="9">
        <f t="shared" si="1"/>
        <v>2</v>
      </c>
      <c r="G2798" s="26" t="s">
        <v>1181</v>
      </c>
      <c r="H2798" s="11" t="str">
        <f>IFERROR(__xludf.DUMMYFUNCTION("REGEXREPLACE(G2798, ""[^0-9a-zA-Z .'Ã]"","""")"),"Vanessa Williams")</f>
        <v>Vanessa Williams</v>
      </c>
      <c r="I2798" s="28" t="s">
        <v>8968</v>
      </c>
      <c r="J2798" s="26">
        <v>5275.0</v>
      </c>
      <c r="K2798" s="26" t="s">
        <v>8969</v>
      </c>
      <c r="L2798" s="26">
        <v>30.0</v>
      </c>
      <c r="M2798" s="26" t="s">
        <v>24</v>
      </c>
      <c r="N2798" s="26" t="s">
        <v>25</v>
      </c>
      <c r="O2798" s="27">
        <v>7500000.0</v>
      </c>
      <c r="P2798" s="10">
        <f t="shared" si="2"/>
        <v>35990057</v>
      </c>
      <c r="Q2798" s="12">
        <f t="shared" si="3"/>
        <v>0</v>
      </c>
      <c r="R2798" s="26">
        <v>1997.0</v>
      </c>
      <c r="S2798" s="26">
        <v>6.9</v>
      </c>
    </row>
    <row r="2799" ht="15.75" customHeight="1">
      <c r="A2799" s="7" t="s">
        <v>8970</v>
      </c>
      <c r="B2799" s="8" t="str">
        <f>IFERROR(__xludf.DUMMYFUNCTION("REGEXREPLACE(A2799, ""[^0-9a-zA-Z .'Ã]"","""")"),"David Gelb")</f>
        <v>David Gelb</v>
      </c>
      <c r="C2799" s="9">
        <v>152.0</v>
      </c>
      <c r="D2799" s="10">
        <v>2.5799043E7</v>
      </c>
      <c r="E2799" s="9" t="s">
        <v>1017</v>
      </c>
      <c r="F2799" s="9">
        <f t="shared" si="1"/>
        <v>3</v>
      </c>
      <c r="G2799" s="9" t="s">
        <v>378</v>
      </c>
      <c r="H2799" s="11" t="str">
        <f>IFERROR(__xludf.DUMMYFUNCTION("REGEXREPLACE(G2799, ""[^0-9a-zA-Z .'Ã]"","""")"),"Olivia Wilde")</f>
        <v>Olivia Wilde</v>
      </c>
      <c r="I2799" s="11" t="s">
        <v>8971</v>
      </c>
      <c r="J2799" s="9">
        <v>28513.0</v>
      </c>
      <c r="K2799" s="9" t="s">
        <v>8972</v>
      </c>
      <c r="L2799" s="9">
        <v>126.0</v>
      </c>
      <c r="M2799" s="9" t="s">
        <v>24</v>
      </c>
      <c r="N2799" s="9" t="s">
        <v>25</v>
      </c>
      <c r="O2799" s="10">
        <v>3300000.0</v>
      </c>
      <c r="P2799" s="10">
        <f t="shared" si="2"/>
        <v>22499043</v>
      </c>
      <c r="Q2799" s="12">
        <f t="shared" si="3"/>
        <v>0</v>
      </c>
      <c r="R2799" s="9">
        <v>2015.0</v>
      </c>
      <c r="S2799" s="9">
        <v>5.2</v>
      </c>
    </row>
    <row r="2800" ht="15.75" customHeight="1">
      <c r="A2800" s="25" t="s">
        <v>2571</v>
      </c>
      <c r="B2800" s="8" t="str">
        <f>IFERROR(__xludf.DUMMYFUNCTION("REGEXREPLACE(A2800, ""[^0-9a-zA-Z .'Ã]"","""")"),"David Dobkin")</f>
        <v>David Dobkin</v>
      </c>
      <c r="C2800" s="26">
        <v>165.0</v>
      </c>
      <c r="D2800" s="27">
        <v>6.047022E7</v>
      </c>
      <c r="E2800" s="26" t="s">
        <v>1879</v>
      </c>
      <c r="F2800" s="9">
        <f t="shared" si="1"/>
        <v>3</v>
      </c>
      <c r="G2800" s="26" t="s">
        <v>8973</v>
      </c>
      <c r="H2800" s="11" t="str">
        <f>IFERROR(__xludf.DUMMYFUNCTION("REGEXREPLACE(G2800, ""[^0-9a-zA-Z .'Ã]"","""")"),"Fann Wong")</f>
        <v>Fann Wong</v>
      </c>
      <c r="I2800" s="28" t="s">
        <v>8974</v>
      </c>
      <c r="J2800" s="26">
        <v>81444.0</v>
      </c>
      <c r="K2800" s="26" t="s">
        <v>8975</v>
      </c>
      <c r="L2800" s="26">
        <v>192.0</v>
      </c>
      <c r="M2800" s="26" t="s">
        <v>24</v>
      </c>
      <c r="N2800" s="26" t="s">
        <v>25</v>
      </c>
      <c r="O2800" s="27">
        <v>5.0E7</v>
      </c>
      <c r="P2800" s="10">
        <f t="shared" si="2"/>
        <v>10470220</v>
      </c>
      <c r="Q2800" s="12">
        <f t="shared" si="3"/>
        <v>0</v>
      </c>
      <c r="R2800" s="26">
        <v>2003.0</v>
      </c>
      <c r="S2800" s="26">
        <v>6.2</v>
      </c>
    </row>
    <row r="2801" ht="15.75" customHeight="1">
      <c r="A2801" s="17" t="s">
        <v>4022</v>
      </c>
      <c r="B2801" s="8" t="str">
        <f>IFERROR(__xludf.DUMMYFUNCTION("REGEXREPLACE(A2801, ""[^0-9a-zA-Z .'Ã]"","""")"),"Tim Hill")</f>
        <v>Tim Hill</v>
      </c>
      <c r="C2801" s="18">
        <v>156.0</v>
      </c>
      <c r="D2801" s="19">
        <v>1.0801217E8</v>
      </c>
      <c r="E2801" s="18" t="s">
        <v>301</v>
      </c>
      <c r="F2801" s="9">
        <f t="shared" si="1"/>
        <v>5</v>
      </c>
      <c r="G2801" s="18" t="s">
        <v>3688</v>
      </c>
      <c r="H2801" s="11" t="str">
        <f>IFERROR(__xludf.DUMMYFUNCTION("REGEXREPLACE(G2801, ""[^0-9a-zA-Z .'Ã]"","""")"),"Gary Cole")</f>
        <v>Gary Cole</v>
      </c>
      <c r="I2801" s="20" t="s">
        <v>8976</v>
      </c>
      <c r="J2801" s="18">
        <v>24089.0</v>
      </c>
      <c r="K2801" s="18" t="s">
        <v>8977</v>
      </c>
      <c r="L2801" s="18">
        <v>82.0</v>
      </c>
      <c r="M2801" s="18" t="s">
        <v>24</v>
      </c>
      <c r="N2801" s="18" t="s">
        <v>25</v>
      </c>
      <c r="O2801" s="19">
        <v>6.3E7</v>
      </c>
      <c r="P2801" s="10">
        <f t="shared" si="2"/>
        <v>45012170</v>
      </c>
      <c r="Q2801" s="12">
        <f t="shared" si="3"/>
        <v>0</v>
      </c>
      <c r="R2801" s="18">
        <v>2011.0</v>
      </c>
      <c r="S2801" s="18">
        <v>5.5</v>
      </c>
    </row>
    <row r="2802" ht="15.75" customHeight="1">
      <c r="A2802" s="7" t="s">
        <v>8562</v>
      </c>
      <c r="B2802" s="8" t="str">
        <f>IFERROR(__xludf.DUMMYFUNCTION("REGEXREPLACE(A2802, ""[^0-9a-zA-Z .'Ã]"","""")"),"Ti West")</f>
        <v>Ti West</v>
      </c>
      <c r="C2802" s="9">
        <v>292.0</v>
      </c>
      <c r="D2802" s="10">
        <v>77501.0</v>
      </c>
      <c r="E2802" s="9" t="s">
        <v>148</v>
      </c>
      <c r="F2802" s="9">
        <f t="shared" si="1"/>
        <v>1</v>
      </c>
      <c r="G2802" s="9" t="s">
        <v>4904</v>
      </c>
      <c r="H2802" s="11" t="str">
        <f>IFERROR(__xludf.DUMMYFUNCTION("REGEXREPLACE(G2802, ""[^0-9a-zA-Z .'Ã]"","""")"),"Lena Dunham")</f>
        <v>Lena Dunham</v>
      </c>
      <c r="I2802" s="11" t="s">
        <v>8978</v>
      </c>
      <c r="J2802" s="9">
        <v>27260.0</v>
      </c>
      <c r="K2802" s="9" t="s">
        <v>8979</v>
      </c>
      <c r="L2802" s="9">
        <v>247.0</v>
      </c>
      <c r="M2802" s="9" t="s">
        <v>24</v>
      </c>
      <c r="N2802" s="9" t="s">
        <v>25</v>
      </c>
      <c r="O2802" s="10">
        <v>750000.0</v>
      </c>
      <c r="P2802" s="10">
        <f t="shared" si="2"/>
        <v>0</v>
      </c>
      <c r="Q2802" s="12">
        <f t="shared" si="3"/>
        <v>672499</v>
      </c>
      <c r="R2802" s="9">
        <v>2011.0</v>
      </c>
      <c r="S2802" s="9">
        <v>5.5</v>
      </c>
    </row>
    <row r="2803" ht="15.75" customHeight="1">
      <c r="A2803" s="29" t="s">
        <v>8980</v>
      </c>
      <c r="B2803" s="8" t="str">
        <f>IFERROR(__xludf.DUMMYFUNCTION("REGEXREPLACE(A2803, ""[^0-9a-zA-Z .'Ã]"","""")"),"Mennan Yapo")</f>
        <v>Mennan Yapo</v>
      </c>
      <c r="C2803" s="30">
        <v>184.0</v>
      </c>
      <c r="D2803" s="31">
        <v>4.7852604E7</v>
      </c>
      <c r="E2803" s="30" t="s">
        <v>311</v>
      </c>
      <c r="F2803" s="9">
        <f t="shared" si="1"/>
        <v>3</v>
      </c>
      <c r="G2803" s="30" t="s">
        <v>1215</v>
      </c>
      <c r="H2803" s="11" t="str">
        <f>IFERROR(__xludf.DUMMYFUNCTION("REGEXREPLACE(G2803, ""[^0-9a-zA-Z .'Ã]"","""")"),"Nia Long")</f>
        <v>Nia Long</v>
      </c>
      <c r="I2803" s="32" t="s">
        <v>8981</v>
      </c>
      <c r="J2803" s="30">
        <v>62364.0</v>
      </c>
      <c r="K2803" s="30" t="s">
        <v>8982</v>
      </c>
      <c r="L2803" s="30">
        <v>337.0</v>
      </c>
      <c r="M2803" s="30" t="s">
        <v>24</v>
      </c>
      <c r="N2803" s="30" t="s">
        <v>25</v>
      </c>
      <c r="O2803" s="31">
        <v>2.0E7</v>
      </c>
      <c r="P2803" s="10">
        <f t="shared" si="2"/>
        <v>27852604</v>
      </c>
      <c r="Q2803" s="12">
        <f t="shared" si="3"/>
        <v>0</v>
      </c>
      <c r="R2803" s="30">
        <v>2007.0</v>
      </c>
      <c r="S2803" s="30">
        <v>5.9</v>
      </c>
    </row>
    <row r="2804" ht="15.75" customHeight="1">
      <c r="A2804" s="7" t="s">
        <v>8983</v>
      </c>
      <c r="B2804" s="8" t="str">
        <f>IFERROR(__xludf.DUMMYFUNCTION("REGEXREPLACE(A2804, ""[^0-9a-zA-Z .'Ã]"","""")"),"Ash Brannon")</f>
        <v>Ash Brannon</v>
      </c>
      <c r="C2804" s="9">
        <v>154.0</v>
      </c>
      <c r="D2804" s="10">
        <v>5.8867694E7</v>
      </c>
      <c r="E2804" s="9" t="s">
        <v>8984</v>
      </c>
      <c r="F2804" s="9">
        <f t="shared" si="1"/>
        <v>4</v>
      </c>
      <c r="G2804" s="9" t="s">
        <v>1400</v>
      </c>
      <c r="H2804" s="11" t="str">
        <f>IFERROR(__xludf.DUMMYFUNCTION("REGEXREPLACE(G2804, ""[^0-9a-zA-Z .'Ã]"","""")"),"Jeff Bridges")</f>
        <v>Jeff Bridges</v>
      </c>
      <c r="I2804" s="11" t="s">
        <v>8985</v>
      </c>
      <c r="J2804" s="9">
        <v>54077.0</v>
      </c>
      <c r="K2804" s="9" t="s">
        <v>8986</v>
      </c>
      <c r="L2804" s="9">
        <v>112.0</v>
      </c>
      <c r="M2804" s="9" t="s">
        <v>24</v>
      </c>
      <c r="N2804" s="9" t="s">
        <v>25</v>
      </c>
      <c r="O2804" s="10">
        <v>1.0E8</v>
      </c>
      <c r="P2804" s="10">
        <f t="shared" si="2"/>
        <v>0</v>
      </c>
      <c r="Q2804" s="12">
        <f t="shared" si="3"/>
        <v>41132306</v>
      </c>
      <c r="R2804" s="9">
        <v>2007.0</v>
      </c>
      <c r="S2804" s="9">
        <v>6.8</v>
      </c>
    </row>
    <row r="2805" ht="15.75" customHeight="1">
      <c r="A2805" s="7" t="s">
        <v>1409</v>
      </c>
      <c r="B2805" s="8" t="str">
        <f>IFERROR(__xludf.DUMMYFUNCTION("REGEXREPLACE(A2805, ""[^0-9a-zA-Z .'Ã]"","""")"),"Lewis Gilbert")</f>
        <v>Lewis Gilbert</v>
      </c>
      <c r="C2805" s="9">
        <v>130.0</v>
      </c>
      <c r="D2805" s="10">
        <v>4.31E7</v>
      </c>
      <c r="E2805" s="9" t="s">
        <v>474</v>
      </c>
      <c r="F2805" s="9">
        <f t="shared" si="1"/>
        <v>3</v>
      </c>
      <c r="G2805" s="9" t="s">
        <v>1616</v>
      </c>
      <c r="H2805" s="11" t="str">
        <f>IFERROR(__xludf.DUMMYFUNCTION("REGEXREPLACE(G2805, ""[^0-9a-zA-Z .'Ã]"","""")"),"Donald Pleasence")</f>
        <v>Donald Pleasence</v>
      </c>
      <c r="I2805" s="11" t="s">
        <v>8987</v>
      </c>
      <c r="J2805" s="9">
        <v>75280.0</v>
      </c>
      <c r="K2805" s="9" t="s">
        <v>8988</v>
      </c>
      <c r="L2805" s="9">
        <v>267.0</v>
      </c>
      <c r="M2805" s="9" t="s">
        <v>24</v>
      </c>
      <c r="N2805" s="9" t="s">
        <v>130</v>
      </c>
      <c r="O2805" s="10">
        <v>9500000.0</v>
      </c>
      <c r="P2805" s="10">
        <f t="shared" si="2"/>
        <v>33600000</v>
      </c>
      <c r="Q2805" s="12">
        <f t="shared" si="3"/>
        <v>0</v>
      </c>
      <c r="R2805" s="9">
        <v>1967.0</v>
      </c>
      <c r="S2805" s="9">
        <v>6.9</v>
      </c>
    </row>
    <row r="2806" ht="15.75" customHeight="1">
      <c r="A2806" s="21" t="s">
        <v>3175</v>
      </c>
      <c r="B2806" s="8" t="str">
        <f>IFERROR(__xludf.DUMMYFUNCTION("REGEXREPLACE(A2806, ""[^0-9a-zA-Z .'Ã]"","""")"),"Curtis Hanson")</f>
        <v>Curtis Hanson</v>
      </c>
      <c r="C2806" s="22">
        <v>42.0</v>
      </c>
      <c r="D2806" s="23">
        <v>4.6815748E7</v>
      </c>
      <c r="E2806" s="22" t="s">
        <v>711</v>
      </c>
      <c r="F2806" s="9">
        <f t="shared" si="1"/>
        <v>4</v>
      </c>
      <c r="G2806" s="22" t="s">
        <v>1941</v>
      </c>
      <c r="H2806" s="11" t="str">
        <f>IFERROR(__xludf.DUMMYFUNCTION("REGEXREPLACE(G2806, ""[^0-9a-zA-Z .'Ã]"","""")"),"Meryl Streep")</f>
        <v>Meryl Streep</v>
      </c>
      <c r="I2806" s="24" t="s">
        <v>8989</v>
      </c>
      <c r="J2806" s="22">
        <v>32544.0</v>
      </c>
      <c r="K2806" s="22" t="s">
        <v>8990</v>
      </c>
      <c r="L2806" s="22">
        <v>69.0</v>
      </c>
      <c r="M2806" s="22" t="s">
        <v>24</v>
      </c>
      <c r="N2806" s="22" t="s">
        <v>25</v>
      </c>
      <c r="O2806" s="23">
        <v>4.5E7</v>
      </c>
      <c r="P2806" s="10">
        <f t="shared" si="2"/>
        <v>1815748</v>
      </c>
      <c r="Q2806" s="12">
        <f t="shared" si="3"/>
        <v>0</v>
      </c>
      <c r="R2806" s="22">
        <v>1994.0</v>
      </c>
      <c r="S2806" s="22">
        <v>6.3</v>
      </c>
    </row>
    <row r="2807" ht="15.75" customHeight="1">
      <c r="A2807" s="25" t="s">
        <v>5262</v>
      </c>
      <c r="B2807" s="8" t="str">
        <f>IFERROR(__xludf.DUMMYFUNCTION("REGEXREPLACE(A2807, ""[^0-9a-zA-Z .'Ã]"","""")"),"Jake Kasdan")</f>
        <v>Jake Kasdan</v>
      </c>
      <c r="C2807" s="26">
        <v>171.0</v>
      </c>
      <c r="D2807" s="27">
        <v>1.8317151E7</v>
      </c>
      <c r="E2807" s="26" t="s">
        <v>321</v>
      </c>
      <c r="F2807" s="9">
        <f t="shared" si="1"/>
        <v>2</v>
      </c>
      <c r="G2807" s="26" t="s">
        <v>8991</v>
      </c>
      <c r="H2807" s="11" t="str">
        <f>IFERROR(__xludf.DUMMYFUNCTION("REGEXREPLACE(G2807, ""[^0-9a-zA-Z .'Ã]"","""")"),"Tim Meadows")</f>
        <v>Tim Meadows</v>
      </c>
      <c r="I2807" s="28" t="s">
        <v>8992</v>
      </c>
      <c r="J2807" s="26">
        <v>55630.0</v>
      </c>
      <c r="K2807" s="26" t="s">
        <v>8993</v>
      </c>
      <c r="L2807" s="26">
        <v>200.0</v>
      </c>
      <c r="M2807" s="26" t="s">
        <v>24</v>
      </c>
      <c r="N2807" s="26" t="s">
        <v>25</v>
      </c>
      <c r="O2807" s="27">
        <v>3.5E7</v>
      </c>
      <c r="P2807" s="10">
        <f t="shared" si="2"/>
        <v>0</v>
      </c>
      <c r="Q2807" s="12">
        <f t="shared" si="3"/>
        <v>16682849</v>
      </c>
      <c r="R2807" s="26">
        <v>2007.0</v>
      </c>
      <c r="S2807" s="26">
        <v>6.7</v>
      </c>
    </row>
    <row r="2808" ht="15.75" customHeight="1">
      <c r="A2808" s="17" t="s">
        <v>756</v>
      </c>
      <c r="B2808" s="8" t="str">
        <f>IFERROR(__xludf.DUMMYFUNCTION("REGEXREPLACE(A2808, ""[^0-9a-zA-Z .'Ã]"","""")"),"Adam Shankman")</f>
        <v>Adam Shankman</v>
      </c>
      <c r="C2808" s="18">
        <v>77.0</v>
      </c>
      <c r="D2808" s="19">
        <v>8.2569532E7</v>
      </c>
      <c r="E2808" s="18" t="s">
        <v>2707</v>
      </c>
      <c r="F2808" s="9">
        <f t="shared" si="1"/>
        <v>3</v>
      </c>
      <c r="G2808" s="18" t="s">
        <v>5869</v>
      </c>
      <c r="H2808" s="11" t="str">
        <f>IFERROR(__xludf.DUMMYFUNCTION("REGEXREPLACE(G2808, ""[^0-9a-zA-Z .'Ã]"","""")"),"Taylor Lautner")</f>
        <v>Taylor Lautner</v>
      </c>
      <c r="I2808" s="20" t="s">
        <v>8994</v>
      </c>
      <c r="J2808" s="18">
        <v>42737.0</v>
      </c>
      <c r="K2808" s="18" t="s">
        <v>8995</v>
      </c>
      <c r="L2808" s="18">
        <v>128.0</v>
      </c>
      <c r="M2808" s="18" t="s">
        <v>24</v>
      </c>
      <c r="N2808" s="18" t="s">
        <v>25</v>
      </c>
      <c r="O2808" s="19">
        <v>6.0E7</v>
      </c>
      <c r="P2808" s="10">
        <f t="shared" si="2"/>
        <v>22569532</v>
      </c>
      <c r="Q2808" s="12">
        <f t="shared" si="3"/>
        <v>0</v>
      </c>
      <c r="R2808" s="18">
        <v>2005.0</v>
      </c>
      <c r="S2808" s="18">
        <v>5.4</v>
      </c>
    </row>
    <row r="2809" ht="15.75" customHeight="1">
      <c r="A2809" s="21" t="s">
        <v>8996</v>
      </c>
      <c r="B2809" s="8" t="str">
        <f>IFERROR(__xludf.DUMMYFUNCTION("REGEXREPLACE(A2809, ""[^0-9a-zA-Z .'Ã]"","""")"),"Igor Kovalyov")</f>
        <v>Igor Kovalyov</v>
      </c>
      <c r="C2809" s="22">
        <v>45.0</v>
      </c>
      <c r="D2809" s="23">
        <v>1.00491683E8</v>
      </c>
      <c r="E2809" s="22" t="s">
        <v>3390</v>
      </c>
      <c r="F2809" s="9">
        <f t="shared" si="1"/>
        <v>6</v>
      </c>
      <c r="G2809" s="22" t="s">
        <v>3008</v>
      </c>
      <c r="H2809" s="11" t="str">
        <f>IFERROR(__xludf.DUMMYFUNCTION("REGEXREPLACE(G2809, ""[^0-9a-zA-Z .'Ã]"","""")"),"Elizabeth Daily")</f>
        <v>Elizabeth Daily</v>
      </c>
      <c r="I2809" s="24" t="s">
        <v>8997</v>
      </c>
      <c r="J2809" s="22">
        <v>14005.0</v>
      </c>
      <c r="K2809" s="22" t="s">
        <v>8998</v>
      </c>
      <c r="L2809" s="22">
        <v>67.0</v>
      </c>
      <c r="M2809" s="22" t="s">
        <v>24</v>
      </c>
      <c r="N2809" s="22" t="s">
        <v>25</v>
      </c>
      <c r="O2809" s="23">
        <v>2.4E7</v>
      </c>
      <c r="P2809" s="10">
        <f t="shared" si="2"/>
        <v>76491683</v>
      </c>
      <c r="Q2809" s="12">
        <f t="shared" si="3"/>
        <v>0</v>
      </c>
      <c r="R2809" s="22">
        <v>1998.0</v>
      </c>
      <c r="S2809" s="22">
        <v>5.9</v>
      </c>
    </row>
    <row r="2810" ht="15.75" customHeight="1">
      <c r="A2810" s="7" t="s">
        <v>5935</v>
      </c>
      <c r="B2810" s="8" t="str">
        <f>IFERROR(__xludf.DUMMYFUNCTION("REGEXREPLACE(A2810, ""[^0-9a-zA-Z .'Ã]"","""")"),"John Wells")</f>
        <v>John Wells</v>
      </c>
      <c r="C2810" s="9">
        <v>175.0</v>
      </c>
      <c r="D2810" s="10">
        <v>1.3650738E7</v>
      </c>
      <c r="E2810" s="9" t="s">
        <v>454</v>
      </c>
      <c r="F2810" s="9">
        <f t="shared" si="1"/>
        <v>2</v>
      </c>
      <c r="G2810" s="9" t="s">
        <v>1903</v>
      </c>
      <c r="H2810" s="11" t="str">
        <f>IFERROR(__xludf.DUMMYFUNCTION("REGEXREPLACE(G2810, ""[^0-9a-zA-Z .'Ã]"","""")"),"Bradley Cooper")</f>
        <v>Bradley Cooper</v>
      </c>
      <c r="I2810" s="11" t="s">
        <v>8999</v>
      </c>
      <c r="J2810" s="9">
        <v>61360.0</v>
      </c>
      <c r="K2810" s="9" t="s">
        <v>9000</v>
      </c>
      <c r="L2810" s="9">
        <v>129.0</v>
      </c>
      <c r="M2810" s="9" t="s">
        <v>24</v>
      </c>
      <c r="N2810" s="9" t="s">
        <v>25</v>
      </c>
      <c r="O2810" s="10">
        <v>2.0E7</v>
      </c>
      <c r="P2810" s="10">
        <f t="shared" si="2"/>
        <v>0</v>
      </c>
      <c r="Q2810" s="12">
        <f t="shared" si="3"/>
        <v>6349262</v>
      </c>
      <c r="R2810" s="9">
        <v>2015.0</v>
      </c>
      <c r="S2810" s="9">
        <v>6.6</v>
      </c>
    </row>
    <row r="2811" ht="15.75" customHeight="1">
      <c r="A2811" s="13" t="s">
        <v>426</v>
      </c>
      <c r="B2811" s="8" t="str">
        <f>IFERROR(__xludf.DUMMYFUNCTION("REGEXREPLACE(A2811, ""[^0-9a-zA-Z .'Ã]"","""")"),"Martin Campbell")</f>
        <v>Martin Campbell</v>
      </c>
      <c r="C2811" s="14">
        <v>137.0</v>
      </c>
      <c r="D2811" s="15">
        <v>1.06635996E8</v>
      </c>
      <c r="E2811" s="14" t="s">
        <v>474</v>
      </c>
      <c r="F2811" s="9">
        <f t="shared" si="1"/>
        <v>3</v>
      </c>
      <c r="G2811" s="14" t="s">
        <v>9001</v>
      </c>
      <c r="H2811" s="11" t="str">
        <f>IFERROR(__xludf.DUMMYFUNCTION("REGEXREPLACE(G2811, ""[^0-9a-zA-Z .'Ã]"","""")"),"Izabella Scorupco")</f>
        <v>Izabella Scorupco</v>
      </c>
      <c r="I2811" s="16" t="s">
        <v>9002</v>
      </c>
      <c r="J2811" s="14">
        <v>199025.0</v>
      </c>
      <c r="K2811" s="14" t="s">
        <v>9003</v>
      </c>
      <c r="L2811" s="14">
        <v>416.0</v>
      </c>
      <c r="M2811" s="14" t="s">
        <v>24</v>
      </c>
      <c r="N2811" s="14" t="s">
        <v>130</v>
      </c>
      <c r="O2811" s="15">
        <v>5.8E7</v>
      </c>
      <c r="P2811" s="10">
        <f t="shared" si="2"/>
        <v>48635996</v>
      </c>
      <c r="Q2811" s="12">
        <f t="shared" si="3"/>
        <v>0</v>
      </c>
      <c r="R2811" s="14">
        <v>1995.0</v>
      </c>
      <c r="S2811" s="14">
        <v>7.2</v>
      </c>
    </row>
    <row r="2812" ht="15.75" customHeight="1">
      <c r="A2812" s="21" t="s">
        <v>9004</v>
      </c>
      <c r="B2812" s="8" t="str">
        <f>IFERROR(__xludf.DUMMYFUNCTION("REGEXREPLACE(A2812, ""[^0-9a-zA-Z .'Ã]"","""")"),"Mark Romanek")</f>
        <v>Mark Romanek</v>
      </c>
      <c r="C2812" s="22">
        <v>207.0</v>
      </c>
      <c r="D2812" s="23">
        <v>3.1597131E7</v>
      </c>
      <c r="E2812" s="22" t="s">
        <v>369</v>
      </c>
      <c r="F2812" s="9">
        <f t="shared" si="1"/>
        <v>2</v>
      </c>
      <c r="G2812" s="22" t="s">
        <v>673</v>
      </c>
      <c r="H2812" s="11" t="str">
        <f>IFERROR(__xludf.DUMMYFUNCTION("REGEXREPLACE(G2812, ""[^0-9a-zA-Z .'Ã]"","""")"),"Robin Williams")</f>
        <v>Robin Williams</v>
      </c>
      <c r="I2812" s="24" t="s">
        <v>9005</v>
      </c>
      <c r="J2812" s="22">
        <v>97938.0</v>
      </c>
      <c r="K2812" s="22" t="s">
        <v>9006</v>
      </c>
      <c r="L2812" s="22">
        <v>605.0</v>
      </c>
      <c r="M2812" s="22" t="s">
        <v>24</v>
      </c>
      <c r="N2812" s="22" t="s">
        <v>25</v>
      </c>
      <c r="O2812" s="23">
        <v>1.2E7</v>
      </c>
      <c r="P2812" s="10">
        <f t="shared" si="2"/>
        <v>19597131</v>
      </c>
      <c r="Q2812" s="12">
        <f t="shared" si="3"/>
        <v>0</v>
      </c>
      <c r="R2812" s="22">
        <v>2002.0</v>
      </c>
      <c r="S2812" s="22">
        <v>6.8</v>
      </c>
    </row>
    <row r="2813" ht="15.75" customHeight="1">
      <c r="A2813" s="17" t="s">
        <v>2229</v>
      </c>
      <c r="B2813" s="8" t="str">
        <f>IFERROR(__xludf.DUMMYFUNCTION("REGEXREPLACE(A2813, ""[^0-9a-zA-Z .'Ã]"","""")"),"Harold Becker")</f>
        <v>Harold Becker</v>
      </c>
      <c r="C2813" s="18">
        <v>79.0</v>
      </c>
      <c r="D2813" s="19">
        <v>3.2940507E7</v>
      </c>
      <c r="E2813" s="18" t="s">
        <v>501</v>
      </c>
      <c r="F2813" s="9">
        <f t="shared" si="1"/>
        <v>4</v>
      </c>
      <c r="G2813" s="18" t="s">
        <v>55</v>
      </c>
      <c r="H2813" s="11" t="str">
        <f>IFERROR(__xludf.DUMMYFUNCTION("REGEXREPLACE(G2813, ""[^0-9a-zA-Z .'Ã]"","""")"),"Bruce Willis")</f>
        <v>Bruce Willis</v>
      </c>
      <c r="I2813" s="20" t="s">
        <v>9007</v>
      </c>
      <c r="J2813" s="18">
        <v>54314.0</v>
      </c>
      <c r="K2813" s="18" t="s">
        <v>9008</v>
      </c>
      <c r="L2813" s="18">
        <v>127.0</v>
      </c>
      <c r="M2813" s="18" t="s">
        <v>24</v>
      </c>
      <c r="N2813" s="18" t="s">
        <v>25</v>
      </c>
      <c r="O2813" s="19">
        <v>6.0E7</v>
      </c>
      <c r="P2813" s="10">
        <f t="shared" si="2"/>
        <v>0</v>
      </c>
      <c r="Q2813" s="12">
        <f t="shared" si="3"/>
        <v>27059493</v>
      </c>
      <c r="R2813" s="18">
        <v>1998.0</v>
      </c>
      <c r="S2813" s="18">
        <v>6.1</v>
      </c>
    </row>
    <row r="2814" ht="15.75" customHeight="1">
      <c r="A2814" s="7" t="s">
        <v>3414</v>
      </c>
      <c r="B2814" s="8" t="str">
        <f>IFERROR(__xludf.DUMMYFUNCTION("REGEXREPLACE(A2814, ""[^0-9a-zA-Z .'Ã]"","""")"),"Colin Trevorrow")</f>
        <v>Colin Trevorrow</v>
      </c>
      <c r="C2814" s="9">
        <v>271.0</v>
      </c>
      <c r="D2814" s="10">
        <v>4007792.0</v>
      </c>
      <c r="E2814" s="9" t="s">
        <v>159</v>
      </c>
      <c r="F2814" s="9">
        <f t="shared" si="1"/>
        <v>3</v>
      </c>
      <c r="G2814" s="9" t="s">
        <v>4721</v>
      </c>
      <c r="H2814" s="11" t="str">
        <f>IFERROR(__xludf.DUMMYFUNCTION("REGEXREPLACE(G2814, ""[^0-9a-zA-Z .'Ã]"","""")"),"Mary Lynn Rajskub")</f>
        <v>Mary Lynn Rajskub</v>
      </c>
      <c r="I2814" s="11" t="s">
        <v>9009</v>
      </c>
      <c r="J2814" s="9">
        <v>101287.0</v>
      </c>
      <c r="K2814" s="9" t="s">
        <v>9010</v>
      </c>
      <c r="L2814" s="9">
        <v>260.0</v>
      </c>
      <c r="M2814" s="9" t="s">
        <v>24</v>
      </c>
      <c r="N2814" s="9" t="s">
        <v>25</v>
      </c>
      <c r="O2814" s="10">
        <v>750000.0</v>
      </c>
      <c r="P2814" s="10">
        <f t="shared" si="2"/>
        <v>3257792</v>
      </c>
      <c r="Q2814" s="12">
        <f t="shared" si="3"/>
        <v>0</v>
      </c>
      <c r="R2814" s="9">
        <v>2012.0</v>
      </c>
      <c r="S2814" s="9">
        <v>7.0</v>
      </c>
    </row>
    <row r="2815" ht="15.75" customHeight="1">
      <c r="A2815" s="29" t="s">
        <v>4001</v>
      </c>
      <c r="B2815" s="8" t="str">
        <f>IFERROR(__xludf.DUMMYFUNCTION("REGEXREPLACE(A2815, ""[^0-9a-zA-Z .'Ã]"","""")"),"Garry Marshall")</f>
        <v>Garry Marshall</v>
      </c>
      <c r="C2815" s="30">
        <v>93.0</v>
      </c>
      <c r="D2815" s="31">
        <v>3.7486138E7</v>
      </c>
      <c r="E2815" s="30" t="s">
        <v>159</v>
      </c>
      <c r="F2815" s="9">
        <f t="shared" si="1"/>
        <v>3</v>
      </c>
      <c r="G2815" s="30" t="s">
        <v>9011</v>
      </c>
      <c r="H2815" s="11" t="str">
        <f>IFERROR(__xludf.DUMMYFUNCTION("REGEXREPLACE(G2815, ""[^0-9a-zA-Z .'Ã]"","""")"),"Amber Valletta")</f>
        <v>Amber Valletta</v>
      </c>
      <c r="I2815" s="32" t="s">
        <v>9012</v>
      </c>
      <c r="J2815" s="30">
        <v>30890.0</v>
      </c>
      <c r="K2815" s="30" t="s">
        <v>9013</v>
      </c>
      <c r="L2815" s="30">
        <v>106.0</v>
      </c>
      <c r="M2815" s="30" t="s">
        <v>24</v>
      </c>
      <c r="N2815" s="30" t="s">
        <v>25</v>
      </c>
      <c r="O2815" s="31">
        <v>5.0E7</v>
      </c>
      <c r="P2815" s="10">
        <f t="shared" si="2"/>
        <v>0</v>
      </c>
      <c r="Q2815" s="12">
        <f t="shared" si="3"/>
        <v>12513862</v>
      </c>
      <c r="R2815" s="30">
        <v>2004.0</v>
      </c>
      <c r="S2815" s="30">
        <v>6.0</v>
      </c>
    </row>
    <row r="2816" ht="15.75" customHeight="1">
      <c r="A2816" s="25" t="s">
        <v>1425</v>
      </c>
      <c r="B2816" s="8" t="str">
        <f>IFERROR(__xludf.DUMMYFUNCTION("REGEXREPLACE(A2816, ""[^0-9a-zA-Z .'Ã]"","""")"),"David Fincher")</f>
        <v>David Fincher</v>
      </c>
      <c r="C2816" s="26">
        <v>210.0</v>
      </c>
      <c r="D2816" s="27">
        <v>5.54736E7</v>
      </c>
      <c r="E2816" s="26" t="s">
        <v>2417</v>
      </c>
      <c r="F2816" s="9">
        <f t="shared" si="1"/>
        <v>3</v>
      </c>
      <c r="G2816" s="26" t="s">
        <v>6398</v>
      </c>
      <c r="H2816" s="11" t="str">
        <f>IFERROR(__xludf.DUMMYFUNCTION("REGEXREPLACE(G2816, ""[^0-9a-zA-Z .'Ã]"","""")"),"Charles S. Dutton")</f>
        <v>Charles S. Dutton</v>
      </c>
      <c r="I2816" s="28" t="s">
        <v>9014</v>
      </c>
      <c r="J2816" s="26">
        <v>207686.0</v>
      </c>
      <c r="K2816" s="26" t="s">
        <v>9015</v>
      </c>
      <c r="L2816" s="26">
        <v>776.0</v>
      </c>
      <c r="M2816" s="26" t="s">
        <v>24</v>
      </c>
      <c r="N2816" s="26" t="s">
        <v>25</v>
      </c>
      <c r="O2816" s="27">
        <v>5.0E7</v>
      </c>
      <c r="P2816" s="10">
        <f t="shared" si="2"/>
        <v>5473600</v>
      </c>
      <c r="Q2816" s="12">
        <f t="shared" si="3"/>
        <v>0</v>
      </c>
      <c r="R2816" s="26">
        <v>1992.0</v>
      </c>
      <c r="S2816" s="26">
        <v>6.4</v>
      </c>
    </row>
    <row r="2817" ht="15.75" customHeight="1">
      <c r="A2817" s="13" t="s">
        <v>1805</v>
      </c>
      <c r="B2817" s="8" t="str">
        <f>IFERROR(__xludf.DUMMYFUNCTION("REGEXREPLACE(A2817, ""[^0-9a-zA-Z .'Ã]"","""")"),"Mike Newell")</f>
        <v>Mike Newell</v>
      </c>
      <c r="C2817" s="14">
        <v>141.0</v>
      </c>
      <c r="D2817" s="15">
        <v>6.369576E7</v>
      </c>
      <c r="E2817" s="14" t="s">
        <v>103</v>
      </c>
      <c r="F2817" s="9">
        <f t="shared" si="1"/>
        <v>1</v>
      </c>
      <c r="G2817" s="14" t="s">
        <v>533</v>
      </c>
      <c r="H2817" s="11" t="str">
        <f>IFERROR(__xludf.DUMMYFUNCTION("REGEXREPLACE(G2817, ""[^0-9a-zA-Z .'Ã]"","""")"),"Julia Roberts")</f>
        <v>Julia Roberts</v>
      </c>
      <c r="I2817" s="16" t="s">
        <v>9016</v>
      </c>
      <c r="J2817" s="14">
        <v>61490.0</v>
      </c>
      <c r="K2817" s="14" t="s">
        <v>9017</v>
      </c>
      <c r="L2817" s="14">
        <v>264.0</v>
      </c>
      <c r="M2817" s="14" t="s">
        <v>24</v>
      </c>
      <c r="N2817" s="14" t="s">
        <v>25</v>
      </c>
      <c r="O2817" s="15">
        <v>6.5E7</v>
      </c>
      <c r="P2817" s="10">
        <f t="shared" si="2"/>
        <v>0</v>
      </c>
      <c r="Q2817" s="12">
        <f t="shared" si="3"/>
        <v>1304240</v>
      </c>
      <c r="R2817" s="14">
        <v>2003.0</v>
      </c>
      <c r="S2817" s="14">
        <v>6.4</v>
      </c>
    </row>
    <row r="2818" ht="15.75" customHeight="1">
      <c r="A2818" s="13" t="s">
        <v>6316</v>
      </c>
      <c r="B2818" s="8" t="str">
        <f>IFERROR(__xludf.DUMMYFUNCTION("REGEXREPLACE(A2818, ""[^0-9a-zA-Z .'Ã]"","""")"),"Roman Polanski")</f>
        <v>Roman Polanski</v>
      </c>
      <c r="C2818" s="14">
        <v>127.0</v>
      </c>
      <c r="D2818" s="15">
        <v>1987287.0</v>
      </c>
      <c r="E2818" s="14" t="s">
        <v>54</v>
      </c>
      <c r="F2818" s="9">
        <f t="shared" si="1"/>
        <v>2</v>
      </c>
      <c r="G2818" s="14" t="s">
        <v>9018</v>
      </c>
      <c r="H2818" s="11" t="str">
        <f>IFERROR(__xludf.DUMMYFUNCTION("REGEXREPLACE(G2818, ""[^0-9a-zA-Z .'Ã]"","""")"),"Ian McNeice")</f>
        <v>Ian McNeice</v>
      </c>
      <c r="I2818" s="16" t="s">
        <v>9019</v>
      </c>
      <c r="J2818" s="14">
        <v>25474.0</v>
      </c>
      <c r="K2818" s="14" t="s">
        <v>9020</v>
      </c>
      <c r="L2818" s="14">
        <v>138.0</v>
      </c>
      <c r="M2818" s="14" t="s">
        <v>24</v>
      </c>
      <c r="N2818" s="14" t="s">
        <v>130</v>
      </c>
      <c r="O2818" s="15">
        <v>5.0E7</v>
      </c>
      <c r="P2818" s="10">
        <f t="shared" si="2"/>
        <v>0</v>
      </c>
      <c r="Q2818" s="12">
        <f t="shared" si="3"/>
        <v>48012713</v>
      </c>
      <c r="R2818" s="14">
        <v>2005.0</v>
      </c>
      <c r="S2818" s="14">
        <v>6.9</v>
      </c>
    </row>
    <row r="2819" ht="15.75" customHeight="1">
      <c r="A2819" s="7" t="s">
        <v>752</v>
      </c>
      <c r="B2819" s="8" t="str">
        <f>IFERROR(__xludf.DUMMYFUNCTION("REGEXREPLACE(A2819, ""[^0-9a-zA-Z .'Ã]"","""")"),"Mike Nichols")</f>
        <v>Mike Nichols</v>
      </c>
      <c r="C2819" s="9">
        <v>59.0</v>
      </c>
      <c r="D2819" s="10">
        <v>6.5012E7</v>
      </c>
      <c r="E2819" s="9" t="s">
        <v>4212</v>
      </c>
      <c r="F2819" s="9">
        <f t="shared" si="1"/>
        <v>4</v>
      </c>
      <c r="G2819" s="9" t="s">
        <v>5564</v>
      </c>
      <c r="H2819" s="11" t="str">
        <f>IFERROR(__xludf.DUMMYFUNCTION("REGEXREPLACE(G2819, ""[^0-9a-zA-Z .'Ã]"","""")"),"David Hyde Pierce")</f>
        <v>David Hyde Pierce</v>
      </c>
      <c r="I2819" s="11" t="s">
        <v>9021</v>
      </c>
      <c r="J2819" s="9">
        <v>43559.0</v>
      </c>
      <c r="K2819" s="9" t="s">
        <v>9022</v>
      </c>
      <c r="L2819" s="9">
        <v>137.0</v>
      </c>
      <c r="M2819" s="9" t="s">
        <v>24</v>
      </c>
      <c r="N2819" s="9" t="s">
        <v>25</v>
      </c>
      <c r="O2819" s="10">
        <v>7.0E7</v>
      </c>
      <c r="P2819" s="10">
        <f t="shared" si="2"/>
        <v>0</v>
      </c>
      <c r="Q2819" s="12">
        <f t="shared" si="3"/>
        <v>4988000</v>
      </c>
      <c r="R2819" s="9">
        <v>1994.0</v>
      </c>
      <c r="S2819" s="9">
        <v>6.2</v>
      </c>
    </row>
    <row r="2820" ht="15.75" customHeight="1">
      <c r="A2820" s="17" t="s">
        <v>9023</v>
      </c>
      <c r="B2820" s="8" t="str">
        <f>IFERROR(__xludf.DUMMYFUNCTION("REGEXREPLACE(A2820, ""[^0-9a-zA-Z .'Ã]"","""")"),"Luis Mandoki")</f>
        <v>Luis Mandoki</v>
      </c>
      <c r="C2820" s="18">
        <v>106.0</v>
      </c>
      <c r="D2820" s="19">
        <v>2.4044532E7</v>
      </c>
      <c r="E2820" s="18" t="s">
        <v>232</v>
      </c>
      <c r="F2820" s="9">
        <f t="shared" si="1"/>
        <v>2</v>
      </c>
      <c r="G2820" s="18" t="s">
        <v>9024</v>
      </c>
      <c r="H2820" s="11" t="str">
        <f>IFERROR(__xludf.DUMMYFUNCTION("REGEXREPLACE(G2820, ""[^0-9a-zA-Z .'Ã]"","""")"),"Sonia Braga")</f>
        <v>Sonia Braga</v>
      </c>
      <c r="I2820" s="20" t="s">
        <v>9025</v>
      </c>
      <c r="J2820" s="18">
        <v>19686.0</v>
      </c>
      <c r="K2820" s="18" t="s">
        <v>9026</v>
      </c>
      <c r="L2820" s="18">
        <v>180.0</v>
      </c>
      <c r="M2820" s="18" t="s">
        <v>24</v>
      </c>
      <c r="N2820" s="18" t="s">
        <v>25</v>
      </c>
      <c r="O2820" s="19">
        <v>3.8E7</v>
      </c>
      <c r="P2820" s="10">
        <f t="shared" si="2"/>
        <v>0</v>
      </c>
      <c r="Q2820" s="12">
        <f t="shared" si="3"/>
        <v>13955468</v>
      </c>
      <c r="R2820" s="18">
        <v>2001.0</v>
      </c>
      <c r="S2820" s="18">
        <v>5.6</v>
      </c>
    </row>
    <row r="2821" ht="15.75" customHeight="1">
      <c r="A2821" s="17" t="s">
        <v>9027</v>
      </c>
      <c r="B2821" s="8" t="str">
        <f>IFERROR(__xludf.DUMMYFUNCTION("REGEXREPLACE(A2821, ""[^0-9a-zA-Z .'Ã]"","""")"),"Boris Rodriguez")</f>
        <v>Boris Rodriguez</v>
      </c>
      <c r="C2821" s="18">
        <v>56.0</v>
      </c>
      <c r="D2821" s="19">
        <v>1521.0</v>
      </c>
      <c r="E2821" s="18" t="s">
        <v>364</v>
      </c>
      <c r="F2821" s="9">
        <f t="shared" si="1"/>
        <v>2</v>
      </c>
      <c r="G2821" s="18" t="s">
        <v>7920</v>
      </c>
      <c r="H2821" s="11" t="str">
        <f>IFERROR(__xludf.DUMMYFUNCTION("REGEXREPLACE(G2821, ""[^0-9a-zA-Z .'Ã]"","""")"),"Stephen McHattie")</f>
        <v>Stephen McHattie</v>
      </c>
      <c r="I2821" s="20" t="s">
        <v>9028</v>
      </c>
      <c r="J2821" s="18">
        <v>1231.0</v>
      </c>
      <c r="K2821" s="18" t="s">
        <v>9029</v>
      </c>
      <c r="L2821" s="18">
        <v>10.0</v>
      </c>
      <c r="M2821" s="18" t="s">
        <v>24</v>
      </c>
      <c r="N2821" s="18" t="s">
        <v>624</v>
      </c>
      <c r="O2821" s="19">
        <v>1500000.0</v>
      </c>
      <c r="P2821" s="10">
        <f t="shared" si="2"/>
        <v>0</v>
      </c>
      <c r="Q2821" s="12">
        <f t="shared" si="3"/>
        <v>1498479</v>
      </c>
      <c r="R2821" s="18">
        <v>2012.0</v>
      </c>
      <c r="S2821" s="18">
        <v>5.7</v>
      </c>
    </row>
    <row r="2822" ht="15.75" customHeight="1">
      <c r="A2822" s="7" t="s">
        <v>9030</v>
      </c>
      <c r="B2822" s="8" t="str">
        <f>IFERROR(__xludf.DUMMYFUNCTION("REGEXREPLACE(A2822, ""[^0-9a-zA-Z .'Ã]"","""")"),"Nick Hamm")</f>
        <v>Nick Hamm</v>
      </c>
      <c r="C2822" s="9">
        <v>130.0</v>
      </c>
      <c r="D2822" s="10">
        <v>1.4334645E7</v>
      </c>
      <c r="E2822" s="9" t="s">
        <v>2324</v>
      </c>
      <c r="F2822" s="9">
        <f t="shared" si="1"/>
        <v>4</v>
      </c>
      <c r="G2822" s="9" t="s">
        <v>883</v>
      </c>
      <c r="H2822" s="11" t="str">
        <f>IFERROR(__xludf.DUMMYFUNCTION("REGEXREPLACE(G2822, ""[^0-9a-zA-Z .'Ã]"","""")"),"Robert De Niro")</f>
        <v>Robert De Niro</v>
      </c>
      <c r="I2822" s="11" t="s">
        <v>9031</v>
      </c>
      <c r="J2822" s="9">
        <v>22449.0</v>
      </c>
      <c r="K2822" s="9" t="s">
        <v>9032</v>
      </c>
      <c r="L2822" s="9">
        <v>191.0</v>
      </c>
      <c r="M2822" s="9" t="s">
        <v>24</v>
      </c>
      <c r="N2822" s="9" t="s">
        <v>25</v>
      </c>
      <c r="O2822" s="10">
        <v>2.5E7</v>
      </c>
      <c r="P2822" s="10">
        <f t="shared" si="2"/>
        <v>0</v>
      </c>
      <c r="Q2822" s="12">
        <f t="shared" si="3"/>
        <v>10665355</v>
      </c>
      <c r="R2822" s="9">
        <v>2004.0</v>
      </c>
      <c r="S2822" s="9">
        <v>4.8</v>
      </c>
    </row>
    <row r="2823" ht="15.75" customHeight="1">
      <c r="A2823" s="21" t="s">
        <v>9033</v>
      </c>
      <c r="B2823" s="8" t="str">
        <f>IFERROR(__xludf.DUMMYFUNCTION("REGEXREPLACE(A2823, ""[^0-9a-zA-Z .'Ã]"","""")"),"Paul Bunnell")</f>
        <v>Paul Bunnell</v>
      </c>
      <c r="C2823" s="22">
        <v>94.0</v>
      </c>
      <c r="D2823" s="23">
        <v>2436.0</v>
      </c>
      <c r="E2823" s="22" t="s">
        <v>9034</v>
      </c>
      <c r="F2823" s="9">
        <f t="shared" si="1"/>
        <v>4</v>
      </c>
      <c r="G2823" s="22" t="s">
        <v>9035</v>
      </c>
      <c r="H2823" s="11" t="str">
        <f>IFERROR(__xludf.DUMMYFUNCTION("REGEXREPLACE(G2823, ""[^0-9a-zA-Z .'Ã]"","""")"),"Kate Maberly")</f>
        <v>Kate Maberly</v>
      </c>
      <c r="I2823" s="24" t="s">
        <v>9036</v>
      </c>
      <c r="J2823" s="22">
        <v>344.0</v>
      </c>
      <c r="K2823" s="22" t="s">
        <v>9037</v>
      </c>
      <c r="L2823" s="22">
        <v>19.0</v>
      </c>
      <c r="M2823" s="22" t="s">
        <v>24</v>
      </c>
      <c r="N2823" s="22" t="s">
        <v>25</v>
      </c>
      <c r="O2823" s="23">
        <v>2000000.0</v>
      </c>
      <c r="P2823" s="10">
        <f t="shared" si="2"/>
        <v>0</v>
      </c>
      <c r="Q2823" s="12">
        <f t="shared" si="3"/>
        <v>1997564</v>
      </c>
      <c r="R2823" s="22">
        <v>2012.0</v>
      </c>
      <c r="S2823" s="22">
        <v>5.7</v>
      </c>
    </row>
    <row r="2824" ht="15.75" customHeight="1">
      <c r="A2824" s="25" t="s">
        <v>342</v>
      </c>
      <c r="B2824" s="8" t="str">
        <f>IFERROR(__xludf.DUMMYFUNCTION("REGEXREPLACE(A2824, ""[^0-9a-zA-Z .'Ã]"","""")"),"Peter Chelsom")</f>
        <v>Peter Chelsom</v>
      </c>
      <c r="C2824" s="26">
        <v>118.0</v>
      </c>
      <c r="D2824" s="27">
        <v>5.7887882E7</v>
      </c>
      <c r="E2824" s="26" t="s">
        <v>159</v>
      </c>
      <c r="F2824" s="9">
        <f t="shared" si="1"/>
        <v>3</v>
      </c>
      <c r="G2824" s="26" t="s">
        <v>9038</v>
      </c>
      <c r="H2824" s="11" t="str">
        <f>IFERROR(__xludf.DUMMYFUNCTION("REGEXREPLACE(G2824, ""[^0-9a-zA-Z .'Ã]"","""")"),"Lisa Ann Walter")</f>
        <v>Lisa Ann Walter</v>
      </c>
      <c r="I2824" s="28" t="s">
        <v>9039</v>
      </c>
      <c r="J2824" s="26">
        <v>35508.0</v>
      </c>
      <c r="K2824" s="26" t="s">
        <v>9040</v>
      </c>
      <c r="L2824" s="26">
        <v>211.0</v>
      </c>
      <c r="M2824" s="26" t="s">
        <v>24</v>
      </c>
      <c r="N2824" s="26" t="s">
        <v>25</v>
      </c>
      <c r="O2824" s="27">
        <v>5.0E7</v>
      </c>
      <c r="P2824" s="10">
        <f t="shared" si="2"/>
        <v>7887882</v>
      </c>
      <c r="Q2824" s="12">
        <f t="shared" si="3"/>
        <v>0</v>
      </c>
      <c r="R2824" s="26">
        <v>2004.0</v>
      </c>
      <c r="S2824" s="26">
        <v>6.1</v>
      </c>
    </row>
    <row r="2825" ht="15.75" customHeight="1">
      <c r="A2825" s="21" t="s">
        <v>1652</v>
      </c>
      <c r="B2825" s="8" t="str">
        <f>IFERROR(__xludf.DUMMYFUNCTION("REGEXREPLACE(A2825, ""[^0-9a-zA-Z .'Ã]"","""")"),"John Carpenter")</f>
        <v>John Carpenter</v>
      </c>
      <c r="C2825" s="22">
        <v>297.0</v>
      </c>
      <c r="D2825" s="23">
        <v>1.3782838E7</v>
      </c>
      <c r="E2825" s="22" t="s">
        <v>724</v>
      </c>
      <c r="F2825" s="9">
        <f t="shared" si="1"/>
        <v>3</v>
      </c>
      <c r="G2825" s="22" t="s">
        <v>694</v>
      </c>
      <c r="H2825" s="11" t="str">
        <f>IFERROR(__xludf.DUMMYFUNCTION("REGEXREPLACE(G2825, ""[^0-9a-zA-Z .'Ã]"","""")"),"Wilford Brimley")</f>
        <v>Wilford Brimley</v>
      </c>
      <c r="I2825" s="24" t="s">
        <v>9041</v>
      </c>
      <c r="J2825" s="22">
        <v>258078.0</v>
      </c>
      <c r="K2825" s="22" t="s">
        <v>9042</v>
      </c>
      <c r="L2825" s="22">
        <v>911.0</v>
      </c>
      <c r="M2825" s="22" t="s">
        <v>24</v>
      </c>
      <c r="N2825" s="22" t="s">
        <v>25</v>
      </c>
      <c r="O2825" s="23">
        <v>1.5E7</v>
      </c>
      <c r="P2825" s="10">
        <f t="shared" si="2"/>
        <v>0</v>
      </c>
      <c r="Q2825" s="12">
        <f t="shared" si="3"/>
        <v>1217162</v>
      </c>
      <c r="R2825" s="22">
        <v>1982.0</v>
      </c>
      <c r="S2825" s="22">
        <v>8.2</v>
      </c>
    </row>
    <row r="2826" ht="15.75" customHeight="1">
      <c r="A2826" s="29" t="s">
        <v>4188</v>
      </c>
      <c r="B2826" s="8" t="str">
        <f>IFERROR(__xludf.DUMMYFUNCTION("REGEXREPLACE(A2826, ""[^0-9a-zA-Z .'Ã]"","""")"),"Stephen Hopkins")</f>
        <v>Stephen Hopkins</v>
      </c>
      <c r="C2826" s="30">
        <v>62.0</v>
      </c>
      <c r="D2826" s="31">
        <v>3.8553833E7</v>
      </c>
      <c r="E2826" s="30" t="s">
        <v>9043</v>
      </c>
      <c r="F2826" s="9">
        <f t="shared" si="1"/>
        <v>4</v>
      </c>
      <c r="G2826" s="30" t="s">
        <v>1490</v>
      </c>
      <c r="H2826" s="11" t="str">
        <f>IFERROR(__xludf.DUMMYFUNCTION("REGEXREPLACE(G2826, ""[^0-9a-zA-Z .'Ã]"","""")"),"Tom Wilkinson")</f>
        <v>Tom Wilkinson</v>
      </c>
      <c r="I2826" s="32" t="s">
        <v>9044</v>
      </c>
      <c r="J2826" s="30">
        <v>46239.0</v>
      </c>
      <c r="K2826" s="30" t="s">
        <v>9045</v>
      </c>
      <c r="L2826" s="30">
        <v>155.0</v>
      </c>
      <c r="M2826" s="30" t="s">
        <v>24</v>
      </c>
      <c r="N2826" s="30" t="s">
        <v>25</v>
      </c>
      <c r="O2826" s="31">
        <v>5.5E7</v>
      </c>
      <c r="P2826" s="10">
        <f t="shared" si="2"/>
        <v>0</v>
      </c>
      <c r="Q2826" s="12">
        <f t="shared" si="3"/>
        <v>16446167</v>
      </c>
      <c r="R2826" s="30">
        <v>1996.0</v>
      </c>
      <c r="S2826" s="30">
        <v>6.8</v>
      </c>
    </row>
    <row r="2827" ht="15.75" customHeight="1">
      <c r="A2827" s="21" t="s">
        <v>4997</v>
      </c>
      <c r="B2827" s="8" t="str">
        <f>IFERROR(__xludf.DUMMYFUNCTION("REGEXREPLACE(A2827, ""[^0-9a-zA-Z .'Ã]"","""")"),"Joel Coen")</f>
        <v>Joel Coen</v>
      </c>
      <c r="C2827" s="22">
        <v>197.0</v>
      </c>
      <c r="D2827" s="23">
        <v>4.5506619E7</v>
      </c>
      <c r="E2827" s="22" t="s">
        <v>9046</v>
      </c>
      <c r="F2827" s="9">
        <f t="shared" si="1"/>
        <v>4</v>
      </c>
      <c r="G2827" s="22" t="s">
        <v>2968</v>
      </c>
      <c r="H2827" s="11" t="str">
        <f>IFERROR(__xludf.DUMMYFUNCTION("REGEXREPLACE(G2827, ""[^0-9a-zA-Z .'Ã]"","""")"),"Holly Hunter")</f>
        <v>Holly Hunter</v>
      </c>
      <c r="I2827" s="24" t="s">
        <v>9047</v>
      </c>
      <c r="J2827" s="22">
        <v>225102.0</v>
      </c>
      <c r="K2827" s="22" t="s">
        <v>9048</v>
      </c>
      <c r="L2827" s="22">
        <v>862.0</v>
      </c>
      <c r="M2827" s="22" t="s">
        <v>24</v>
      </c>
      <c r="N2827" s="22" t="s">
        <v>130</v>
      </c>
      <c r="O2827" s="23">
        <v>2.6E7</v>
      </c>
      <c r="P2827" s="10">
        <f t="shared" si="2"/>
        <v>19506619</v>
      </c>
      <c r="Q2827" s="12">
        <f t="shared" si="3"/>
        <v>0</v>
      </c>
      <c r="R2827" s="22">
        <v>2000.0</v>
      </c>
      <c r="S2827" s="22">
        <v>7.8</v>
      </c>
    </row>
    <row r="2828" ht="15.75" customHeight="1">
      <c r="A2828" s="7" t="s">
        <v>9049</v>
      </c>
      <c r="B2828" s="8" t="str">
        <f>IFERROR(__xludf.DUMMYFUNCTION("REGEXREPLACE(A2828, ""[^0-9a-zA-Z .'Ã]"","""")"),"Ronan Chapalain")</f>
        <v>Ronan Chapalain</v>
      </c>
      <c r="C2828" s="9">
        <v>7.0</v>
      </c>
      <c r="D2828" s="10">
        <v>4074023.0</v>
      </c>
      <c r="E2828" s="9" t="s">
        <v>251</v>
      </c>
      <c r="F2828" s="9">
        <f t="shared" si="1"/>
        <v>1</v>
      </c>
      <c r="G2828" s="9" t="s">
        <v>9050</v>
      </c>
      <c r="H2828" s="11" t="str">
        <f>IFERROR(__xludf.DUMMYFUNCTION("REGEXREPLACE(G2828, ""[^0-9a-zA-Z .'Ã]"","""")"),"Norbert Ferrer")</f>
        <v>Norbert Ferrer</v>
      </c>
      <c r="I2828" s="11" t="s">
        <v>9051</v>
      </c>
      <c r="J2828" s="9">
        <v>296.0</v>
      </c>
      <c r="K2828" s="9" t="s">
        <v>9052</v>
      </c>
      <c r="L2828" s="9">
        <v>4.0</v>
      </c>
      <c r="M2828" s="9" t="s">
        <v>24</v>
      </c>
      <c r="N2828" s="9" t="s">
        <v>130</v>
      </c>
      <c r="O2828" s="10">
        <v>5000000.0</v>
      </c>
      <c r="P2828" s="10">
        <f t="shared" si="2"/>
        <v>0</v>
      </c>
      <c r="Q2828" s="12">
        <f t="shared" si="3"/>
        <v>925977</v>
      </c>
      <c r="R2828" s="9">
        <v>2010.0</v>
      </c>
      <c r="S2828" s="9">
        <v>6.9</v>
      </c>
    </row>
    <row r="2829" ht="15.75" customHeight="1">
      <c r="A2829" s="7" t="s">
        <v>9053</v>
      </c>
      <c r="B2829" s="8" t="str">
        <f>IFERROR(__xludf.DUMMYFUNCTION("REGEXREPLACE(A2829, ""[^0-9a-zA-Z .'Ã]"","""")"),"Paul Weiland")</f>
        <v>Paul Weiland</v>
      </c>
      <c r="C2829" s="9">
        <v>128.0</v>
      </c>
      <c r="D2829" s="10">
        <v>4.6012734E7</v>
      </c>
      <c r="E2829" s="9" t="s">
        <v>89</v>
      </c>
      <c r="F2829" s="9">
        <f t="shared" si="1"/>
        <v>2</v>
      </c>
      <c r="G2829" s="9" t="s">
        <v>4572</v>
      </c>
      <c r="H2829" s="11" t="str">
        <f>IFERROR(__xludf.DUMMYFUNCTION("REGEXREPLACE(G2829, ""[^0-9a-zA-Z .'Ã]"","""")"),"Busy Philipps")</f>
        <v>Busy Philipps</v>
      </c>
      <c r="I2829" s="11" t="s">
        <v>9054</v>
      </c>
      <c r="J2829" s="9">
        <v>54421.0</v>
      </c>
      <c r="K2829" s="9" t="s">
        <v>9055</v>
      </c>
      <c r="L2829" s="9">
        <v>101.0</v>
      </c>
      <c r="M2829" s="9" t="s">
        <v>24</v>
      </c>
      <c r="N2829" s="9" t="s">
        <v>25</v>
      </c>
      <c r="O2829" s="10">
        <v>4.0E7</v>
      </c>
      <c r="P2829" s="10">
        <f t="shared" si="2"/>
        <v>6012734</v>
      </c>
      <c r="Q2829" s="12">
        <f t="shared" si="3"/>
        <v>0</v>
      </c>
      <c r="R2829" s="9">
        <v>2008.0</v>
      </c>
      <c r="S2829" s="9">
        <v>5.8</v>
      </c>
    </row>
    <row r="2830" ht="15.75" customHeight="1">
      <c r="A2830" s="21" t="s">
        <v>3988</v>
      </c>
      <c r="B2830" s="8" t="str">
        <f>IFERROR(__xludf.DUMMYFUNCTION("REGEXREPLACE(A2830, ""[^0-9a-zA-Z .'Ã]"","""")"),"Rob Reiner")</f>
        <v>Rob Reiner</v>
      </c>
      <c r="C2830" s="22">
        <v>87.0</v>
      </c>
      <c r="D2830" s="23">
        <v>1752214.0</v>
      </c>
      <c r="E2830" s="22" t="s">
        <v>159</v>
      </c>
      <c r="F2830" s="9">
        <f t="shared" si="1"/>
        <v>3</v>
      </c>
      <c r="G2830" s="22" t="s">
        <v>515</v>
      </c>
      <c r="H2830" s="11" t="str">
        <f>IFERROR(__xludf.DUMMYFUNCTION("REGEXREPLACE(G2830, ""[^0-9a-zA-Z .'Ã]"","""")"),"Madeline Carroll")</f>
        <v>Madeline Carroll</v>
      </c>
      <c r="I2830" s="24" t="s">
        <v>9056</v>
      </c>
      <c r="J2830" s="22">
        <v>60460.0</v>
      </c>
      <c r="K2830" s="22" t="s">
        <v>9057</v>
      </c>
      <c r="L2830" s="22">
        <v>104.0</v>
      </c>
      <c r="M2830" s="22" t="s">
        <v>24</v>
      </c>
      <c r="N2830" s="22" t="s">
        <v>25</v>
      </c>
      <c r="O2830" s="23">
        <v>1.4E7</v>
      </c>
      <c r="P2830" s="10">
        <f t="shared" si="2"/>
        <v>0</v>
      </c>
      <c r="Q2830" s="12">
        <f t="shared" si="3"/>
        <v>12247786</v>
      </c>
      <c r="R2830" s="22">
        <v>2010.0</v>
      </c>
      <c r="S2830" s="22">
        <v>7.7</v>
      </c>
    </row>
    <row r="2831" ht="15.75" customHeight="1">
      <c r="A2831" s="29" t="s">
        <v>163</v>
      </c>
      <c r="B2831" s="8" t="str">
        <f>IFERROR(__xludf.DUMMYFUNCTION("REGEXREPLACE(A2831, ""[^0-9a-zA-Z .'Ã]"","""")"),"F. Gary Gray")</f>
        <v>F. Gary Gray</v>
      </c>
      <c r="C2831" s="30">
        <v>155.0</v>
      </c>
      <c r="D2831" s="31">
        <v>1.06126012E8</v>
      </c>
      <c r="E2831" s="30" t="s">
        <v>152</v>
      </c>
      <c r="F2831" s="9">
        <f t="shared" si="1"/>
        <v>3</v>
      </c>
      <c r="G2831" s="30" t="s">
        <v>815</v>
      </c>
      <c r="H2831" s="11" t="str">
        <f>IFERROR(__xludf.DUMMYFUNCTION("REGEXREPLACE(G2831, ""[^0-9a-zA-Z .'Ã]"","""")"),"Jason Statham")</f>
        <v>Jason Statham</v>
      </c>
      <c r="I2831" s="32" t="s">
        <v>9058</v>
      </c>
      <c r="J2831" s="30">
        <v>285623.0</v>
      </c>
      <c r="K2831" s="30" t="s">
        <v>9059</v>
      </c>
      <c r="L2831" s="30">
        <v>497.0</v>
      </c>
      <c r="M2831" s="30" t="s">
        <v>24</v>
      </c>
      <c r="N2831" s="30" t="s">
        <v>25</v>
      </c>
      <c r="O2831" s="31">
        <v>6.0E7</v>
      </c>
      <c r="P2831" s="10">
        <f t="shared" si="2"/>
        <v>46126012</v>
      </c>
      <c r="Q2831" s="12">
        <f t="shared" si="3"/>
        <v>0</v>
      </c>
      <c r="R2831" s="30">
        <v>2003.0</v>
      </c>
      <c r="S2831" s="30">
        <v>7.0</v>
      </c>
    </row>
    <row r="2832" ht="15.75" customHeight="1">
      <c r="A2832" s="17" t="s">
        <v>9060</v>
      </c>
      <c r="B2832" s="8" t="str">
        <f>IFERROR(__xludf.DUMMYFUNCTION("REGEXREPLACE(A2832, ""[^0-9a-zA-Z .'Ã]"","""")"),"Molly Bernstein")</f>
        <v>Molly Bernstein</v>
      </c>
      <c r="C2832" s="18">
        <v>39.0</v>
      </c>
      <c r="D2832" s="19">
        <v>151389.0</v>
      </c>
      <c r="E2832" s="18" t="s">
        <v>251</v>
      </c>
      <c r="F2832" s="9">
        <f t="shared" si="1"/>
        <v>1</v>
      </c>
      <c r="G2832" s="18" t="s">
        <v>2984</v>
      </c>
      <c r="H2832" s="11" t="str">
        <f>IFERROR(__xludf.DUMMYFUNCTION("REGEXREPLACE(G2832, ""[^0-9a-zA-Z .'Ã]"","""")"),"David Mamet")</f>
        <v>David Mamet</v>
      </c>
      <c r="I2832" s="20" t="s">
        <v>9061</v>
      </c>
      <c r="J2832" s="18">
        <v>774.0</v>
      </c>
      <c r="K2832" s="18" t="s">
        <v>9062</v>
      </c>
      <c r="L2832" s="18">
        <v>7.0</v>
      </c>
      <c r="M2832" s="18" t="s">
        <v>24</v>
      </c>
      <c r="N2832" s="18" t="s">
        <v>25</v>
      </c>
      <c r="O2832" s="19">
        <v>500000.0</v>
      </c>
      <c r="P2832" s="10">
        <f t="shared" si="2"/>
        <v>0</v>
      </c>
      <c r="Q2832" s="12">
        <f t="shared" si="3"/>
        <v>348611</v>
      </c>
      <c r="R2832" s="18">
        <v>2012.0</v>
      </c>
      <c r="S2832" s="18">
        <v>7.1</v>
      </c>
    </row>
    <row r="2833" ht="15.75" customHeight="1">
      <c r="A2833" s="7" t="s">
        <v>4516</v>
      </c>
      <c r="B2833" s="8" t="str">
        <f>IFERROR(__xludf.DUMMYFUNCTION("REGEXREPLACE(A2833, ""[^0-9a-zA-Z .'Ã]"","""")"),"George Miller")</f>
        <v>George Miller</v>
      </c>
      <c r="C2833" s="9">
        <v>156.0</v>
      </c>
      <c r="D2833" s="10">
        <v>6.3992328E7</v>
      </c>
      <c r="E2833" s="9" t="s">
        <v>9063</v>
      </c>
      <c r="F2833" s="9">
        <f t="shared" si="1"/>
        <v>4</v>
      </c>
      <c r="G2833" s="9" t="s">
        <v>673</v>
      </c>
      <c r="H2833" s="11" t="str">
        <f>IFERROR(__xludf.DUMMYFUNCTION("REGEXREPLACE(G2833, ""[^0-9a-zA-Z .'Ã]"","""")"),"Robin Williams")</f>
        <v>Robin Williams</v>
      </c>
      <c r="I2833" s="11" t="s">
        <v>9064</v>
      </c>
      <c r="J2833" s="9">
        <v>32399.0</v>
      </c>
      <c r="K2833" s="9" t="s">
        <v>9065</v>
      </c>
      <c r="L2833" s="9">
        <v>79.0</v>
      </c>
      <c r="M2833" s="9" t="s">
        <v>24</v>
      </c>
      <c r="N2833" s="9" t="s">
        <v>146</v>
      </c>
      <c r="O2833" s="10">
        <v>1.35E8</v>
      </c>
      <c r="P2833" s="10">
        <f t="shared" si="2"/>
        <v>0</v>
      </c>
      <c r="Q2833" s="12">
        <f t="shared" si="3"/>
        <v>71007672</v>
      </c>
      <c r="R2833" s="9">
        <v>2011.0</v>
      </c>
      <c r="S2833" s="9">
        <v>5.9</v>
      </c>
    </row>
    <row r="2834" ht="15.75" customHeight="1">
      <c r="A2834" s="7" t="s">
        <v>4105</v>
      </c>
      <c r="B2834" s="8" t="str">
        <f>IFERROR(__xludf.DUMMYFUNCTION("REGEXREPLACE(A2834, ""[^0-9a-zA-Z .'Ã]"","""")"),"Dominic Sena")</f>
        <v>Dominic Sena</v>
      </c>
      <c r="C2834" s="9">
        <v>175.0</v>
      </c>
      <c r="D2834" s="10">
        <v>1.01643008E8</v>
      </c>
      <c r="E2834" s="9" t="s">
        <v>152</v>
      </c>
      <c r="F2834" s="9">
        <f t="shared" si="1"/>
        <v>3</v>
      </c>
      <c r="G2834" s="9" t="s">
        <v>458</v>
      </c>
      <c r="H2834" s="11" t="str">
        <f>IFERROR(__xludf.DUMMYFUNCTION("REGEXREPLACE(G2834, ""[^0-9a-zA-Z .'Ã]"","""")"),"Nicolas Cage")</f>
        <v>Nicolas Cage</v>
      </c>
      <c r="I2834" s="11" t="s">
        <v>9066</v>
      </c>
      <c r="J2834" s="9">
        <v>218341.0</v>
      </c>
      <c r="K2834" s="9" t="s">
        <v>9067</v>
      </c>
      <c r="L2834" s="9">
        <v>498.0</v>
      </c>
      <c r="M2834" s="9" t="s">
        <v>24</v>
      </c>
      <c r="N2834" s="9" t="s">
        <v>25</v>
      </c>
      <c r="O2834" s="10">
        <v>9.0E7</v>
      </c>
      <c r="P2834" s="10">
        <f t="shared" si="2"/>
        <v>11643008</v>
      </c>
      <c r="Q2834" s="12">
        <f t="shared" si="3"/>
        <v>0</v>
      </c>
      <c r="R2834" s="9">
        <v>2000.0</v>
      </c>
      <c r="S2834" s="9">
        <v>6.5</v>
      </c>
    </row>
    <row r="2835" ht="15.75" customHeight="1">
      <c r="A2835" s="7" t="s">
        <v>2490</v>
      </c>
      <c r="B2835" s="8" t="str">
        <f>IFERROR(__xludf.DUMMYFUNCTION("REGEXREPLACE(A2835, ""[^0-9a-zA-Z .'Ã]"","""")"),"David Frankel")</f>
        <v>David Frankel</v>
      </c>
      <c r="C2835" s="9">
        <v>108.0</v>
      </c>
      <c r="D2835" s="10">
        <v>7204138.0</v>
      </c>
      <c r="E2835" s="9" t="s">
        <v>137</v>
      </c>
      <c r="F2835" s="9">
        <f t="shared" si="1"/>
        <v>1</v>
      </c>
      <c r="G2835" s="9" t="s">
        <v>9068</v>
      </c>
      <c r="H2835" s="11" t="str">
        <f>IFERROR(__xludf.DUMMYFUNCTION("REGEXREPLACE(G2835, ""[^0-9a-zA-Z .'Ã]"","""")"),"Joel McHale")</f>
        <v>Joel McHale</v>
      </c>
      <c r="I2835" s="11" t="s">
        <v>9069</v>
      </c>
      <c r="J2835" s="9">
        <v>34809.0</v>
      </c>
      <c r="K2835" s="9" t="s">
        <v>9070</v>
      </c>
      <c r="L2835" s="9">
        <v>125.0</v>
      </c>
      <c r="M2835" s="9" t="s">
        <v>24</v>
      </c>
      <c r="N2835" s="9" t="s">
        <v>25</v>
      </c>
      <c r="O2835" s="10">
        <v>4.1E7</v>
      </c>
      <c r="P2835" s="10">
        <f t="shared" si="2"/>
        <v>0</v>
      </c>
      <c r="Q2835" s="12">
        <f t="shared" si="3"/>
        <v>33795862</v>
      </c>
      <c r="R2835" s="9">
        <v>2011.0</v>
      </c>
      <c r="S2835" s="9">
        <v>6.2</v>
      </c>
    </row>
    <row r="2836" ht="15.75" customHeight="1">
      <c r="A2836" s="21" t="s">
        <v>3522</v>
      </c>
      <c r="B2836" s="8" t="str">
        <f>IFERROR(__xludf.DUMMYFUNCTION("REGEXREPLACE(A2836, ""[^0-9a-zA-Z .'Ã]"","""")"),"Peter Hyams")</f>
        <v>Peter Hyams</v>
      </c>
      <c r="C2836" s="22">
        <v>95.0</v>
      </c>
      <c r="D2836" s="23">
        <v>3.3927476E7</v>
      </c>
      <c r="E2836" s="22" t="s">
        <v>1907</v>
      </c>
      <c r="F2836" s="9">
        <f t="shared" si="1"/>
        <v>4</v>
      </c>
      <c r="G2836" s="22" t="s">
        <v>9071</v>
      </c>
      <c r="H2836" s="11" t="str">
        <f>IFERROR(__xludf.DUMMYFUNCTION("REGEXREPLACE(G2836, ""[^0-9a-zA-Z .'Ã]"","""")"),"John Kapelos")</f>
        <v>John Kapelos</v>
      </c>
      <c r="I2836" s="24" t="s">
        <v>9072</v>
      </c>
      <c r="J2836" s="22">
        <v>19176.0</v>
      </c>
      <c r="K2836" s="22" t="s">
        <v>9073</v>
      </c>
      <c r="L2836" s="22">
        <v>165.0</v>
      </c>
      <c r="M2836" s="22" t="s">
        <v>24</v>
      </c>
      <c r="N2836" s="22" t="s">
        <v>130</v>
      </c>
      <c r="O2836" s="23">
        <v>4.0E7</v>
      </c>
      <c r="P2836" s="10">
        <f t="shared" si="2"/>
        <v>0</v>
      </c>
      <c r="Q2836" s="12">
        <f t="shared" si="3"/>
        <v>6072524</v>
      </c>
      <c r="R2836" s="22">
        <v>1997.0</v>
      </c>
      <c r="S2836" s="22">
        <v>5.7</v>
      </c>
    </row>
    <row r="2837" ht="15.75" customHeight="1">
      <c r="A2837" s="7" t="s">
        <v>2535</v>
      </c>
      <c r="B2837" s="8" t="str">
        <f>IFERROR(__xludf.DUMMYFUNCTION("REGEXREPLACE(A2837, ""[^0-9a-zA-Z .'Ã]"","""")"),"Ivan Reitman")</f>
        <v>Ivan Reitman</v>
      </c>
      <c r="C2837" s="9">
        <v>27.0</v>
      </c>
      <c r="D2837" s="10">
        <v>1.119364E8</v>
      </c>
      <c r="E2837" s="9" t="s">
        <v>440</v>
      </c>
      <c r="F2837" s="9">
        <f t="shared" si="1"/>
        <v>2</v>
      </c>
      <c r="G2837" s="9" t="s">
        <v>6200</v>
      </c>
      <c r="H2837" s="11" t="str">
        <f>IFERROR(__xludf.DUMMYFUNCTION("REGEXREPLACE(G2837, ""[^0-9a-zA-Z .'Ã]"","""")"),"Kelly Preston")</f>
        <v>Kelly Preston</v>
      </c>
      <c r="I2837" s="11" t="s">
        <v>9074</v>
      </c>
      <c r="J2837" s="9">
        <v>87538.0</v>
      </c>
      <c r="K2837" s="9" t="s">
        <v>9075</v>
      </c>
      <c r="L2837" s="9">
        <v>79.0</v>
      </c>
      <c r="M2837" s="9" t="s">
        <v>24</v>
      </c>
      <c r="N2837" s="9" t="s">
        <v>25</v>
      </c>
      <c r="O2837" s="10">
        <v>1.5E7</v>
      </c>
      <c r="P2837" s="10">
        <f t="shared" si="2"/>
        <v>96936400</v>
      </c>
      <c r="Q2837" s="12">
        <f t="shared" si="3"/>
        <v>0</v>
      </c>
      <c r="R2837" s="9">
        <v>1988.0</v>
      </c>
      <c r="S2837" s="9">
        <v>6.0</v>
      </c>
    </row>
    <row r="2838" ht="15.75" customHeight="1">
      <c r="A2838" s="7" t="s">
        <v>614</v>
      </c>
      <c r="B2838" s="8" t="str">
        <f>IFERROR(__xludf.DUMMYFUNCTION("REGEXREPLACE(A2838, ""[^0-9a-zA-Z .'Ã]"","""")"),"Steven Brill")</f>
        <v>Steven Brill</v>
      </c>
      <c r="C2838" s="9">
        <v>146.0</v>
      </c>
      <c r="D2838" s="10">
        <v>3.285364E7</v>
      </c>
      <c r="E2838" s="9" t="s">
        <v>454</v>
      </c>
      <c r="F2838" s="9">
        <f t="shared" si="1"/>
        <v>2</v>
      </c>
      <c r="G2838" s="9" t="s">
        <v>9038</v>
      </c>
      <c r="H2838" s="11" t="str">
        <f>IFERROR(__xludf.DUMMYFUNCTION("REGEXREPLACE(G2838, ""[^0-9a-zA-Z .'Ã]"","""")"),"Lisa Ann Walter")</f>
        <v>Lisa Ann Walter</v>
      </c>
      <c r="I2838" s="11" t="s">
        <v>9076</v>
      </c>
      <c r="J2838" s="9">
        <v>50199.0</v>
      </c>
      <c r="K2838" s="9" t="s">
        <v>9077</v>
      </c>
      <c r="L2838" s="9">
        <v>101.0</v>
      </c>
      <c r="M2838" s="9" t="s">
        <v>24</v>
      </c>
      <c r="N2838" s="9" t="s">
        <v>25</v>
      </c>
      <c r="O2838" s="10">
        <v>4.0E7</v>
      </c>
      <c r="P2838" s="10">
        <f t="shared" si="2"/>
        <v>0</v>
      </c>
      <c r="Q2838" s="12">
        <f t="shared" si="3"/>
        <v>7146360</v>
      </c>
      <c r="R2838" s="9">
        <v>2008.0</v>
      </c>
      <c r="S2838" s="9">
        <v>5.7</v>
      </c>
    </row>
    <row r="2839" ht="15.75" customHeight="1">
      <c r="A2839" s="17" t="s">
        <v>9078</v>
      </c>
      <c r="B2839" s="8" t="str">
        <f>IFERROR(__xludf.DUMMYFUNCTION("REGEXREPLACE(A2839, ""[^0-9a-zA-Z .'Ã]"","""")"),"John 'Bud' Cardos")</f>
        <v>John 'Bud' Cardos</v>
      </c>
      <c r="C2839" s="18">
        <v>95.0</v>
      </c>
      <c r="D2839" s="19">
        <v>1.7E7</v>
      </c>
      <c r="E2839" s="18" t="s">
        <v>1321</v>
      </c>
      <c r="F2839" s="9">
        <f t="shared" si="1"/>
        <v>2</v>
      </c>
      <c r="G2839" s="18" t="s">
        <v>9079</v>
      </c>
      <c r="H2839" s="11" t="str">
        <f>IFERROR(__xludf.DUMMYFUNCTION("REGEXREPLACE(G2839, ""[^0-9a-zA-Z .'Ã]"","""")"),"Woody Strode")</f>
        <v>Woody Strode</v>
      </c>
      <c r="I2839" s="20" t="s">
        <v>9080</v>
      </c>
      <c r="J2839" s="18">
        <v>3274.0</v>
      </c>
      <c r="K2839" s="18" t="s">
        <v>9081</v>
      </c>
      <c r="L2839" s="18">
        <v>84.0</v>
      </c>
      <c r="M2839" s="18" t="s">
        <v>24</v>
      </c>
      <c r="N2839" s="18" t="s">
        <v>25</v>
      </c>
      <c r="O2839" s="19">
        <v>500000.0</v>
      </c>
      <c r="P2839" s="10">
        <f t="shared" si="2"/>
        <v>16500000</v>
      </c>
      <c r="Q2839" s="12">
        <f t="shared" si="3"/>
        <v>0</v>
      </c>
      <c r="R2839" s="18">
        <v>1977.0</v>
      </c>
      <c r="S2839" s="18">
        <v>5.9</v>
      </c>
    </row>
    <row r="2840" ht="15.75" customHeight="1">
      <c r="A2840" s="25" t="s">
        <v>9082</v>
      </c>
      <c r="B2840" s="8" t="str">
        <f>IFERROR(__xludf.DUMMYFUNCTION("REGEXREPLACE(A2840, ""[^0-9a-zA-Z .'Ã]"","""")"),"Victor Nunez")</f>
        <v>Victor Nunez</v>
      </c>
      <c r="C2840" s="26">
        <v>61.0</v>
      </c>
      <c r="D2840" s="27">
        <v>9054736.0</v>
      </c>
      <c r="E2840" s="26" t="s">
        <v>103</v>
      </c>
      <c r="F2840" s="9">
        <f t="shared" si="1"/>
        <v>1</v>
      </c>
      <c r="G2840" s="26" t="s">
        <v>704</v>
      </c>
      <c r="H2840" s="11" t="str">
        <f>IFERROR(__xludf.DUMMYFUNCTION("REGEXREPLACE(G2840, ""[^0-9a-zA-Z .'Ã]"","""")"),"Peter Fonda")</f>
        <v>Peter Fonda</v>
      </c>
      <c r="I2840" s="28" t="s">
        <v>9083</v>
      </c>
      <c r="J2840" s="26">
        <v>5744.0</v>
      </c>
      <c r="K2840" s="26" t="s">
        <v>9084</v>
      </c>
      <c r="L2840" s="26">
        <v>57.0</v>
      </c>
      <c r="M2840" s="26" t="s">
        <v>24</v>
      </c>
      <c r="N2840" s="26" t="s">
        <v>25</v>
      </c>
      <c r="O2840" s="27">
        <v>2700000.0</v>
      </c>
      <c r="P2840" s="10">
        <f t="shared" si="2"/>
        <v>6354736</v>
      </c>
      <c r="Q2840" s="12">
        <f t="shared" si="3"/>
        <v>0</v>
      </c>
      <c r="R2840" s="26">
        <v>1997.0</v>
      </c>
      <c r="S2840" s="26">
        <v>7.1</v>
      </c>
    </row>
    <row r="2841" ht="15.75" customHeight="1">
      <c r="A2841" s="17" t="s">
        <v>752</v>
      </c>
      <c r="B2841" s="8" t="str">
        <f>IFERROR(__xludf.DUMMYFUNCTION("REGEXREPLACE(A2841, ""[^0-9a-zA-Z .'Ã]"","""")"),"Mike Nichols")</f>
        <v>Mike Nichols</v>
      </c>
      <c r="C2841" s="18">
        <v>212.0</v>
      </c>
      <c r="D2841" s="19">
        <v>3.3987757E7</v>
      </c>
      <c r="E2841" s="18" t="s">
        <v>232</v>
      </c>
      <c r="F2841" s="9">
        <f t="shared" si="1"/>
        <v>2</v>
      </c>
      <c r="G2841" s="18" t="s">
        <v>1088</v>
      </c>
      <c r="H2841" s="11" t="str">
        <f>IFERROR(__xludf.DUMMYFUNCTION("REGEXREPLACE(G2841, ""[^0-9a-zA-Z .'Ã]"","""")"),"Natalie Portman")</f>
        <v>Natalie Portman</v>
      </c>
      <c r="I2841" s="20" t="s">
        <v>9085</v>
      </c>
      <c r="J2841" s="18">
        <v>168314.0</v>
      </c>
      <c r="K2841" s="18" t="s">
        <v>9086</v>
      </c>
      <c r="L2841" s="18">
        <v>903.0</v>
      </c>
      <c r="M2841" s="18" t="s">
        <v>24</v>
      </c>
      <c r="N2841" s="18" t="s">
        <v>25</v>
      </c>
      <c r="O2841" s="19">
        <v>2.7E7</v>
      </c>
      <c r="P2841" s="10">
        <f t="shared" si="2"/>
        <v>6987757</v>
      </c>
      <c r="Q2841" s="12">
        <f t="shared" si="3"/>
        <v>0</v>
      </c>
      <c r="R2841" s="18">
        <v>2004.0</v>
      </c>
      <c r="S2841" s="18">
        <v>7.3</v>
      </c>
    </row>
    <row r="2842" ht="15.75" customHeight="1">
      <c r="A2842" s="17" t="s">
        <v>9087</v>
      </c>
      <c r="B2842" s="8" t="str">
        <f>IFERROR(__xludf.DUMMYFUNCTION("REGEXREPLACE(A2842, ""[^0-9a-zA-Z .'Ã]"","""")"),"Steve Box")</f>
        <v>Steve Box</v>
      </c>
      <c r="C2842" s="18">
        <v>209.0</v>
      </c>
      <c r="D2842" s="19">
        <v>5.6068547E7</v>
      </c>
      <c r="E2842" s="18" t="s">
        <v>3225</v>
      </c>
      <c r="F2842" s="9">
        <f t="shared" si="1"/>
        <v>5</v>
      </c>
      <c r="G2842" s="18" t="s">
        <v>1056</v>
      </c>
      <c r="H2842" s="11" t="str">
        <f>IFERROR(__xludf.DUMMYFUNCTION("REGEXREPLACE(G2842, ""[^0-9a-zA-Z .'Ã]"","""")"),"Mark Gatiss")</f>
        <v>Mark Gatiss</v>
      </c>
      <c r="I2842" s="20" t="s">
        <v>9088</v>
      </c>
      <c r="J2842" s="18">
        <v>98160.0</v>
      </c>
      <c r="K2842" s="18" t="s">
        <v>9089</v>
      </c>
      <c r="L2842" s="18">
        <v>307.0</v>
      </c>
      <c r="M2842" s="18" t="s">
        <v>24</v>
      </c>
      <c r="N2842" s="18" t="s">
        <v>130</v>
      </c>
      <c r="O2842" s="19">
        <v>3.0E7</v>
      </c>
      <c r="P2842" s="10">
        <f t="shared" si="2"/>
        <v>26068547</v>
      </c>
      <c r="Q2842" s="12">
        <f t="shared" si="3"/>
        <v>0</v>
      </c>
      <c r="R2842" s="18">
        <v>2005.0</v>
      </c>
      <c r="S2842" s="18">
        <v>7.5</v>
      </c>
    </row>
    <row r="2843" ht="15.75" customHeight="1">
      <c r="A2843" s="25" t="s">
        <v>1425</v>
      </c>
      <c r="B2843" s="8" t="str">
        <f>IFERROR(__xludf.DUMMYFUNCTION("REGEXREPLACE(A2843, ""[^0-9a-zA-Z .'Ã]"","""")"),"David Fincher")</f>
        <v>David Fincher</v>
      </c>
      <c r="C2843" s="26">
        <v>568.0</v>
      </c>
      <c r="D2843" s="27">
        <v>1.67735396E8</v>
      </c>
      <c r="E2843" s="26" t="s">
        <v>435</v>
      </c>
      <c r="F2843" s="9">
        <f t="shared" si="1"/>
        <v>4</v>
      </c>
      <c r="G2843" s="26" t="s">
        <v>7888</v>
      </c>
      <c r="H2843" s="11" t="str">
        <f>IFERROR(__xludf.DUMMYFUNCTION("REGEXREPLACE(G2843, ""[^0-9a-zA-Z .'Ã]"","""")"),"Patrick Fugit")</f>
        <v>Patrick Fugit</v>
      </c>
      <c r="I2843" s="28" t="s">
        <v>9090</v>
      </c>
      <c r="J2843" s="26">
        <v>569841.0</v>
      </c>
      <c r="K2843" s="26" t="s">
        <v>9091</v>
      </c>
      <c r="L2843" s="26">
        <v>1127.0</v>
      </c>
      <c r="M2843" s="26" t="s">
        <v>24</v>
      </c>
      <c r="N2843" s="26" t="s">
        <v>25</v>
      </c>
      <c r="O2843" s="27">
        <v>6.1E7</v>
      </c>
      <c r="P2843" s="10">
        <f t="shared" si="2"/>
        <v>106735396</v>
      </c>
      <c r="Q2843" s="12">
        <f t="shared" si="3"/>
        <v>0</v>
      </c>
      <c r="R2843" s="26">
        <v>2014.0</v>
      </c>
      <c r="S2843" s="26">
        <v>8.1</v>
      </c>
    </row>
    <row r="2844" ht="15.75" customHeight="1">
      <c r="A2844" s="7" t="s">
        <v>335</v>
      </c>
      <c r="B2844" s="8" t="str">
        <f>IFERROR(__xludf.DUMMYFUNCTION("REGEXREPLACE(A2844, ""[^0-9a-zA-Z .'Ã]"","""")"),"George Clooney")</f>
        <v>George Clooney</v>
      </c>
      <c r="C2844" s="9">
        <v>186.0</v>
      </c>
      <c r="D2844" s="10">
        <v>3.1199215E7</v>
      </c>
      <c r="E2844" s="9" t="s">
        <v>1038</v>
      </c>
      <c r="F2844" s="9">
        <f t="shared" si="1"/>
        <v>4</v>
      </c>
      <c r="G2844" s="9" t="s">
        <v>9092</v>
      </c>
      <c r="H2844" s="11" t="str">
        <f>IFERROR(__xludf.DUMMYFUNCTION("REGEXREPLACE(G2844, ""[^0-9a-zA-Z .'Ã]"","""")"),"Robert Baker")</f>
        <v>Robert Baker</v>
      </c>
      <c r="I2844" s="11" t="s">
        <v>9093</v>
      </c>
      <c r="J2844" s="9">
        <v>27664.0</v>
      </c>
      <c r="K2844" s="9" t="s">
        <v>9094</v>
      </c>
      <c r="L2844" s="9">
        <v>120.0</v>
      </c>
      <c r="M2844" s="9" t="s">
        <v>24</v>
      </c>
      <c r="N2844" s="9" t="s">
        <v>25</v>
      </c>
      <c r="O2844" s="10">
        <v>5.8E7</v>
      </c>
      <c r="P2844" s="10">
        <f t="shared" si="2"/>
        <v>0</v>
      </c>
      <c r="Q2844" s="12">
        <f t="shared" si="3"/>
        <v>26800785</v>
      </c>
      <c r="R2844" s="9">
        <v>2008.0</v>
      </c>
      <c r="S2844" s="9">
        <v>6.0</v>
      </c>
    </row>
    <row r="2845" ht="15.75" customHeight="1">
      <c r="A2845" s="25" t="s">
        <v>9095</v>
      </c>
      <c r="B2845" s="8" t="str">
        <f>IFERROR(__xludf.DUMMYFUNCTION("REGEXREPLACE(A2845, ""[^0-9a-zA-Z .'Ã]"","""")"),"Walter Salles")</f>
        <v>Walter Salles</v>
      </c>
      <c r="C2845" s="26">
        <v>71.0</v>
      </c>
      <c r="D2845" s="27">
        <v>5595428.0</v>
      </c>
      <c r="E2845" s="26" t="s">
        <v>103</v>
      </c>
      <c r="F2845" s="9">
        <f t="shared" si="1"/>
        <v>1</v>
      </c>
      <c r="G2845" s="26" t="s">
        <v>9096</v>
      </c>
      <c r="H2845" s="11" t="str">
        <f>IFERROR(__xludf.DUMMYFUNCTION("REGEXREPLACE(G2845, ""[^0-9a-zA-Z .'Ã]"","""")"),"Fernanda Montenegro")</f>
        <v>Fernanda Montenegro</v>
      </c>
      <c r="I2845" s="28" t="s">
        <v>9097</v>
      </c>
      <c r="J2845" s="26">
        <v>28951.0</v>
      </c>
      <c r="K2845" s="26" t="s">
        <v>9098</v>
      </c>
      <c r="L2845" s="26">
        <v>257.0</v>
      </c>
      <c r="M2845" s="26" t="s">
        <v>2921</v>
      </c>
      <c r="N2845" s="26" t="s">
        <v>2922</v>
      </c>
      <c r="O2845" s="27">
        <v>2900000.0</v>
      </c>
      <c r="P2845" s="10">
        <f t="shared" si="2"/>
        <v>2695428</v>
      </c>
      <c r="Q2845" s="12">
        <f t="shared" si="3"/>
        <v>0</v>
      </c>
      <c r="R2845" s="26">
        <v>1998.0</v>
      </c>
      <c r="S2845" s="26">
        <v>8.0</v>
      </c>
    </row>
    <row r="2846" ht="15.75" customHeight="1">
      <c r="A2846" s="25" t="s">
        <v>9099</v>
      </c>
      <c r="B2846" s="8" t="str">
        <f>IFERROR(__xludf.DUMMYFUNCTION("REGEXREPLACE(A2846, ""[^0-9a-zA-Z .'Ã]"","""")"),"Jon Poll")</f>
        <v>Jon Poll</v>
      </c>
      <c r="C2846" s="26">
        <v>146.0</v>
      </c>
      <c r="D2846" s="27">
        <v>3950294.0</v>
      </c>
      <c r="E2846" s="26" t="s">
        <v>159</v>
      </c>
      <c r="F2846" s="9">
        <f t="shared" si="1"/>
        <v>3</v>
      </c>
      <c r="G2846" s="26" t="s">
        <v>327</v>
      </c>
      <c r="H2846" s="11" t="str">
        <f>IFERROR(__xludf.DUMMYFUNCTION("REGEXREPLACE(G2846, ""[^0-9a-zA-Z .'Ã]"","""")"),"Robert Downey Jr.")</f>
        <v>Robert Downey Jr.</v>
      </c>
      <c r="I2846" s="28" t="s">
        <v>9100</v>
      </c>
      <c r="J2846" s="26">
        <v>56654.0</v>
      </c>
      <c r="K2846" s="26" t="s">
        <v>9101</v>
      </c>
      <c r="L2846" s="26">
        <v>124.0</v>
      </c>
      <c r="M2846" s="26" t="s">
        <v>24</v>
      </c>
      <c r="N2846" s="26" t="s">
        <v>25</v>
      </c>
      <c r="O2846" s="27">
        <v>1.2E7</v>
      </c>
      <c r="P2846" s="10">
        <f t="shared" si="2"/>
        <v>0</v>
      </c>
      <c r="Q2846" s="12">
        <f t="shared" si="3"/>
        <v>8049706</v>
      </c>
      <c r="R2846" s="26">
        <v>2007.0</v>
      </c>
      <c r="S2846" s="26">
        <v>7.0</v>
      </c>
    </row>
    <row r="2847" ht="15.75" customHeight="1">
      <c r="A2847" s="7" t="s">
        <v>7953</v>
      </c>
      <c r="B2847" s="8" t="str">
        <f>IFERROR(__xludf.DUMMYFUNCTION("REGEXREPLACE(A2847, ""[^0-9a-zA-Z .'Ã]"","""")"),"Vadim Perelman")</f>
        <v>Vadim Perelman</v>
      </c>
      <c r="C2847" s="9">
        <v>78.0</v>
      </c>
      <c r="D2847" s="10">
        <v>303439.0</v>
      </c>
      <c r="E2847" s="9" t="s">
        <v>311</v>
      </c>
      <c r="F2847" s="9">
        <f t="shared" si="1"/>
        <v>3</v>
      </c>
      <c r="G2847" s="9" t="s">
        <v>9102</v>
      </c>
      <c r="H2847" s="11" t="str">
        <f>IFERROR(__xludf.DUMMYFUNCTION("REGEXREPLACE(G2847, ""[^0-9a-zA-Z .'Ã]"","""")"),"Eva Amurri Martino")</f>
        <v>Eva Amurri Martino</v>
      </c>
      <c r="I2847" s="11" t="s">
        <v>9103</v>
      </c>
      <c r="J2847" s="9">
        <v>12125.0</v>
      </c>
      <c r="K2847" s="9" t="s">
        <v>9104</v>
      </c>
      <c r="L2847" s="9">
        <v>78.0</v>
      </c>
      <c r="M2847" s="9" t="s">
        <v>24</v>
      </c>
      <c r="N2847" s="9" t="s">
        <v>25</v>
      </c>
      <c r="O2847" s="10">
        <v>8000000.0</v>
      </c>
      <c r="P2847" s="10">
        <f t="shared" si="2"/>
        <v>0</v>
      </c>
      <c r="Q2847" s="12">
        <f t="shared" si="3"/>
        <v>7696561</v>
      </c>
      <c r="R2847" s="9">
        <v>2007.0</v>
      </c>
      <c r="S2847" s="9">
        <v>6.4</v>
      </c>
    </row>
    <row r="2848" ht="15.75" customHeight="1">
      <c r="A2848" s="7" t="s">
        <v>3386</v>
      </c>
      <c r="B2848" s="8" t="str">
        <f>IFERROR(__xludf.DUMMYFUNCTION("REGEXREPLACE(A2848, ""[^0-9a-zA-Z .'Ã]"","""")"),"Andrew Niccol")</f>
        <v>Andrew Niccol</v>
      </c>
      <c r="C2848" s="9">
        <v>175.0</v>
      </c>
      <c r="D2848" s="10">
        <v>1.2339633E7</v>
      </c>
      <c r="E2848" s="9" t="s">
        <v>1231</v>
      </c>
      <c r="F2848" s="9">
        <f t="shared" si="1"/>
        <v>3</v>
      </c>
      <c r="G2848" s="9" t="s">
        <v>9105</v>
      </c>
      <c r="H2848" s="11" t="str">
        <f>IFERROR(__xludf.DUMMYFUNCTION("REGEXREPLACE(G2848, ""[^0-9a-zA-Z .'Ã]"","""")"),"Blair Underwood")</f>
        <v>Blair Underwood</v>
      </c>
      <c r="I2848" s="11" t="s">
        <v>9106</v>
      </c>
      <c r="J2848" s="9">
        <v>220591.0</v>
      </c>
      <c r="K2848" s="9" t="s">
        <v>9107</v>
      </c>
      <c r="L2848" s="9">
        <v>641.0</v>
      </c>
      <c r="M2848" s="9" t="s">
        <v>24</v>
      </c>
      <c r="N2848" s="9" t="s">
        <v>25</v>
      </c>
      <c r="O2848" s="10">
        <v>3.6E7</v>
      </c>
      <c r="P2848" s="10">
        <f t="shared" si="2"/>
        <v>0</v>
      </c>
      <c r="Q2848" s="12">
        <f t="shared" si="3"/>
        <v>23660367</v>
      </c>
      <c r="R2848" s="9">
        <v>1997.0</v>
      </c>
      <c r="S2848" s="9">
        <v>7.8</v>
      </c>
    </row>
    <row r="2849" ht="15.75" customHeight="1">
      <c r="A2849" s="25" t="s">
        <v>847</v>
      </c>
      <c r="B2849" s="8" t="str">
        <f>IFERROR(__xludf.DUMMYFUNCTION("REGEXREPLACE(A2849, ""[^0-9a-zA-Z .'Ã]"","""")"),"Lana Wachowski")</f>
        <v>Lana Wachowski</v>
      </c>
      <c r="C2849" s="26">
        <v>384.0</v>
      </c>
      <c r="D2849" s="27">
        <v>4.7375327E7</v>
      </c>
      <c r="E2849" s="26" t="s">
        <v>185</v>
      </c>
      <c r="F2849" s="9">
        <f t="shared" si="1"/>
        <v>3</v>
      </c>
      <c r="G2849" s="26" t="s">
        <v>176</v>
      </c>
      <c r="H2849" s="11" t="str">
        <f>IFERROR(__xludf.DUMMYFUNCTION("REGEXREPLACE(G2849, ""[^0-9a-zA-Z .'Ã]"","""")"),"Channing Tatum")</f>
        <v>Channing Tatum</v>
      </c>
      <c r="I2849" s="28" t="s">
        <v>9108</v>
      </c>
      <c r="J2849" s="26">
        <v>139593.0</v>
      </c>
      <c r="K2849" s="26" t="s">
        <v>9109</v>
      </c>
      <c r="L2849" s="26">
        <v>720.0</v>
      </c>
      <c r="M2849" s="26" t="s">
        <v>24</v>
      </c>
      <c r="N2849" s="26" t="s">
        <v>25</v>
      </c>
      <c r="O2849" s="27">
        <v>1.76E8</v>
      </c>
      <c r="P2849" s="10">
        <f t="shared" si="2"/>
        <v>0</v>
      </c>
      <c r="Q2849" s="12">
        <f t="shared" si="3"/>
        <v>128624673</v>
      </c>
      <c r="R2849" s="26">
        <v>2015.0</v>
      </c>
      <c r="S2849" s="26">
        <v>5.4</v>
      </c>
    </row>
    <row r="2850" ht="15.75" customHeight="1">
      <c r="A2850" s="17" t="s">
        <v>3538</v>
      </c>
      <c r="B2850" s="8" t="str">
        <f>IFERROR(__xludf.DUMMYFUNCTION("REGEXREPLACE(A2850, ""[^0-9a-zA-Z .'Ã]"","""")"),"Anand Tucker")</f>
        <v>Anand Tucker</v>
      </c>
      <c r="C2850" s="18">
        <v>134.0</v>
      </c>
      <c r="D2850" s="19">
        <v>12561.0</v>
      </c>
      <c r="E2850" s="18" t="s">
        <v>89</v>
      </c>
      <c r="F2850" s="9">
        <f t="shared" si="1"/>
        <v>2</v>
      </c>
      <c r="G2850" s="18" t="s">
        <v>2667</v>
      </c>
      <c r="H2850" s="11" t="str">
        <f>IFERROR(__xludf.DUMMYFUNCTION("REGEXREPLACE(G2850, ""[^0-9a-zA-Z .'Ã]"","""")"),"Adam Scott")</f>
        <v>Adam Scott</v>
      </c>
      <c r="I2850" s="20" t="s">
        <v>9110</v>
      </c>
      <c r="J2850" s="18">
        <v>71276.0</v>
      </c>
      <c r="K2850" s="18" t="s">
        <v>9111</v>
      </c>
      <c r="L2850" s="18">
        <v>181.0</v>
      </c>
      <c r="M2850" s="18" t="s">
        <v>24</v>
      </c>
      <c r="N2850" s="18" t="s">
        <v>25</v>
      </c>
      <c r="O2850" s="19">
        <v>1.9E7</v>
      </c>
      <c r="P2850" s="10">
        <f t="shared" si="2"/>
        <v>0</v>
      </c>
      <c r="Q2850" s="12">
        <f t="shared" si="3"/>
        <v>18987439</v>
      </c>
      <c r="R2850" s="18">
        <v>2010.0</v>
      </c>
      <c r="S2850" s="18">
        <v>6.4</v>
      </c>
    </row>
    <row r="2851" ht="15.75" customHeight="1">
      <c r="A2851" s="7" t="s">
        <v>315</v>
      </c>
      <c r="B2851" s="8" t="str">
        <f>IFERROR(__xludf.DUMMYFUNCTION("REGEXREPLACE(A2851, ""[^0-9a-zA-Z .'Ã]"","""")"),"Steven Soderbergh")</f>
        <v>Steven Soderbergh</v>
      </c>
      <c r="C2851" s="9">
        <v>198.0</v>
      </c>
      <c r="D2851" s="10">
        <v>1.25531634E8</v>
      </c>
      <c r="E2851" s="9" t="s">
        <v>316</v>
      </c>
      <c r="F2851" s="9">
        <f t="shared" si="1"/>
        <v>2</v>
      </c>
      <c r="G2851" s="9" t="s">
        <v>1426</v>
      </c>
      <c r="H2851" s="11" t="str">
        <f>IFERROR(__xludf.DUMMYFUNCTION("REGEXREPLACE(G2851, ""[^0-9a-zA-Z .'Ã]"","""")"),"Brad Pitt")</f>
        <v>Brad Pitt</v>
      </c>
      <c r="I2851" s="11" t="s">
        <v>9112</v>
      </c>
      <c r="J2851" s="9">
        <v>284852.0</v>
      </c>
      <c r="K2851" s="9" t="s">
        <v>9113</v>
      </c>
      <c r="L2851" s="9">
        <v>627.0</v>
      </c>
      <c r="M2851" s="9" t="s">
        <v>24</v>
      </c>
      <c r="N2851" s="9" t="s">
        <v>25</v>
      </c>
      <c r="O2851" s="10">
        <v>1.1E8</v>
      </c>
      <c r="P2851" s="10">
        <f t="shared" si="2"/>
        <v>15531634</v>
      </c>
      <c r="Q2851" s="12">
        <f t="shared" si="3"/>
        <v>0</v>
      </c>
      <c r="R2851" s="9">
        <v>2004.0</v>
      </c>
      <c r="S2851" s="9">
        <v>6.4</v>
      </c>
    </row>
    <row r="2852" ht="15.75" customHeight="1">
      <c r="A2852" s="13" t="s">
        <v>5569</v>
      </c>
      <c r="B2852" s="8" t="str">
        <f>IFERROR(__xludf.DUMMYFUNCTION("REGEXREPLACE(A2852, ""[^0-9a-zA-Z .'Ã]"","""")"),"Ron Clements")</f>
        <v>Ron Clements</v>
      </c>
      <c r="C2852" s="14">
        <v>127.0</v>
      </c>
      <c r="D2852" s="15">
        <v>3.8120554E7</v>
      </c>
      <c r="E2852" s="14" t="s">
        <v>8249</v>
      </c>
      <c r="F2852" s="9">
        <f t="shared" si="1"/>
        <v>4</v>
      </c>
      <c r="G2852" s="14" t="s">
        <v>764</v>
      </c>
      <c r="H2852" s="11" t="str">
        <f>IFERROR(__xludf.DUMMYFUNCTION("REGEXREPLACE(G2852, ""[^0-9a-zA-Z .'Ã]"","""")"),"Joseph GordonLevitt")</f>
        <v>Joseph GordonLevitt</v>
      </c>
      <c r="I2852" s="16" t="s">
        <v>9114</v>
      </c>
      <c r="J2852" s="14">
        <v>71527.0</v>
      </c>
      <c r="K2852" s="14" t="s">
        <v>9115</v>
      </c>
      <c r="L2852" s="14">
        <v>217.0</v>
      </c>
      <c r="M2852" s="14" t="s">
        <v>24</v>
      </c>
      <c r="N2852" s="14" t="s">
        <v>25</v>
      </c>
      <c r="O2852" s="15">
        <v>1.4E8</v>
      </c>
      <c r="P2852" s="10">
        <f t="shared" si="2"/>
        <v>0</v>
      </c>
      <c r="Q2852" s="12">
        <f t="shared" si="3"/>
        <v>101879446</v>
      </c>
      <c r="R2852" s="14">
        <v>2002.0</v>
      </c>
      <c r="S2852" s="14">
        <v>7.1</v>
      </c>
    </row>
    <row r="2853" ht="15.75" customHeight="1">
      <c r="A2853" s="25" t="s">
        <v>7089</v>
      </c>
      <c r="B2853" s="8" t="str">
        <f>IFERROR(__xludf.DUMMYFUNCTION("REGEXREPLACE(A2853, ""[^0-9a-zA-Z .'Ã]"","""")"),"Tarsem Singh")</f>
        <v>Tarsem Singh</v>
      </c>
      <c r="C2853" s="26">
        <v>284.0</v>
      </c>
      <c r="D2853" s="27">
        <v>8.3503161E7</v>
      </c>
      <c r="E2853" s="26" t="s">
        <v>9116</v>
      </c>
      <c r="F2853" s="9">
        <f t="shared" si="1"/>
        <v>4</v>
      </c>
      <c r="G2853" s="26" t="s">
        <v>1307</v>
      </c>
      <c r="H2853" s="11" t="str">
        <f>IFERROR(__xludf.DUMMYFUNCTION("REGEXREPLACE(G2853, ""[^0-9a-zA-Z .'Ã]"","""")"),"Henry Cavill")</f>
        <v>Henry Cavill</v>
      </c>
      <c r="I2853" s="28" t="s">
        <v>9117</v>
      </c>
      <c r="J2853" s="26">
        <v>138190.0</v>
      </c>
      <c r="K2853" s="26" t="s">
        <v>9118</v>
      </c>
      <c r="L2853" s="26">
        <v>405.0</v>
      </c>
      <c r="M2853" s="26" t="s">
        <v>24</v>
      </c>
      <c r="N2853" s="26" t="s">
        <v>25</v>
      </c>
      <c r="O2853" s="27">
        <v>7.5E7</v>
      </c>
      <c r="P2853" s="10">
        <f t="shared" si="2"/>
        <v>8503161</v>
      </c>
      <c r="Q2853" s="12">
        <f t="shared" si="3"/>
        <v>0</v>
      </c>
      <c r="R2853" s="26">
        <v>2011.0</v>
      </c>
      <c r="S2853" s="26">
        <v>6.1</v>
      </c>
    </row>
    <row r="2854" ht="15.75" customHeight="1">
      <c r="A2854" s="7" t="s">
        <v>631</v>
      </c>
      <c r="B2854" s="8" t="str">
        <f>IFERROR(__xludf.DUMMYFUNCTION("REGEXREPLACE(A2854, ""[^0-9a-zA-Z .'Ã]"","""")"),"Richard Donner")</f>
        <v>Richard Donner</v>
      </c>
      <c r="C2854" s="9">
        <v>199.0</v>
      </c>
      <c r="D2854" s="10">
        <v>3.6883539E7</v>
      </c>
      <c r="E2854" s="9" t="s">
        <v>501</v>
      </c>
      <c r="F2854" s="9">
        <f t="shared" si="1"/>
        <v>4</v>
      </c>
      <c r="G2854" s="9" t="s">
        <v>55</v>
      </c>
      <c r="H2854" s="11" t="str">
        <f>IFERROR(__xludf.DUMMYFUNCTION("REGEXREPLACE(G2854, ""[^0-9a-zA-Z .'Ã]"","""")"),"Bruce Willis")</f>
        <v>Bruce Willis</v>
      </c>
      <c r="I2854" s="11" t="s">
        <v>9119</v>
      </c>
      <c r="J2854" s="9">
        <v>112769.0</v>
      </c>
      <c r="K2854" s="9" t="s">
        <v>9120</v>
      </c>
      <c r="L2854" s="9">
        <v>305.0</v>
      </c>
      <c r="M2854" s="9" t="s">
        <v>24</v>
      </c>
      <c r="N2854" s="9" t="s">
        <v>173</v>
      </c>
      <c r="O2854" s="10">
        <v>5.2E7</v>
      </c>
      <c r="P2854" s="10">
        <f t="shared" si="2"/>
        <v>0</v>
      </c>
      <c r="Q2854" s="12">
        <f t="shared" si="3"/>
        <v>15116461</v>
      </c>
      <c r="R2854" s="9">
        <v>2006.0</v>
      </c>
      <c r="S2854" s="9">
        <v>6.6</v>
      </c>
    </row>
    <row r="2855" ht="15.75" customHeight="1">
      <c r="A2855" s="7" t="s">
        <v>1816</v>
      </c>
      <c r="B2855" s="8" t="str">
        <f>IFERROR(__xludf.DUMMYFUNCTION("REGEXREPLACE(A2855, ""[^0-9a-zA-Z .'Ã]"","""")"),"Robert Redford")</f>
        <v>Robert Redford</v>
      </c>
      <c r="C2855" s="9">
        <v>227.0</v>
      </c>
      <c r="D2855" s="10">
        <v>1.499807E7</v>
      </c>
      <c r="E2855" s="9" t="s">
        <v>9121</v>
      </c>
      <c r="F2855" s="9">
        <f t="shared" si="1"/>
        <v>3</v>
      </c>
      <c r="G2855" s="9" t="s">
        <v>1941</v>
      </c>
      <c r="H2855" s="11" t="str">
        <f>IFERROR(__xludf.DUMMYFUNCTION("REGEXREPLACE(G2855, ""[^0-9a-zA-Z .'Ã]"","""")"),"Meryl Streep")</f>
        <v>Meryl Streep</v>
      </c>
      <c r="I2855" s="11" t="s">
        <v>9122</v>
      </c>
      <c r="J2855" s="9">
        <v>41170.0</v>
      </c>
      <c r="K2855" s="9" t="s">
        <v>9123</v>
      </c>
      <c r="L2855" s="9">
        <v>298.0</v>
      </c>
      <c r="M2855" s="9" t="s">
        <v>24</v>
      </c>
      <c r="N2855" s="9" t="s">
        <v>25</v>
      </c>
      <c r="O2855" s="10">
        <v>3.5E7</v>
      </c>
      <c r="P2855" s="10">
        <f t="shared" si="2"/>
        <v>0</v>
      </c>
      <c r="Q2855" s="12">
        <f t="shared" si="3"/>
        <v>20001930</v>
      </c>
      <c r="R2855" s="9">
        <v>2007.0</v>
      </c>
      <c r="S2855" s="9">
        <v>6.2</v>
      </c>
    </row>
    <row r="2856" ht="15.75" customHeight="1">
      <c r="A2856" s="17" t="s">
        <v>9124</v>
      </c>
      <c r="B2856" s="8" t="str">
        <f>IFERROR(__xludf.DUMMYFUNCTION("REGEXREPLACE(A2856, ""[^0-9a-zA-Z .'Ã]"","""")"),"Sylvio Tabet")</f>
        <v>Sylvio Tabet</v>
      </c>
      <c r="C2856" s="18">
        <v>17.0</v>
      </c>
      <c r="D2856" s="19">
        <v>869325.0</v>
      </c>
      <c r="E2856" s="18" t="s">
        <v>1283</v>
      </c>
      <c r="F2856" s="9">
        <f t="shared" si="1"/>
        <v>4</v>
      </c>
      <c r="G2856" s="18" t="s">
        <v>3796</v>
      </c>
      <c r="H2856" s="11" t="str">
        <f>IFERROR(__xludf.DUMMYFUNCTION("REGEXREPLACE(G2856, ""[^0-9a-zA-Z .'Ã]"","""")"),"Michael Berryman")</f>
        <v>Michael Berryman</v>
      </c>
      <c r="I2856" s="20" t="s">
        <v>9125</v>
      </c>
      <c r="J2856" s="18">
        <v>2281.0</v>
      </c>
      <c r="K2856" s="18" t="s">
        <v>9126</v>
      </c>
      <c r="L2856" s="18">
        <v>16.0</v>
      </c>
      <c r="M2856" s="18" t="s">
        <v>24</v>
      </c>
      <c r="N2856" s="18" t="s">
        <v>25</v>
      </c>
      <c r="O2856" s="19">
        <v>6000000.0</v>
      </c>
      <c r="P2856" s="10">
        <f t="shared" si="2"/>
        <v>0</v>
      </c>
      <c r="Q2856" s="12">
        <f t="shared" si="3"/>
        <v>5130675</v>
      </c>
      <c r="R2856" s="18">
        <v>1991.0</v>
      </c>
      <c r="S2856" s="18">
        <v>3.8</v>
      </c>
    </row>
    <row r="2857" ht="15.75" customHeight="1">
      <c r="A2857" s="17" t="s">
        <v>1995</v>
      </c>
      <c r="B2857" s="8" t="str">
        <f>IFERROR(__xludf.DUMMYFUNCTION("REGEXREPLACE(A2857, ""[^0-9a-zA-Z .'Ã]"","""")"),"David Zucker")</f>
        <v>David Zucker</v>
      </c>
      <c r="C2857" s="18">
        <v>151.0</v>
      </c>
      <c r="D2857" s="19">
        <v>1.10000082E8</v>
      </c>
      <c r="E2857" s="18" t="s">
        <v>137</v>
      </c>
      <c r="F2857" s="9">
        <f t="shared" si="1"/>
        <v>1</v>
      </c>
      <c r="G2857" s="18" t="s">
        <v>9127</v>
      </c>
      <c r="H2857" s="11" t="str">
        <f>IFERROR(__xludf.DUMMYFUNCTION("REGEXREPLACE(G2857, ""[^0-9a-zA-Z .'Ã]"","""")"),"Regina Hall")</f>
        <v>Regina Hall</v>
      </c>
      <c r="I2857" s="20" t="s">
        <v>9128</v>
      </c>
      <c r="J2857" s="18">
        <v>111526.0</v>
      </c>
      <c r="K2857" s="18" t="s">
        <v>9129</v>
      </c>
      <c r="L2857" s="18">
        <v>347.0</v>
      </c>
      <c r="M2857" s="18" t="s">
        <v>24</v>
      </c>
      <c r="N2857" s="18" t="s">
        <v>25</v>
      </c>
      <c r="O2857" s="19">
        <v>4.8E7</v>
      </c>
      <c r="P2857" s="10">
        <f t="shared" si="2"/>
        <v>62000082</v>
      </c>
      <c r="Q2857" s="12">
        <f t="shared" si="3"/>
        <v>0</v>
      </c>
      <c r="R2857" s="18">
        <v>2003.0</v>
      </c>
      <c r="S2857" s="18">
        <v>5.5</v>
      </c>
    </row>
    <row r="2858" ht="15.75" customHeight="1">
      <c r="A2858" s="13" t="s">
        <v>552</v>
      </c>
      <c r="B2858" s="8" t="str">
        <f>IFERROR(__xludf.DUMMYFUNCTION("REGEXREPLACE(A2858, ""[^0-9a-zA-Z .'Ã]"","""")"),"Cameron Crowe")</f>
        <v>Cameron Crowe</v>
      </c>
      <c r="C2858" s="14">
        <v>138.0</v>
      </c>
      <c r="D2858" s="15">
        <v>2.0991497E7</v>
      </c>
      <c r="E2858" s="14" t="s">
        <v>159</v>
      </c>
      <c r="F2858" s="9">
        <f t="shared" si="1"/>
        <v>3</v>
      </c>
      <c r="G2858" s="14" t="s">
        <v>497</v>
      </c>
      <c r="H2858" s="11" t="str">
        <f>IFERROR(__xludf.DUMMYFUNCTION("REGEXREPLACE(G2858, ""[^0-9a-zA-Z .'Ã]"","""")"),"Emma Stone")</f>
        <v>Emma Stone</v>
      </c>
      <c r="I2858" s="16" t="s">
        <v>9130</v>
      </c>
      <c r="J2858" s="14">
        <v>39782.0</v>
      </c>
      <c r="K2858" s="14" t="s">
        <v>9131</v>
      </c>
      <c r="L2858" s="14">
        <v>172.0</v>
      </c>
      <c r="M2858" s="14" t="s">
        <v>24</v>
      </c>
      <c r="N2858" s="14" t="s">
        <v>25</v>
      </c>
      <c r="O2858" s="15">
        <v>3.7E7</v>
      </c>
      <c r="P2858" s="10">
        <f t="shared" si="2"/>
        <v>0</v>
      </c>
      <c r="Q2858" s="12">
        <f t="shared" si="3"/>
        <v>16008503</v>
      </c>
      <c r="R2858" s="14">
        <v>2015.0</v>
      </c>
      <c r="S2858" s="14">
        <v>5.4</v>
      </c>
    </row>
    <row r="2859" ht="15.75" customHeight="1">
      <c r="A2859" s="7" t="s">
        <v>1328</v>
      </c>
      <c r="B2859" s="8" t="str">
        <f>IFERROR(__xludf.DUMMYFUNCTION("REGEXREPLACE(A2859, ""[^0-9a-zA-Z .'Ã]"","""")"),"Daisy von Scherler Mayer")</f>
        <v>Daisy von Scherler Mayer</v>
      </c>
      <c r="C2859" s="9">
        <v>70.0</v>
      </c>
      <c r="D2859" s="10">
        <v>3034181.0</v>
      </c>
      <c r="E2859" s="9" t="s">
        <v>2047</v>
      </c>
      <c r="F2859" s="9">
        <f t="shared" si="1"/>
        <v>3</v>
      </c>
      <c r="G2859" s="9" t="s">
        <v>9132</v>
      </c>
      <c r="H2859" s="11" t="str">
        <f>IFERROR(__xludf.DUMMYFUNCTION("REGEXREPLACE(G2859, ""[^0-9a-zA-Z .'Ã]"","""")"),"Michael McKean")</f>
        <v>Michael McKean</v>
      </c>
      <c r="I2859" s="11" t="s">
        <v>9133</v>
      </c>
      <c r="J2859" s="9">
        <v>13622.0</v>
      </c>
      <c r="K2859" s="9" t="s">
        <v>9134</v>
      </c>
      <c r="L2859" s="9">
        <v>128.0</v>
      </c>
      <c r="M2859" s="9" t="s">
        <v>24</v>
      </c>
      <c r="N2859" s="9" t="s">
        <v>130</v>
      </c>
      <c r="O2859" s="10">
        <v>1.1E7</v>
      </c>
      <c r="P2859" s="10">
        <f t="shared" si="2"/>
        <v>0</v>
      </c>
      <c r="Q2859" s="12">
        <f t="shared" si="3"/>
        <v>7965819</v>
      </c>
      <c r="R2859" s="9">
        <v>2002.0</v>
      </c>
      <c r="S2859" s="9">
        <v>5.4</v>
      </c>
    </row>
    <row r="2860" ht="15.75" customHeight="1">
      <c r="A2860" s="29" t="s">
        <v>4477</v>
      </c>
      <c r="B2860" s="8" t="str">
        <f>IFERROR(__xludf.DUMMYFUNCTION("REGEXREPLACE(A2860, ""[^0-9a-zA-Z .'Ã]"","""")"),"Gary Winick")</f>
        <v>Gary Winick</v>
      </c>
      <c r="C2860" s="30">
        <v>91.0</v>
      </c>
      <c r="D2860" s="31">
        <v>2882062.0</v>
      </c>
      <c r="E2860" s="30" t="s">
        <v>159</v>
      </c>
      <c r="F2860" s="9">
        <f t="shared" si="1"/>
        <v>3</v>
      </c>
      <c r="G2860" s="30" t="s">
        <v>9135</v>
      </c>
      <c r="H2860" s="11" t="str">
        <f>IFERROR(__xludf.DUMMYFUNCTION("REGEXREPLACE(G2860, ""[^0-9a-zA-Z .'Ã]"","""")"),"Bebe Neuwirth")</f>
        <v>Bebe Neuwirth</v>
      </c>
      <c r="I2860" s="32" t="s">
        <v>9136</v>
      </c>
      <c r="J2860" s="30">
        <v>5178.0</v>
      </c>
      <c r="K2860" s="30" t="s">
        <v>9137</v>
      </c>
      <c r="L2860" s="30">
        <v>101.0</v>
      </c>
      <c r="M2860" s="30" t="s">
        <v>24</v>
      </c>
      <c r="N2860" s="30" t="s">
        <v>25</v>
      </c>
      <c r="O2860" s="31">
        <v>150000.0</v>
      </c>
      <c r="P2860" s="10">
        <f t="shared" si="2"/>
        <v>2732062</v>
      </c>
      <c r="Q2860" s="12">
        <f t="shared" si="3"/>
        <v>0</v>
      </c>
      <c r="R2860" s="30">
        <v>2000.0</v>
      </c>
      <c r="S2860" s="30">
        <v>6.3</v>
      </c>
    </row>
    <row r="2861" ht="15.75" customHeight="1">
      <c r="A2861" s="7" t="s">
        <v>9138</v>
      </c>
      <c r="B2861" s="8" t="str">
        <f>IFERROR(__xludf.DUMMYFUNCTION("REGEXREPLACE(A2861, ""[^0-9a-zA-Z .'Ã]"","""")"),"Newt Arnold")</f>
        <v>Newt Arnold</v>
      </c>
      <c r="C2861" s="9">
        <v>61.0</v>
      </c>
      <c r="D2861" s="10">
        <v>1.1806119E7</v>
      </c>
      <c r="E2861" s="9" t="s">
        <v>9139</v>
      </c>
      <c r="F2861" s="9">
        <f t="shared" si="1"/>
        <v>4</v>
      </c>
      <c r="G2861" s="9" t="s">
        <v>7506</v>
      </c>
      <c r="H2861" s="11" t="str">
        <f>IFERROR(__xludf.DUMMYFUNCTION("REGEXREPLACE(G2861, ""[^0-9a-zA-Z .'Ã]"","""")"),"Bolo Yeung")</f>
        <v>Bolo Yeung</v>
      </c>
      <c r="I2861" s="11" t="s">
        <v>9140</v>
      </c>
      <c r="J2861" s="9">
        <v>57578.0</v>
      </c>
      <c r="K2861" s="9" t="s">
        <v>9141</v>
      </c>
      <c r="L2861" s="9">
        <v>210.0</v>
      </c>
      <c r="M2861" s="9" t="s">
        <v>24</v>
      </c>
      <c r="N2861" s="9" t="s">
        <v>25</v>
      </c>
      <c r="O2861" s="10">
        <v>1100000.0</v>
      </c>
      <c r="P2861" s="10">
        <f t="shared" si="2"/>
        <v>10706119</v>
      </c>
      <c r="Q2861" s="12">
        <f t="shared" si="3"/>
        <v>0</v>
      </c>
      <c r="R2861" s="9">
        <v>1988.0</v>
      </c>
      <c r="S2861" s="9">
        <v>6.8</v>
      </c>
    </row>
    <row r="2862" ht="15.75" customHeight="1">
      <c r="A2862" s="13" t="s">
        <v>9142</v>
      </c>
      <c r="B2862" s="8" t="str">
        <f>IFERROR(__xludf.DUMMYFUNCTION("REGEXREPLACE(A2862, ""[^0-9a-zA-Z .'Ã]"","""")"),"Roger Christian")</f>
        <v>Roger Christian</v>
      </c>
      <c r="C2862" s="14">
        <v>174.0</v>
      </c>
      <c r="D2862" s="15">
        <v>2.1471685E7</v>
      </c>
      <c r="E2862" s="14" t="s">
        <v>185</v>
      </c>
      <c r="F2862" s="9">
        <f t="shared" si="1"/>
        <v>3</v>
      </c>
      <c r="G2862" s="14" t="s">
        <v>2536</v>
      </c>
      <c r="H2862" s="11" t="str">
        <f>IFERROR(__xludf.DUMMYFUNCTION("REGEXREPLACE(G2862, ""[^0-9a-zA-Z .'Ã]"","""")"),"Richard Tyson")</f>
        <v>Richard Tyson</v>
      </c>
      <c r="I2862" s="16" t="s">
        <v>9143</v>
      </c>
      <c r="J2862" s="14">
        <v>65464.0</v>
      </c>
      <c r="K2862" s="14" t="s">
        <v>9144</v>
      </c>
      <c r="L2862" s="14">
        <v>1308.0</v>
      </c>
      <c r="M2862" s="14" t="s">
        <v>24</v>
      </c>
      <c r="N2862" s="14" t="s">
        <v>25</v>
      </c>
      <c r="O2862" s="15">
        <v>4.4E7</v>
      </c>
      <c r="P2862" s="10">
        <f t="shared" si="2"/>
        <v>0</v>
      </c>
      <c r="Q2862" s="12">
        <f t="shared" si="3"/>
        <v>22528315</v>
      </c>
      <c r="R2862" s="14">
        <v>2000.0</v>
      </c>
      <c r="S2862" s="14">
        <v>2.4</v>
      </c>
    </row>
    <row r="2863" ht="15.75" customHeight="1">
      <c r="A2863" s="17" t="s">
        <v>2730</v>
      </c>
      <c r="B2863" s="8" t="str">
        <f>IFERROR(__xludf.DUMMYFUNCTION("REGEXREPLACE(A2863, ""[^0-9a-zA-Z .'Ã]"","""")"),"Matthew Vaughn")</f>
        <v>Matthew Vaughn</v>
      </c>
      <c r="C2863" s="18">
        <v>500.0</v>
      </c>
      <c r="D2863" s="19">
        <v>1.46405371E8</v>
      </c>
      <c r="E2863" s="18" t="s">
        <v>185</v>
      </c>
      <c r="F2863" s="9">
        <f t="shared" si="1"/>
        <v>3</v>
      </c>
      <c r="G2863" s="18" t="s">
        <v>1494</v>
      </c>
      <c r="H2863" s="11" t="str">
        <f>IFERROR(__xludf.DUMMYFUNCTION("REGEXREPLACE(G2863, ""[^0-9a-zA-Z .'Ã]"","""")"),"Jennifer Lawrence")</f>
        <v>Jennifer Lawrence</v>
      </c>
      <c r="I2863" s="20" t="s">
        <v>9145</v>
      </c>
      <c r="J2863" s="18">
        <v>518537.0</v>
      </c>
      <c r="K2863" s="18" t="s">
        <v>9146</v>
      </c>
      <c r="L2863" s="18">
        <v>698.0</v>
      </c>
      <c r="M2863" s="18" t="s">
        <v>24</v>
      </c>
      <c r="N2863" s="18" t="s">
        <v>25</v>
      </c>
      <c r="O2863" s="19">
        <v>1.6E8</v>
      </c>
      <c r="P2863" s="10">
        <f t="shared" si="2"/>
        <v>0</v>
      </c>
      <c r="Q2863" s="12">
        <f t="shared" si="3"/>
        <v>13594629</v>
      </c>
      <c r="R2863" s="18">
        <v>2011.0</v>
      </c>
      <c r="S2863" s="18">
        <v>7.8</v>
      </c>
    </row>
    <row r="2864" ht="15.75" customHeight="1">
      <c r="A2864" s="17" t="s">
        <v>635</v>
      </c>
      <c r="B2864" s="8" t="str">
        <f>IFERROR(__xludf.DUMMYFUNCTION("REGEXREPLACE(A2864, ""[^0-9a-zA-Z .'Ã]"","""")"),"Steven Spielberg")</f>
        <v>Steven Spielberg</v>
      </c>
      <c r="C2864" s="18">
        <v>151.0</v>
      </c>
      <c r="D2864" s="19">
        <v>7.7032279E7</v>
      </c>
      <c r="E2864" s="18" t="s">
        <v>454</v>
      </c>
      <c r="F2864" s="9">
        <f t="shared" si="1"/>
        <v>2</v>
      </c>
      <c r="G2864" s="18" t="s">
        <v>461</v>
      </c>
      <c r="H2864" s="11" t="str">
        <f>IFERROR(__xludf.DUMMYFUNCTION("REGEXREPLACE(G2864, ""[^0-9a-zA-Z .'Ã]"","""")"),"Tom Hanks")</f>
        <v>Tom Hanks</v>
      </c>
      <c r="I2864" s="20" t="s">
        <v>9147</v>
      </c>
      <c r="J2864" s="18">
        <v>303864.0</v>
      </c>
      <c r="K2864" s="18" t="s">
        <v>9148</v>
      </c>
      <c r="L2864" s="18">
        <v>596.0</v>
      </c>
      <c r="M2864" s="18" t="s">
        <v>24</v>
      </c>
      <c r="N2864" s="18" t="s">
        <v>25</v>
      </c>
      <c r="O2864" s="19">
        <v>6.0E7</v>
      </c>
      <c r="P2864" s="10">
        <f t="shared" si="2"/>
        <v>17032279</v>
      </c>
      <c r="Q2864" s="12">
        <f t="shared" si="3"/>
        <v>0</v>
      </c>
      <c r="R2864" s="18">
        <v>2004.0</v>
      </c>
      <c r="S2864" s="18">
        <v>7.3</v>
      </c>
    </row>
    <row r="2865" ht="15.75" customHeight="1">
      <c r="A2865" s="29" t="s">
        <v>1425</v>
      </c>
      <c r="B2865" s="8" t="str">
        <f>IFERROR(__xludf.DUMMYFUNCTION("REGEXREPLACE(A2865, ""[^0-9a-zA-Z .'Ã]"","""")"),"David Fincher")</f>
        <v>David Fincher</v>
      </c>
      <c r="C2865" s="30">
        <v>157.0</v>
      </c>
      <c r="D2865" s="31">
        <v>4.8265581E7</v>
      </c>
      <c r="E2865" s="30" t="s">
        <v>311</v>
      </c>
      <c r="F2865" s="9">
        <f t="shared" si="1"/>
        <v>3</v>
      </c>
      <c r="G2865" s="30" t="s">
        <v>9149</v>
      </c>
      <c r="H2865" s="11" t="str">
        <f>IFERROR(__xludf.DUMMYFUNCTION("REGEXREPLACE(G2865, ""[^0-9a-zA-Z .'Ã]"","""")"),"Deborah Kara Unger")</f>
        <v>Deborah Kara Unger</v>
      </c>
      <c r="I2865" s="32" t="s">
        <v>9150</v>
      </c>
      <c r="J2865" s="30">
        <v>261069.0</v>
      </c>
      <c r="K2865" s="30" t="s">
        <v>9151</v>
      </c>
      <c r="L2865" s="30">
        <v>506.0</v>
      </c>
      <c r="M2865" s="30" t="s">
        <v>24</v>
      </c>
      <c r="N2865" s="30" t="s">
        <v>25</v>
      </c>
      <c r="O2865" s="31">
        <v>5.0E7</v>
      </c>
      <c r="P2865" s="10">
        <f t="shared" si="2"/>
        <v>0</v>
      </c>
      <c r="Q2865" s="12">
        <f t="shared" si="3"/>
        <v>1734419</v>
      </c>
      <c r="R2865" s="30">
        <v>1997.0</v>
      </c>
      <c r="S2865" s="30">
        <v>7.8</v>
      </c>
    </row>
    <row r="2866" ht="15.75" customHeight="1">
      <c r="A2866" s="7" t="s">
        <v>9152</v>
      </c>
      <c r="B2866" s="8" t="str">
        <f>IFERROR(__xludf.DUMMYFUNCTION("REGEXREPLACE(A2866, ""[^0-9a-zA-Z .'Ã]"","""")"),"Orson Welles")</f>
        <v>Orson Welles</v>
      </c>
      <c r="C2866" s="9">
        <v>90.0</v>
      </c>
      <c r="D2866" s="10">
        <v>7927.0</v>
      </c>
      <c r="E2866" s="9" t="s">
        <v>9153</v>
      </c>
      <c r="F2866" s="9">
        <f t="shared" si="1"/>
        <v>5</v>
      </c>
      <c r="G2866" s="9" t="s">
        <v>9154</v>
      </c>
      <c r="H2866" s="11" t="str">
        <f>IFERROR(__xludf.DUMMYFUNCTION("REGEXREPLACE(G2866, ""[^0-9a-zA-Z .'Ã]"","""")"),"Rita Hayworth")</f>
        <v>Rita Hayworth</v>
      </c>
      <c r="I2866" s="11" t="s">
        <v>9155</v>
      </c>
      <c r="J2866" s="9">
        <v>19236.0</v>
      </c>
      <c r="K2866" s="9" t="s">
        <v>9156</v>
      </c>
      <c r="L2866" s="9">
        <v>175.0</v>
      </c>
      <c r="M2866" s="9" t="s">
        <v>24</v>
      </c>
      <c r="N2866" s="9" t="s">
        <v>25</v>
      </c>
      <c r="O2866" s="10">
        <v>2300000.0</v>
      </c>
      <c r="P2866" s="10">
        <f t="shared" si="2"/>
        <v>0</v>
      </c>
      <c r="Q2866" s="12">
        <f t="shared" si="3"/>
        <v>2292073</v>
      </c>
      <c r="R2866" s="9">
        <v>1947.0</v>
      </c>
      <c r="S2866" s="9">
        <v>7.7</v>
      </c>
    </row>
    <row r="2867" ht="15.75" customHeight="1">
      <c r="A2867" s="7" t="s">
        <v>53</v>
      </c>
      <c r="B2867" s="8" t="str">
        <f>IFERROR(__xludf.DUMMYFUNCTION("REGEXREPLACE(A2867, ""[^0-9a-zA-Z .'Ã]"","""")"),"Quentin Tarantino")</f>
        <v>Quentin Tarantino</v>
      </c>
      <c r="C2867" s="9">
        <v>486.0</v>
      </c>
      <c r="D2867" s="10">
        <v>1.20523073E8</v>
      </c>
      <c r="E2867" s="9" t="s">
        <v>8367</v>
      </c>
      <c r="F2867" s="9">
        <f t="shared" si="1"/>
        <v>3</v>
      </c>
      <c r="G2867" s="9" t="s">
        <v>432</v>
      </c>
      <c r="H2867" s="11" t="str">
        <f>IFERROR(__xludf.DUMMYFUNCTION("REGEXREPLACE(G2867, ""[^0-9a-zA-Z .'Ã]"","""")"),"Michael Fassbender")</f>
        <v>Michael Fassbender</v>
      </c>
      <c r="I2867" s="11" t="s">
        <v>9157</v>
      </c>
      <c r="J2867" s="9">
        <v>885175.0</v>
      </c>
      <c r="K2867" s="9" t="s">
        <v>9158</v>
      </c>
      <c r="L2867" s="9">
        <v>1527.0</v>
      </c>
      <c r="M2867" s="9" t="s">
        <v>24</v>
      </c>
      <c r="N2867" s="9" t="s">
        <v>25</v>
      </c>
      <c r="O2867" s="10">
        <v>7.5E7</v>
      </c>
      <c r="P2867" s="10">
        <f t="shared" si="2"/>
        <v>45523073</v>
      </c>
      <c r="Q2867" s="12">
        <f t="shared" si="3"/>
        <v>0</v>
      </c>
      <c r="R2867" s="9">
        <v>2009.0</v>
      </c>
      <c r="S2867" s="9">
        <v>8.3</v>
      </c>
    </row>
    <row r="2868" ht="15.75" customHeight="1">
      <c r="A2868" s="7" t="s">
        <v>6430</v>
      </c>
      <c r="B2868" s="8" t="str">
        <f>IFERROR(__xludf.DUMMYFUNCTION("REGEXREPLACE(A2868, ""[^0-9a-zA-Z .'Ã]"","""")"),"Leonard Nimoy")</f>
        <v>Leonard Nimoy</v>
      </c>
      <c r="C2868" s="9">
        <v>106.0</v>
      </c>
      <c r="D2868" s="10">
        <v>1.09713132E8</v>
      </c>
      <c r="E2868" s="9" t="s">
        <v>646</v>
      </c>
      <c r="F2868" s="9">
        <f t="shared" si="1"/>
        <v>3</v>
      </c>
      <c r="G2868" s="9" t="s">
        <v>6430</v>
      </c>
      <c r="H2868" s="11" t="str">
        <f>IFERROR(__xludf.DUMMYFUNCTION("REGEXREPLACE(G2868, ""[^0-9a-zA-Z .'Ã]"","""")"),"Leonard Nimoy")</f>
        <v>Leonard Nimoy</v>
      </c>
      <c r="I2868" s="11" t="s">
        <v>9159</v>
      </c>
      <c r="J2868" s="9">
        <v>61621.0</v>
      </c>
      <c r="K2868" s="9" t="s">
        <v>9160</v>
      </c>
      <c r="L2868" s="9">
        <v>219.0</v>
      </c>
      <c r="M2868" s="9" t="s">
        <v>24</v>
      </c>
      <c r="N2868" s="9" t="s">
        <v>25</v>
      </c>
      <c r="O2868" s="10">
        <v>2.5E7</v>
      </c>
      <c r="P2868" s="10">
        <f t="shared" si="2"/>
        <v>84713132</v>
      </c>
      <c r="Q2868" s="12">
        <f t="shared" si="3"/>
        <v>0</v>
      </c>
      <c r="R2868" s="9">
        <v>1986.0</v>
      </c>
      <c r="S2868" s="9">
        <v>7.3</v>
      </c>
    </row>
    <row r="2869" ht="15.75" customHeight="1">
      <c r="A2869" s="7" t="s">
        <v>3691</v>
      </c>
      <c r="B2869" s="8" t="str">
        <f>IFERROR(__xludf.DUMMYFUNCTION("REGEXREPLACE(A2869, ""[^0-9a-zA-Z .'Ã]"","""")"),"Mark Dindal")</f>
        <v>Mark Dindal</v>
      </c>
      <c r="C2869" s="9">
        <v>18.0</v>
      </c>
      <c r="D2869" s="10">
        <v>3562749.0</v>
      </c>
      <c r="E2869" s="9" t="s">
        <v>6414</v>
      </c>
      <c r="F2869" s="9">
        <f t="shared" si="1"/>
        <v>5</v>
      </c>
      <c r="G2869" s="9" t="s">
        <v>2006</v>
      </c>
      <c r="H2869" s="11" t="str">
        <f>IFERROR(__xludf.DUMMYFUNCTION("REGEXREPLACE(G2869, ""[^0-9a-zA-Z .'Ã]"","""")"),"George Kennedy")</f>
        <v>George Kennedy</v>
      </c>
      <c r="I2869" s="11" t="s">
        <v>9161</v>
      </c>
      <c r="J2869" s="9">
        <v>5600.0</v>
      </c>
      <c r="K2869" s="9" t="s">
        <v>9162</v>
      </c>
      <c r="L2869" s="9">
        <v>49.0</v>
      </c>
      <c r="M2869" s="9" t="s">
        <v>24</v>
      </c>
      <c r="N2869" s="9" t="s">
        <v>25</v>
      </c>
      <c r="O2869" s="10">
        <v>3.2E7</v>
      </c>
      <c r="P2869" s="10">
        <f t="shared" si="2"/>
        <v>0</v>
      </c>
      <c r="Q2869" s="12">
        <f t="shared" si="3"/>
        <v>28437251</v>
      </c>
      <c r="R2869" s="9">
        <v>1997.0</v>
      </c>
      <c r="S2869" s="9">
        <v>6.9</v>
      </c>
    </row>
    <row r="2870" ht="15.75" customHeight="1">
      <c r="A2870" s="7" t="s">
        <v>198</v>
      </c>
      <c r="B2870" s="8" t="str">
        <f>IFERROR(__xludf.DUMMYFUNCTION("REGEXREPLACE(A2870, ""[^0-9a-zA-Z .'Ã]"","""")"),"Len Wiseman")</f>
        <v>Len Wiseman</v>
      </c>
      <c r="C2870" s="9">
        <v>206.0</v>
      </c>
      <c r="D2870" s="10">
        <v>6.2318875E7</v>
      </c>
      <c r="E2870" s="9" t="s">
        <v>449</v>
      </c>
      <c r="F2870" s="9">
        <f t="shared" si="1"/>
        <v>5</v>
      </c>
      <c r="G2870" s="9" t="s">
        <v>200</v>
      </c>
      <c r="H2870" s="11" t="str">
        <f>IFERROR(__xludf.DUMMYFUNCTION("REGEXREPLACE(G2870, ""[^0-9a-zA-Z .'Ã]"","""")"),"Sophia Myles")</f>
        <v>Sophia Myles</v>
      </c>
      <c r="I2870" s="11" t="s">
        <v>9163</v>
      </c>
      <c r="J2870" s="9">
        <v>156225.0</v>
      </c>
      <c r="K2870" s="9" t="s">
        <v>9164</v>
      </c>
      <c r="L2870" s="9">
        <v>502.0</v>
      </c>
      <c r="M2870" s="9" t="s">
        <v>24</v>
      </c>
      <c r="N2870" s="9" t="s">
        <v>25</v>
      </c>
      <c r="O2870" s="10">
        <v>5.0E7</v>
      </c>
      <c r="P2870" s="10">
        <f t="shared" si="2"/>
        <v>12318875</v>
      </c>
      <c r="Q2870" s="12">
        <f t="shared" si="3"/>
        <v>0</v>
      </c>
      <c r="R2870" s="9">
        <v>2006.0</v>
      </c>
      <c r="S2870" s="9">
        <v>6.8</v>
      </c>
    </row>
    <row r="2871" ht="15.75" customHeight="1">
      <c r="A2871" s="29" t="s">
        <v>9165</v>
      </c>
      <c r="B2871" s="8" t="str">
        <f>IFERROR(__xludf.DUMMYFUNCTION("REGEXREPLACE(A2871, ""[^0-9a-zA-Z .'Ã]"","""")"),"Joan Chen")</f>
        <v>Joan Chen</v>
      </c>
      <c r="C2871" s="30">
        <v>101.0</v>
      </c>
      <c r="D2871" s="31">
        <v>3.7752931E7</v>
      </c>
      <c r="E2871" s="30" t="s">
        <v>232</v>
      </c>
      <c r="F2871" s="9">
        <f t="shared" si="1"/>
        <v>2</v>
      </c>
      <c r="G2871" s="30" t="s">
        <v>878</v>
      </c>
      <c r="H2871" s="11" t="str">
        <f>IFERROR(__xludf.DUMMYFUNCTION("REGEXREPLACE(G2871, ""[^0-9a-zA-Z .'Ã]"","""")"),"J.K. Simmons")</f>
        <v>J.K. Simmons</v>
      </c>
      <c r="I2871" s="32" t="s">
        <v>9166</v>
      </c>
      <c r="J2871" s="30">
        <v>20201.0</v>
      </c>
      <c r="K2871" s="30" t="s">
        <v>9167</v>
      </c>
      <c r="L2871" s="30">
        <v>180.0</v>
      </c>
      <c r="M2871" s="30" t="s">
        <v>24</v>
      </c>
      <c r="N2871" s="30" t="s">
        <v>25</v>
      </c>
      <c r="O2871" s="31">
        <v>4.0E7</v>
      </c>
      <c r="P2871" s="10">
        <f t="shared" si="2"/>
        <v>0</v>
      </c>
      <c r="Q2871" s="12">
        <f t="shared" si="3"/>
        <v>2247069</v>
      </c>
      <c r="R2871" s="30">
        <v>2000.0</v>
      </c>
      <c r="S2871" s="30">
        <v>5.5</v>
      </c>
    </row>
    <row r="2872" ht="15.75" customHeight="1">
      <c r="A2872" s="17" t="s">
        <v>635</v>
      </c>
      <c r="B2872" s="8" t="str">
        <f>IFERROR(__xludf.DUMMYFUNCTION("REGEXREPLACE(A2872, ""[^0-9a-zA-Z .'Ã]"","""")"),"Steven Spielberg")</f>
        <v>Steven Spielberg</v>
      </c>
      <c r="C2872" s="18">
        <v>77.0</v>
      </c>
      <c r="D2872" s="19">
        <v>4.4175394E7</v>
      </c>
      <c r="E2872" s="18" t="s">
        <v>213</v>
      </c>
      <c r="F2872" s="9">
        <f t="shared" si="1"/>
        <v>2</v>
      </c>
      <c r="G2872" s="18" t="s">
        <v>237</v>
      </c>
      <c r="H2872" s="11" t="str">
        <f>IFERROR(__xludf.DUMMYFUNCTION("REGEXREPLACE(G2872, ""[^0-9a-zA-Z .'Ã]"","""")"),"Anthony Hopkins")</f>
        <v>Anthony Hopkins</v>
      </c>
      <c r="I2872" s="20" t="s">
        <v>9168</v>
      </c>
      <c r="J2872" s="18">
        <v>56509.0</v>
      </c>
      <c r="K2872" s="18" t="s">
        <v>9169</v>
      </c>
      <c r="L2872" s="18">
        <v>227.0</v>
      </c>
      <c r="M2872" s="18" t="s">
        <v>24</v>
      </c>
      <c r="N2872" s="18" t="s">
        <v>25</v>
      </c>
      <c r="O2872" s="19">
        <v>3.6E7</v>
      </c>
      <c r="P2872" s="10">
        <f t="shared" si="2"/>
        <v>8175394</v>
      </c>
      <c r="Q2872" s="12">
        <f t="shared" si="3"/>
        <v>0</v>
      </c>
      <c r="R2872" s="18">
        <v>1997.0</v>
      </c>
      <c r="S2872" s="18">
        <v>7.2</v>
      </c>
    </row>
    <row r="2873" ht="15.75" customHeight="1">
      <c r="A2873" s="21" t="s">
        <v>1558</v>
      </c>
      <c r="B2873" s="8" t="str">
        <f>IFERROR(__xludf.DUMMYFUNCTION("REGEXREPLACE(A2873, ""[^0-9a-zA-Z .'Ã]"","""")"),"McG")</f>
        <v>McG</v>
      </c>
      <c r="C2873" s="22">
        <v>241.0</v>
      </c>
      <c r="D2873" s="23">
        <v>5.4758461E7</v>
      </c>
      <c r="E2873" s="22" t="s">
        <v>219</v>
      </c>
      <c r="F2873" s="9">
        <f t="shared" si="1"/>
        <v>3</v>
      </c>
      <c r="G2873" s="22" t="s">
        <v>1634</v>
      </c>
      <c r="H2873" s="11" t="str">
        <f>IFERROR(__xludf.DUMMYFUNCTION("REGEXREPLACE(G2873, ""[^0-9a-zA-Z .'Ã]"","""")"),"Tom Hardy")</f>
        <v>Tom Hardy</v>
      </c>
      <c r="I2873" s="24" t="s">
        <v>9170</v>
      </c>
      <c r="J2873" s="22">
        <v>147641.0</v>
      </c>
      <c r="K2873" s="22" t="s">
        <v>9171</v>
      </c>
      <c r="L2873" s="22">
        <v>238.0</v>
      </c>
      <c r="M2873" s="22" t="s">
        <v>24</v>
      </c>
      <c r="N2873" s="22" t="s">
        <v>25</v>
      </c>
      <c r="O2873" s="23">
        <v>6.5E7</v>
      </c>
      <c r="P2873" s="10">
        <f t="shared" si="2"/>
        <v>0</v>
      </c>
      <c r="Q2873" s="12">
        <f t="shared" si="3"/>
        <v>10241539</v>
      </c>
      <c r="R2873" s="22">
        <v>2012.0</v>
      </c>
      <c r="S2873" s="22">
        <v>6.3</v>
      </c>
    </row>
    <row r="2874" ht="15.75" customHeight="1">
      <c r="A2874" s="17" t="s">
        <v>9172</v>
      </c>
      <c r="B2874" s="8" t="str">
        <f>IFERROR(__xludf.DUMMYFUNCTION("REGEXREPLACE(A2874, ""[^0-9a-zA-Z .'Ã]"","""")"),"Michael Clancy")</f>
        <v>Michael Clancy</v>
      </c>
      <c r="C2874" s="18">
        <v>27.0</v>
      </c>
      <c r="D2874" s="19">
        <v>70527.0</v>
      </c>
      <c r="E2874" s="18" t="s">
        <v>454</v>
      </c>
      <c r="F2874" s="9">
        <f t="shared" si="1"/>
        <v>2</v>
      </c>
      <c r="G2874" s="18" t="s">
        <v>3033</v>
      </c>
      <c r="H2874" s="11" t="str">
        <f>IFERROR(__xludf.DUMMYFUNCTION("REGEXREPLACE(G2874, ""[^0-9a-zA-Z .'Ã]"","""")"),"Zooey Deschanel")</f>
        <v>Zooey Deschanel</v>
      </c>
      <c r="I2874" s="20" t="s">
        <v>9173</v>
      </c>
      <c r="J2874" s="18">
        <v>7690.0</v>
      </c>
      <c r="K2874" s="18" t="s">
        <v>9174</v>
      </c>
      <c r="L2874" s="18">
        <v>68.0</v>
      </c>
      <c r="M2874" s="18" t="s">
        <v>24</v>
      </c>
      <c r="N2874" s="18" t="s">
        <v>25</v>
      </c>
      <c r="O2874" s="19">
        <v>6500000.0</v>
      </c>
      <c r="P2874" s="10">
        <f t="shared" si="2"/>
        <v>0</v>
      </c>
      <c r="Q2874" s="12">
        <f t="shared" si="3"/>
        <v>6429473</v>
      </c>
      <c r="R2874" s="18">
        <v>2004.0</v>
      </c>
      <c r="S2874" s="18">
        <v>6.7</v>
      </c>
    </row>
    <row r="2875" ht="15.75" customHeight="1">
      <c r="A2875" s="7" t="s">
        <v>1314</v>
      </c>
      <c r="B2875" s="8" t="str">
        <f>IFERROR(__xludf.DUMMYFUNCTION("REGEXREPLACE(A2875, ""[^0-9a-zA-Z .'Ã]"","""")"),"Bryan Singer")</f>
        <v>Bryan Singer</v>
      </c>
      <c r="C2875" s="9">
        <v>539.0</v>
      </c>
      <c r="D2875" s="10">
        <v>2.33914986E8</v>
      </c>
      <c r="E2875" s="9" t="s">
        <v>449</v>
      </c>
      <c r="F2875" s="9">
        <f t="shared" si="1"/>
        <v>5</v>
      </c>
      <c r="G2875" s="9" t="s">
        <v>1494</v>
      </c>
      <c r="H2875" s="11" t="str">
        <f>IFERROR(__xludf.DUMMYFUNCTION("REGEXREPLACE(G2875, ""[^0-9a-zA-Z .'Ã]"","""")"),"Jennifer Lawrence")</f>
        <v>Jennifer Lawrence</v>
      </c>
      <c r="I2875" s="11" t="s">
        <v>9175</v>
      </c>
      <c r="J2875" s="9">
        <v>514125.0</v>
      </c>
      <c r="K2875" s="9" t="s">
        <v>9176</v>
      </c>
      <c r="L2875" s="9">
        <v>752.0</v>
      </c>
      <c r="M2875" s="9" t="s">
        <v>24</v>
      </c>
      <c r="N2875" s="9" t="s">
        <v>25</v>
      </c>
      <c r="O2875" s="10">
        <v>2.0E8</v>
      </c>
      <c r="P2875" s="10">
        <f t="shared" si="2"/>
        <v>33914986</v>
      </c>
      <c r="Q2875" s="12">
        <f t="shared" si="3"/>
        <v>0</v>
      </c>
      <c r="R2875" s="9">
        <v>2014.0</v>
      </c>
      <c r="S2875" s="9">
        <v>8.0</v>
      </c>
    </row>
    <row r="2876" ht="15.75" customHeight="1">
      <c r="A2876" s="17" t="s">
        <v>9177</v>
      </c>
      <c r="B2876" s="8" t="str">
        <f>IFERROR(__xludf.DUMMYFUNCTION("REGEXREPLACE(A2876, ""[^0-9a-zA-Z -.'Ã]"","""")"),"IstvÃn SzabÃ")</f>
        <v>IstvÃn SzabÃ</v>
      </c>
      <c r="C2876" s="18">
        <v>93.0</v>
      </c>
      <c r="D2876" s="19">
        <v>7739049.0</v>
      </c>
      <c r="E2876" s="18" t="s">
        <v>159</v>
      </c>
      <c r="F2876" s="9">
        <f t="shared" si="1"/>
        <v>3</v>
      </c>
      <c r="G2876" s="18" t="s">
        <v>3587</v>
      </c>
      <c r="H2876" s="11" t="str">
        <f>IFERROR(__xludf.DUMMYFUNCTION("REGEXREPLACE(G2876, ""[^0-9a-zA-Z .'Ã]"","""")"),"Miriam Margolyes")</f>
        <v>Miriam Margolyes</v>
      </c>
      <c r="I2876" s="20" t="s">
        <v>9178</v>
      </c>
      <c r="J2876" s="18">
        <v>10680.0</v>
      </c>
      <c r="K2876" s="18" t="s">
        <v>9179</v>
      </c>
      <c r="L2876" s="18">
        <v>112.0</v>
      </c>
      <c r="M2876" s="18" t="s">
        <v>24</v>
      </c>
      <c r="N2876" s="18" t="s">
        <v>624</v>
      </c>
      <c r="O2876" s="19">
        <v>1.8E7</v>
      </c>
      <c r="P2876" s="10">
        <f t="shared" si="2"/>
        <v>0</v>
      </c>
      <c r="Q2876" s="12">
        <f t="shared" si="3"/>
        <v>10260951</v>
      </c>
      <c r="R2876" s="18">
        <v>2004.0</v>
      </c>
      <c r="S2876" s="18">
        <v>7.1</v>
      </c>
    </row>
    <row r="2877" ht="15.75" customHeight="1">
      <c r="A2877" s="7" t="s">
        <v>9180</v>
      </c>
      <c r="B2877" s="8" t="str">
        <f>IFERROR(__xludf.DUMMYFUNCTION("REGEXREPLACE(A2877, ""[^0-9a-zA-Z .'Ã]"","""")"),"Gabor Csupo")</f>
        <v>Gabor Csupo</v>
      </c>
      <c r="C2877" s="9">
        <v>181.0</v>
      </c>
      <c r="D2877" s="10">
        <v>8.2234139E7</v>
      </c>
      <c r="E2877" s="9" t="s">
        <v>506</v>
      </c>
      <c r="F2877" s="9">
        <f t="shared" si="1"/>
        <v>4</v>
      </c>
      <c r="G2877" s="9" t="s">
        <v>811</v>
      </c>
      <c r="H2877" s="11" t="str">
        <f>IFERROR(__xludf.DUMMYFUNCTION("REGEXREPLACE(G2877, ""[^0-9a-zA-Z .'Ã]"","""")"),"Josh Hutcherson")</f>
        <v>Josh Hutcherson</v>
      </c>
      <c r="I2877" s="11" t="s">
        <v>9181</v>
      </c>
      <c r="J2877" s="9">
        <v>110390.0</v>
      </c>
      <c r="K2877" s="9" t="s">
        <v>9182</v>
      </c>
      <c r="L2877" s="9">
        <v>522.0</v>
      </c>
      <c r="M2877" s="9" t="s">
        <v>24</v>
      </c>
      <c r="N2877" s="9" t="s">
        <v>25</v>
      </c>
      <c r="O2877" s="10">
        <v>1.7E7</v>
      </c>
      <c r="P2877" s="10">
        <f t="shared" si="2"/>
        <v>65234139</v>
      </c>
      <c r="Q2877" s="12">
        <f t="shared" si="3"/>
        <v>0</v>
      </c>
      <c r="R2877" s="9">
        <v>2007.0</v>
      </c>
      <c r="S2877" s="9">
        <v>7.2</v>
      </c>
    </row>
    <row r="2878" ht="15.75" customHeight="1">
      <c r="A2878" s="7" t="s">
        <v>529</v>
      </c>
      <c r="B2878" s="8" t="str">
        <f>IFERROR(__xludf.DUMMYFUNCTION("REGEXREPLACE(A2878, ""[^0-9a-zA-Z .'Ã]"","""")"),"Joel Schumacher")</f>
        <v>Joel Schumacher</v>
      </c>
      <c r="C2878" s="9">
        <v>39.0</v>
      </c>
      <c r="D2878" s="10">
        <v>9.2115211E7</v>
      </c>
      <c r="E2878" s="9" t="s">
        <v>435</v>
      </c>
      <c r="F2878" s="9">
        <f t="shared" si="1"/>
        <v>4</v>
      </c>
      <c r="G2878" s="9" t="s">
        <v>9183</v>
      </c>
      <c r="H2878" s="11" t="str">
        <f>IFERROR(__xludf.DUMMYFUNCTION("REGEXREPLACE(G2878, ""[^0-9a-zA-Z .'Ã]"","""")"),"Bradley Whitford")</f>
        <v>Bradley Whitford</v>
      </c>
      <c r="I2878" s="11" t="s">
        <v>9184</v>
      </c>
      <c r="J2878" s="9">
        <v>45798.0</v>
      </c>
      <c r="K2878" s="9" t="s">
        <v>9185</v>
      </c>
      <c r="L2878" s="9">
        <v>94.0</v>
      </c>
      <c r="M2878" s="9" t="s">
        <v>24</v>
      </c>
      <c r="N2878" s="9" t="s">
        <v>25</v>
      </c>
      <c r="O2878" s="10">
        <v>4.5E7</v>
      </c>
      <c r="P2878" s="10">
        <f t="shared" si="2"/>
        <v>47115211</v>
      </c>
      <c r="Q2878" s="12">
        <f t="shared" si="3"/>
        <v>0</v>
      </c>
      <c r="R2878" s="9">
        <v>1994.0</v>
      </c>
      <c r="S2878" s="9">
        <v>6.7</v>
      </c>
    </row>
    <row r="2879" ht="15.75" customHeight="1">
      <c r="A2879" s="7" t="s">
        <v>775</v>
      </c>
      <c r="B2879" s="8" t="str">
        <f>IFERROR(__xludf.DUMMYFUNCTION("REGEXREPLACE(A2879, ""[^0-9a-zA-Z .'Ã]"","""")"),"Neil Burger")</f>
        <v>Neil Burger</v>
      </c>
      <c r="C2879" s="9">
        <v>236.0</v>
      </c>
      <c r="D2879" s="10">
        <v>3.9825798E7</v>
      </c>
      <c r="E2879" s="9" t="s">
        <v>1025</v>
      </c>
      <c r="F2879" s="9">
        <f t="shared" si="1"/>
        <v>4</v>
      </c>
      <c r="G2879" s="9" t="s">
        <v>7687</v>
      </c>
      <c r="H2879" s="11" t="str">
        <f>IFERROR(__xludf.DUMMYFUNCTION("REGEXREPLACE(G2879, ""[^0-9a-zA-Z .'Ã]"","""")"),"Rufus Sewell")</f>
        <v>Rufus Sewell</v>
      </c>
      <c r="I2879" s="11" t="s">
        <v>9186</v>
      </c>
      <c r="J2879" s="9">
        <v>295375.0</v>
      </c>
      <c r="K2879" s="9" t="s">
        <v>9187</v>
      </c>
      <c r="L2879" s="9">
        <v>645.0</v>
      </c>
      <c r="M2879" s="9" t="s">
        <v>24</v>
      </c>
      <c r="N2879" s="9" t="s">
        <v>25</v>
      </c>
      <c r="O2879" s="10">
        <v>1.6E7</v>
      </c>
      <c r="P2879" s="10">
        <f t="shared" si="2"/>
        <v>23825798</v>
      </c>
      <c r="Q2879" s="12">
        <f t="shared" si="3"/>
        <v>0</v>
      </c>
      <c r="R2879" s="9">
        <v>2006.0</v>
      </c>
      <c r="S2879" s="9">
        <v>7.6</v>
      </c>
    </row>
    <row r="2880" ht="15.75" customHeight="1">
      <c r="A2880" s="7" t="s">
        <v>532</v>
      </c>
      <c r="B2880" s="8" t="str">
        <f>IFERROR(__xludf.DUMMYFUNCTION("REGEXREPLACE(A2880, ""[^0-9a-zA-Z .'Ã]"","""")"),"Donald Petrie")</f>
        <v>Donald Petrie</v>
      </c>
      <c r="C2880" s="9">
        <v>112.0</v>
      </c>
      <c r="D2880" s="10">
        <v>8662318.0</v>
      </c>
      <c r="E2880" s="9" t="s">
        <v>89</v>
      </c>
      <c r="F2880" s="9">
        <f t="shared" si="1"/>
        <v>2</v>
      </c>
      <c r="G2880" s="9" t="s">
        <v>290</v>
      </c>
      <c r="H2880" s="11" t="str">
        <f>IFERROR(__xludf.DUMMYFUNCTION("REGEXREPLACE(G2880, ""[^0-9a-zA-Z .'Ã]"","""")"),"Nia Vardalos")</f>
        <v>Nia Vardalos</v>
      </c>
      <c r="I2880" s="11" t="s">
        <v>9188</v>
      </c>
      <c r="J2880" s="9">
        <v>15033.0</v>
      </c>
      <c r="K2880" s="9" t="s">
        <v>9189</v>
      </c>
      <c r="L2880" s="9">
        <v>75.0</v>
      </c>
      <c r="M2880" s="9" t="s">
        <v>24</v>
      </c>
      <c r="N2880" s="9" t="s">
        <v>25</v>
      </c>
      <c r="O2880" s="10">
        <v>1.7E7</v>
      </c>
      <c r="P2880" s="10">
        <f t="shared" si="2"/>
        <v>0</v>
      </c>
      <c r="Q2880" s="12">
        <f t="shared" si="3"/>
        <v>8337682</v>
      </c>
      <c r="R2880" s="9">
        <v>2009.0</v>
      </c>
      <c r="S2880" s="9">
        <v>5.9</v>
      </c>
    </row>
    <row r="2881" ht="15.75" customHeight="1">
      <c r="A2881" s="7" t="s">
        <v>9190</v>
      </c>
      <c r="B2881" s="8" t="str">
        <f>IFERROR(__xludf.DUMMYFUNCTION("REGEXREPLACE(A2881, ""[^0-9a-zA-Z .'Ã]"","""")"),"Jon Shear")</f>
        <v>Jon Shear</v>
      </c>
      <c r="C2881" s="9">
        <v>38.0</v>
      </c>
      <c r="D2881" s="10">
        <v>1027119.0</v>
      </c>
      <c r="E2881" s="9" t="s">
        <v>103</v>
      </c>
      <c r="F2881" s="9">
        <f t="shared" si="1"/>
        <v>1</v>
      </c>
      <c r="G2881" s="9" t="s">
        <v>9191</v>
      </c>
      <c r="H2881" s="11" t="str">
        <f>IFERROR(__xludf.DUMMYFUNCTION("REGEXREPLACE(G2881, ""[^0-9a-zA-Z .'Ã]"","""")"),"Dan Futterman")</f>
        <v>Dan Futterman</v>
      </c>
      <c r="I2881" s="11" t="s">
        <v>9192</v>
      </c>
      <c r="J2881" s="9">
        <v>2742.0</v>
      </c>
      <c r="K2881" s="9" t="s">
        <v>9193</v>
      </c>
      <c r="L2881" s="9">
        <v>73.0</v>
      </c>
      <c r="M2881" s="9" t="s">
        <v>24</v>
      </c>
      <c r="N2881" s="9" t="s">
        <v>25</v>
      </c>
      <c r="O2881" s="10">
        <v>225000.0</v>
      </c>
      <c r="P2881" s="10">
        <f t="shared" si="2"/>
        <v>802119</v>
      </c>
      <c r="Q2881" s="12">
        <f t="shared" si="3"/>
        <v>0</v>
      </c>
      <c r="R2881" s="9">
        <v>2000.0</v>
      </c>
      <c r="S2881" s="9">
        <v>7.0</v>
      </c>
    </row>
    <row r="2882" ht="15.75" customHeight="1">
      <c r="A2882" s="7" t="s">
        <v>2997</v>
      </c>
      <c r="B2882" s="8" t="str">
        <f>IFERROR(__xludf.DUMMYFUNCTION("REGEXREPLACE(A2882, ""[^0-9a-zA-Z .'Ã]"","""")"),"Chris Columbus")</f>
        <v>Chris Columbus</v>
      </c>
      <c r="C2882" s="9">
        <v>253.0</v>
      </c>
      <c r="D2882" s="10">
        <v>7.8747585E7</v>
      </c>
      <c r="E2882" s="9" t="s">
        <v>9194</v>
      </c>
      <c r="F2882" s="9">
        <f t="shared" si="1"/>
        <v>4</v>
      </c>
      <c r="G2882" s="9" t="s">
        <v>349</v>
      </c>
      <c r="H2882" s="11" t="str">
        <f>IFERROR(__xludf.DUMMYFUNCTION("REGEXREPLACE(G2882, ""[^0-9a-zA-Z .'Ã]"","""")"),"Peter Dinklage")</f>
        <v>Peter Dinklage</v>
      </c>
      <c r="I2882" s="11" t="s">
        <v>9195</v>
      </c>
      <c r="J2882" s="9">
        <v>89770.0</v>
      </c>
      <c r="K2882" s="9" t="s">
        <v>9196</v>
      </c>
      <c r="L2882" s="9">
        <v>342.0</v>
      </c>
      <c r="M2882" s="9" t="s">
        <v>24</v>
      </c>
      <c r="N2882" s="9" t="s">
        <v>25</v>
      </c>
      <c r="O2882" s="10">
        <v>8.8E7</v>
      </c>
      <c r="P2882" s="10">
        <f t="shared" si="2"/>
        <v>0</v>
      </c>
      <c r="Q2882" s="12">
        <f t="shared" si="3"/>
        <v>9252415</v>
      </c>
      <c r="R2882" s="9">
        <v>2015.0</v>
      </c>
      <c r="S2882" s="9">
        <v>5.6</v>
      </c>
    </row>
    <row r="2883" ht="15.75" customHeight="1">
      <c r="A2883" s="17" t="s">
        <v>1733</v>
      </c>
      <c r="B2883" s="8" t="str">
        <f>IFERROR(__xludf.DUMMYFUNCTION("REGEXREPLACE(A2883, ""[^0-9a-zA-Z .'Ã]"","""")"),"Mark Neveldine")</f>
        <v>Mark Neveldine</v>
      </c>
      <c r="C2883" s="18">
        <v>93.0</v>
      </c>
      <c r="D2883" s="19">
        <v>1712111.0</v>
      </c>
      <c r="E2883" s="18" t="s">
        <v>306</v>
      </c>
      <c r="F2883" s="9">
        <f t="shared" si="1"/>
        <v>2</v>
      </c>
      <c r="G2883" s="18" t="s">
        <v>2785</v>
      </c>
      <c r="H2883" s="11" t="str">
        <f>IFERROR(__xludf.DUMMYFUNCTION("REGEXREPLACE(G2883, ""[^0-9a-zA-Z .'Ã]"","""")"),"Djimon Hounsou")</f>
        <v>Djimon Hounsou</v>
      </c>
      <c r="I2883" s="20" t="s">
        <v>9197</v>
      </c>
      <c r="J2883" s="18">
        <v>7199.0</v>
      </c>
      <c r="K2883" s="18" t="s">
        <v>9198</v>
      </c>
      <c r="L2883" s="18">
        <v>53.0</v>
      </c>
      <c r="M2883" s="18" t="s">
        <v>24</v>
      </c>
      <c r="N2883" s="18" t="s">
        <v>25</v>
      </c>
      <c r="O2883" s="19">
        <v>8495000.0</v>
      </c>
      <c r="P2883" s="10">
        <f t="shared" si="2"/>
        <v>0</v>
      </c>
      <c r="Q2883" s="12">
        <f t="shared" si="3"/>
        <v>6782889</v>
      </c>
      <c r="R2883" s="18">
        <v>2015.0</v>
      </c>
      <c r="S2883" s="18">
        <v>4.5</v>
      </c>
    </row>
    <row r="2884" ht="15.75" customHeight="1">
      <c r="A2884" s="21" t="s">
        <v>5625</v>
      </c>
      <c r="B2884" s="8" t="str">
        <f>IFERROR(__xludf.DUMMYFUNCTION("REGEXREPLACE(A2884, ""[^0-9a-zA-Z .'Ã]"","""")"),"Andy Fickman")</f>
        <v>Andy Fickman</v>
      </c>
      <c r="C2884" s="22">
        <v>91.0</v>
      </c>
      <c r="D2884" s="23">
        <v>2.5677801E7</v>
      </c>
      <c r="E2884" s="22" t="s">
        <v>289</v>
      </c>
      <c r="F2884" s="9">
        <f t="shared" si="1"/>
        <v>3</v>
      </c>
      <c r="G2884" s="22" t="s">
        <v>390</v>
      </c>
      <c r="H2884" s="11" t="str">
        <f>IFERROR(__xludf.DUMMYFUNCTION("REGEXREPLACE(G2884, ""[^0-9a-zA-Z .'Ã]"","""")"),"Jamie Lee Curtis")</f>
        <v>Jamie Lee Curtis</v>
      </c>
      <c r="I2884" s="24" t="s">
        <v>9199</v>
      </c>
      <c r="J2884" s="22">
        <v>41273.0</v>
      </c>
      <c r="K2884" s="22" t="s">
        <v>9200</v>
      </c>
      <c r="L2884" s="22">
        <v>136.0</v>
      </c>
      <c r="M2884" s="22" t="s">
        <v>24</v>
      </c>
      <c r="N2884" s="22" t="s">
        <v>25</v>
      </c>
      <c r="O2884" s="23">
        <v>2.0E7</v>
      </c>
      <c r="P2884" s="10">
        <f t="shared" si="2"/>
        <v>5677801</v>
      </c>
      <c r="Q2884" s="12">
        <f t="shared" si="3"/>
        <v>0</v>
      </c>
      <c r="R2884" s="22">
        <v>2010.0</v>
      </c>
      <c r="S2884" s="22">
        <v>5.8</v>
      </c>
    </row>
    <row r="2885" ht="15.75" customHeight="1">
      <c r="A2885" s="7" t="s">
        <v>1482</v>
      </c>
      <c r="B2885" s="8" t="str">
        <f>IFERROR(__xludf.DUMMYFUNCTION("REGEXREPLACE(A2885, ""[^0-9a-zA-Z .'Ã]"","""")"),"Roger Donaldson")</f>
        <v>Roger Donaldson</v>
      </c>
      <c r="C2885" s="9">
        <v>29.0</v>
      </c>
      <c r="D2885" s="10">
        <v>8600000.0</v>
      </c>
      <c r="E2885" s="9" t="s">
        <v>1683</v>
      </c>
      <c r="F2885" s="9">
        <f t="shared" si="1"/>
        <v>5</v>
      </c>
      <c r="G2885" s="9" t="s">
        <v>605</v>
      </c>
      <c r="H2885" s="11" t="str">
        <f>IFERROR(__xludf.DUMMYFUNCTION("REGEXREPLACE(G2885, ""[^0-9a-zA-Z .'Ã]"","""")"),"Liam Neeson")</f>
        <v>Liam Neeson</v>
      </c>
      <c r="I2885" s="11" t="s">
        <v>9201</v>
      </c>
      <c r="J2885" s="9">
        <v>17982.0</v>
      </c>
      <c r="K2885" s="9" t="s">
        <v>9202</v>
      </c>
      <c r="L2885" s="9">
        <v>95.0</v>
      </c>
      <c r="M2885" s="9" t="s">
        <v>24</v>
      </c>
      <c r="N2885" s="9" t="s">
        <v>130</v>
      </c>
      <c r="O2885" s="10">
        <v>2.5E7</v>
      </c>
      <c r="P2885" s="10">
        <f t="shared" si="2"/>
        <v>0</v>
      </c>
      <c r="Q2885" s="12">
        <f t="shared" si="3"/>
        <v>16400000</v>
      </c>
      <c r="R2885" s="9">
        <v>1984.0</v>
      </c>
      <c r="S2885" s="9">
        <v>7.0</v>
      </c>
    </row>
    <row r="2886" ht="15.75" customHeight="1">
      <c r="A2886" s="7" t="s">
        <v>714</v>
      </c>
      <c r="B2886" s="8" t="str">
        <f>IFERROR(__xludf.DUMMYFUNCTION("REGEXREPLACE(A2886, ""[^0-9a-zA-Z .'Ã]"","""")"),"Jon M. Chu")</f>
        <v>Jon M. Chu</v>
      </c>
      <c r="C2886" s="9">
        <v>97.0</v>
      </c>
      <c r="D2886" s="10">
        <v>5.8006147E7</v>
      </c>
      <c r="E2886" s="9" t="s">
        <v>331</v>
      </c>
      <c r="F2886" s="9">
        <f t="shared" si="1"/>
        <v>4</v>
      </c>
      <c r="G2886" s="9" t="s">
        <v>9203</v>
      </c>
      <c r="H2886" s="11" t="str">
        <f>IFERROR(__xludf.DUMMYFUNCTION("REGEXREPLACE(G2886, ""[^0-9a-zA-Z .'Ã]"","""")"),"Cassie Ventura")</f>
        <v>Cassie Ventura</v>
      </c>
      <c r="I2886" s="11" t="s">
        <v>9204</v>
      </c>
      <c r="J2886" s="9">
        <v>67653.0</v>
      </c>
      <c r="K2886" s="9" t="s">
        <v>9205</v>
      </c>
      <c r="L2886" s="9">
        <v>108.0</v>
      </c>
      <c r="M2886" s="9" t="s">
        <v>24</v>
      </c>
      <c r="N2886" s="9" t="s">
        <v>25</v>
      </c>
      <c r="O2886" s="10">
        <v>2.3E7</v>
      </c>
      <c r="P2886" s="10">
        <f t="shared" si="2"/>
        <v>35006147</v>
      </c>
      <c r="Q2886" s="12">
        <f t="shared" si="3"/>
        <v>0</v>
      </c>
      <c r="R2886" s="9">
        <v>2008.0</v>
      </c>
      <c r="S2886" s="9">
        <v>6.2</v>
      </c>
    </row>
    <row r="2887" ht="15.75" customHeight="1">
      <c r="A2887" s="25" t="s">
        <v>2599</v>
      </c>
      <c r="B2887" s="8" t="str">
        <f>IFERROR(__xludf.DUMMYFUNCTION("REGEXREPLACE(A2887, ""[^0-9a-zA-Z .'Ã]"","""")"),"Richard Linklater")</f>
        <v>Richard Linklater</v>
      </c>
      <c r="C2887" s="26">
        <v>232.0</v>
      </c>
      <c r="D2887" s="27">
        <v>5480996.0</v>
      </c>
      <c r="E2887" s="26" t="s">
        <v>9206</v>
      </c>
      <c r="F2887" s="9">
        <f t="shared" si="1"/>
        <v>5</v>
      </c>
      <c r="G2887" s="26" t="s">
        <v>327</v>
      </c>
      <c r="H2887" s="11" t="str">
        <f>IFERROR(__xludf.DUMMYFUNCTION("REGEXREPLACE(G2887, ""[^0-9a-zA-Z .'Ã]"","""")"),"Robert Downey Jr.")</f>
        <v>Robert Downey Jr.</v>
      </c>
      <c r="I2887" s="28" t="s">
        <v>9207</v>
      </c>
      <c r="J2887" s="26">
        <v>89383.0</v>
      </c>
      <c r="K2887" s="26" t="s">
        <v>9208</v>
      </c>
      <c r="L2887" s="26">
        <v>293.0</v>
      </c>
      <c r="M2887" s="26" t="s">
        <v>24</v>
      </c>
      <c r="N2887" s="26" t="s">
        <v>25</v>
      </c>
      <c r="O2887" s="27">
        <v>8700000.0</v>
      </c>
      <c r="P2887" s="10">
        <f t="shared" si="2"/>
        <v>0</v>
      </c>
      <c r="Q2887" s="12">
        <f t="shared" si="3"/>
        <v>3219004</v>
      </c>
      <c r="R2887" s="26">
        <v>2006.0</v>
      </c>
      <c r="S2887" s="26">
        <v>7.1</v>
      </c>
    </row>
    <row r="2888" ht="15.75" customHeight="1">
      <c r="A2888" s="17" t="s">
        <v>1588</v>
      </c>
      <c r="B2888" s="8" t="str">
        <f>IFERROR(__xludf.DUMMYFUNCTION("REGEXREPLACE(A2888, ""[^0-9a-zA-Z .'Ã]"","""")"),"Frank Oz")</f>
        <v>Frank Oz</v>
      </c>
      <c r="C2888" s="18">
        <v>25.0</v>
      </c>
      <c r="D2888" s="19">
        <v>3.5617599E7</v>
      </c>
      <c r="E2888" s="18" t="s">
        <v>7313</v>
      </c>
      <c r="F2888" s="9">
        <f t="shared" si="1"/>
        <v>3</v>
      </c>
      <c r="G2888" s="18" t="s">
        <v>322</v>
      </c>
      <c r="H2888" s="11" t="str">
        <f>IFERROR(__xludf.DUMMYFUNCTION("REGEXREPLACE(G2888, ""[^0-9a-zA-Z .'Ã]"","""")"),"Steve Coogan")</f>
        <v>Steve Coogan</v>
      </c>
      <c r="I2888" s="20" t="s">
        <v>9209</v>
      </c>
      <c r="J2888" s="18">
        <v>20688.0</v>
      </c>
      <c r="K2888" s="18" t="s">
        <v>9210</v>
      </c>
      <c r="L2888" s="18">
        <v>47.0</v>
      </c>
      <c r="M2888" s="18" t="s">
        <v>24</v>
      </c>
      <c r="N2888" s="18" t="s">
        <v>25</v>
      </c>
      <c r="O2888" s="19">
        <v>4.5E7</v>
      </c>
      <c r="P2888" s="10">
        <f t="shared" si="2"/>
        <v>0</v>
      </c>
      <c r="Q2888" s="12">
        <f t="shared" si="3"/>
        <v>9382401</v>
      </c>
      <c r="R2888" s="18">
        <v>1995.0</v>
      </c>
      <c r="S2888" s="18">
        <v>5.9</v>
      </c>
    </row>
    <row r="2889" ht="15.75" customHeight="1">
      <c r="A2889" s="17" t="s">
        <v>9211</v>
      </c>
      <c r="B2889" s="8" t="str">
        <f>IFERROR(__xludf.DUMMYFUNCTION("REGEXREPLACE(A2889, ""[^0-9a-zA-Z .'Ã]"","""")"),"Patrick Gilmore")</f>
        <v>Patrick Gilmore</v>
      </c>
      <c r="C2889" s="18">
        <v>98.0</v>
      </c>
      <c r="D2889" s="19">
        <v>2.628832E7</v>
      </c>
      <c r="E2889" s="18" t="s">
        <v>9212</v>
      </c>
      <c r="F2889" s="9">
        <f t="shared" si="1"/>
        <v>7</v>
      </c>
      <c r="G2889" s="18" t="s">
        <v>1426</v>
      </c>
      <c r="H2889" s="11" t="str">
        <f>IFERROR(__xludf.DUMMYFUNCTION("REGEXREPLACE(G2889, ""[^0-9a-zA-Z .'Ã]"","""")"),"Brad Pitt")</f>
        <v>Brad Pitt</v>
      </c>
      <c r="I2889" s="20" t="s">
        <v>9213</v>
      </c>
      <c r="J2889" s="18">
        <v>36144.0</v>
      </c>
      <c r="K2889" s="18" t="s">
        <v>9214</v>
      </c>
      <c r="L2889" s="18">
        <v>91.0</v>
      </c>
      <c r="M2889" s="18" t="s">
        <v>24</v>
      </c>
      <c r="N2889" s="18" t="s">
        <v>25</v>
      </c>
      <c r="O2889" s="19">
        <v>6.0E7</v>
      </c>
      <c r="P2889" s="10">
        <f t="shared" si="2"/>
        <v>0</v>
      </c>
      <c r="Q2889" s="12">
        <f t="shared" si="3"/>
        <v>33711680</v>
      </c>
      <c r="R2889" s="18">
        <v>2003.0</v>
      </c>
      <c r="S2889" s="18">
        <v>6.7</v>
      </c>
    </row>
    <row r="2890" ht="15.75" customHeight="1">
      <c r="A2890" s="17" t="s">
        <v>9215</v>
      </c>
      <c r="B2890" s="8" t="str">
        <f>IFERROR(__xludf.DUMMYFUNCTION("REGEXREPLACE(A2890, ""[^0-9a-zA-Z .'Ã]"","""")"),"Kurt Voss")</f>
        <v>Kurt Voss</v>
      </c>
      <c r="C2890" s="18">
        <v>12.0</v>
      </c>
      <c r="D2890" s="19">
        <v>58936.0</v>
      </c>
      <c r="E2890" s="18" t="s">
        <v>321</v>
      </c>
      <c r="F2890" s="9">
        <f t="shared" si="1"/>
        <v>2</v>
      </c>
      <c r="G2890" s="18" t="s">
        <v>9216</v>
      </c>
      <c r="H2890" s="11" t="str">
        <f>IFERROR(__xludf.DUMMYFUNCTION("REGEXREPLACE(G2890, ""[^0-9a-zA-Z .'Ã]"","""")"),"Lemmy")</f>
        <v>Lemmy</v>
      </c>
      <c r="I2890" s="20" t="s">
        <v>9217</v>
      </c>
      <c r="J2890" s="18">
        <v>91.0</v>
      </c>
      <c r="K2890" s="18" t="s">
        <v>9218</v>
      </c>
      <c r="L2890" s="18">
        <v>4.0</v>
      </c>
      <c r="M2890" s="18" t="s">
        <v>24</v>
      </c>
      <c r="N2890" s="18" t="s">
        <v>25</v>
      </c>
      <c r="O2890" s="19">
        <v>1200000.0</v>
      </c>
      <c r="P2890" s="10">
        <f t="shared" si="2"/>
        <v>0</v>
      </c>
      <c r="Q2890" s="12">
        <f t="shared" si="3"/>
        <v>1141064</v>
      </c>
      <c r="R2890" s="18">
        <v>2001.0</v>
      </c>
      <c r="S2890" s="18">
        <v>6.1</v>
      </c>
    </row>
    <row r="2891" ht="15.75" customHeight="1">
      <c r="A2891" s="7" t="s">
        <v>2089</v>
      </c>
      <c r="B2891" s="8" t="str">
        <f>IFERROR(__xludf.DUMMYFUNCTION("REGEXREPLACE(A2891, ""[^0-9a-zA-Z .'Ã]"","""")"),"Ken Kwapis")</f>
        <v>Ken Kwapis</v>
      </c>
      <c r="C2891" s="9">
        <v>120.0</v>
      </c>
      <c r="D2891" s="10">
        <v>4.3792641E7</v>
      </c>
      <c r="E2891" s="9" t="s">
        <v>89</v>
      </c>
      <c r="F2891" s="9">
        <f t="shared" si="1"/>
        <v>2</v>
      </c>
      <c r="G2891" s="9" t="s">
        <v>673</v>
      </c>
      <c r="H2891" s="11" t="str">
        <f>IFERROR(__xludf.DUMMYFUNCTION("REGEXREPLACE(G2891, ""[^0-9a-zA-Z .'Ã]"","""")"),"Robin Williams")</f>
        <v>Robin Williams</v>
      </c>
      <c r="I2891" s="11" t="s">
        <v>9219</v>
      </c>
      <c r="J2891" s="9">
        <v>32157.0</v>
      </c>
      <c r="K2891" s="9" t="s">
        <v>9220</v>
      </c>
      <c r="L2891" s="9">
        <v>119.0</v>
      </c>
      <c r="M2891" s="9" t="s">
        <v>24</v>
      </c>
      <c r="N2891" s="9" t="s">
        <v>25</v>
      </c>
      <c r="O2891" s="10">
        <v>3.5E7</v>
      </c>
      <c r="P2891" s="10">
        <f t="shared" si="2"/>
        <v>8792641</v>
      </c>
      <c r="Q2891" s="12">
        <f t="shared" si="3"/>
        <v>0</v>
      </c>
      <c r="R2891" s="9">
        <v>2007.0</v>
      </c>
      <c r="S2891" s="9">
        <v>5.3</v>
      </c>
    </row>
    <row r="2892" ht="15.75" customHeight="1">
      <c r="A2892" s="21" t="s">
        <v>2808</v>
      </c>
      <c r="B2892" s="8" t="str">
        <f>IFERROR(__xludf.DUMMYFUNCTION("REGEXREPLACE(A2892, ""[^0-9a-zA-Z .'Ã]"","""")"),"Paul Verhoeven")</f>
        <v>Paul Verhoeven</v>
      </c>
      <c r="C2892" s="22">
        <v>231.0</v>
      </c>
      <c r="D2892" s="23">
        <v>4398392.0</v>
      </c>
      <c r="E2892" s="22" t="s">
        <v>9121</v>
      </c>
      <c r="F2892" s="9">
        <f t="shared" si="1"/>
        <v>3</v>
      </c>
      <c r="G2892" s="22" t="s">
        <v>5319</v>
      </c>
      <c r="H2892" s="11" t="str">
        <f>IFERROR(__xludf.DUMMYFUNCTION("REGEXREPLACE(G2892, ""[^0-9a-zA-Z .'Ã]"","""")"),"Michiel Huisman")</f>
        <v>Michiel Huisman</v>
      </c>
      <c r="I2892" s="24" t="s">
        <v>9221</v>
      </c>
      <c r="J2892" s="22">
        <v>59507.0</v>
      </c>
      <c r="K2892" s="22" t="s">
        <v>9222</v>
      </c>
      <c r="L2892" s="22">
        <v>232.0</v>
      </c>
      <c r="M2892" s="22" t="s">
        <v>6528</v>
      </c>
      <c r="N2892" s="22" t="s">
        <v>6529</v>
      </c>
      <c r="O2892" s="23">
        <v>2.1E7</v>
      </c>
      <c r="P2892" s="10">
        <f t="shared" si="2"/>
        <v>0</v>
      </c>
      <c r="Q2892" s="12">
        <f t="shared" si="3"/>
        <v>16601608</v>
      </c>
      <c r="R2892" s="22">
        <v>2006.0</v>
      </c>
      <c r="S2892" s="22">
        <v>7.8</v>
      </c>
    </row>
    <row r="2893" ht="15.75" customHeight="1">
      <c r="A2893" s="25" t="s">
        <v>1095</v>
      </c>
      <c r="B2893" s="8" t="str">
        <f>IFERROR(__xludf.DUMMYFUNCTION("REGEXREPLACE(A2893, ""[^0-9a-zA-Z .'Ã]"","""")"),"Renny Harlin")</f>
        <v>Renny Harlin</v>
      </c>
      <c r="C2893" s="26">
        <v>199.0</v>
      </c>
      <c r="D2893" s="27">
        <v>7.3648142E7</v>
      </c>
      <c r="E2893" s="26" t="s">
        <v>1734</v>
      </c>
      <c r="F2893" s="9">
        <f t="shared" si="1"/>
        <v>3</v>
      </c>
      <c r="G2893" s="26" t="s">
        <v>1329</v>
      </c>
      <c r="H2893" s="11" t="str">
        <f>IFERROR(__xludf.DUMMYFUNCTION("REGEXREPLACE(G2893, ""[^0-9a-zA-Z .'Ã]"","""")"),"LL Cool J")</f>
        <v>LL Cool J</v>
      </c>
      <c r="I2893" s="28" t="s">
        <v>9223</v>
      </c>
      <c r="J2893" s="26">
        <v>99043.0</v>
      </c>
      <c r="K2893" s="26" t="s">
        <v>9224</v>
      </c>
      <c r="L2893" s="26">
        <v>643.0</v>
      </c>
      <c r="M2893" s="26" t="s">
        <v>24</v>
      </c>
      <c r="N2893" s="26" t="s">
        <v>25</v>
      </c>
      <c r="O2893" s="27">
        <v>6.0E7</v>
      </c>
      <c r="P2893" s="10">
        <f t="shared" si="2"/>
        <v>13648142</v>
      </c>
      <c r="Q2893" s="12">
        <f t="shared" si="3"/>
        <v>0</v>
      </c>
      <c r="R2893" s="26">
        <v>1999.0</v>
      </c>
      <c r="S2893" s="26">
        <v>5.8</v>
      </c>
    </row>
    <row r="2894" ht="15.75" customHeight="1">
      <c r="A2894" s="21" t="s">
        <v>7093</v>
      </c>
      <c r="B2894" s="8" t="str">
        <f>IFERROR(__xludf.DUMMYFUNCTION("REGEXREPLACE(A2894, ""[^0-9a-zA-Z .'Ã]"","""")"),"Paul McGuigan")</f>
        <v>Paul McGuigan</v>
      </c>
      <c r="C2894" s="22">
        <v>159.0</v>
      </c>
      <c r="D2894" s="23">
        <v>5773519.0</v>
      </c>
      <c r="E2894" s="22" t="s">
        <v>2324</v>
      </c>
      <c r="F2894" s="9">
        <f t="shared" si="1"/>
        <v>4</v>
      </c>
      <c r="G2894" s="22" t="s">
        <v>2094</v>
      </c>
      <c r="H2894" s="11" t="str">
        <f>IFERROR(__xludf.DUMMYFUNCTION("REGEXREPLACE(G2894, ""[^0-9a-zA-Z .'Ã]"","""")"),"Daniel Radcliffe")</f>
        <v>Daniel Radcliffe</v>
      </c>
      <c r="I2894" s="24" t="s">
        <v>9225</v>
      </c>
      <c r="J2894" s="22">
        <v>28618.0</v>
      </c>
      <c r="K2894" s="22" t="s">
        <v>9226</v>
      </c>
      <c r="L2894" s="22">
        <v>91.0</v>
      </c>
      <c r="M2894" s="22" t="s">
        <v>24</v>
      </c>
      <c r="N2894" s="22" t="s">
        <v>25</v>
      </c>
      <c r="O2894" s="23">
        <v>4.0E7</v>
      </c>
      <c r="P2894" s="10">
        <f t="shared" si="2"/>
        <v>0</v>
      </c>
      <c r="Q2894" s="12">
        <f t="shared" si="3"/>
        <v>34226481</v>
      </c>
      <c r="R2894" s="22">
        <v>2015.0</v>
      </c>
      <c r="S2894" s="22">
        <v>6.0</v>
      </c>
    </row>
    <row r="2895" ht="15.75" customHeight="1">
      <c r="A2895" s="7" t="s">
        <v>4941</v>
      </c>
      <c r="B2895" s="8" t="str">
        <f>IFERROR(__xludf.DUMMYFUNCTION("REGEXREPLACE(A2895, ""[^0-9a-zA-Z .'Ã]"","""")"),"James Marsh")</f>
        <v>James Marsh</v>
      </c>
      <c r="C2895" s="9">
        <v>419.0</v>
      </c>
      <c r="D2895" s="10">
        <v>3.5887263E7</v>
      </c>
      <c r="E2895" s="9" t="s">
        <v>887</v>
      </c>
      <c r="F2895" s="9">
        <f t="shared" si="1"/>
        <v>3</v>
      </c>
      <c r="G2895" s="9" t="s">
        <v>3604</v>
      </c>
      <c r="H2895" s="11" t="str">
        <f>IFERROR(__xludf.DUMMYFUNCTION("REGEXREPLACE(G2895, ""[^0-9a-zA-Z .'Ã]"","""")"),"Eddie Redmayne")</f>
        <v>Eddie Redmayne</v>
      </c>
      <c r="I2895" s="11" t="s">
        <v>9227</v>
      </c>
      <c r="J2895" s="9">
        <v>265507.0</v>
      </c>
      <c r="K2895" s="9" t="s">
        <v>9228</v>
      </c>
      <c r="L2895" s="9">
        <v>388.0</v>
      </c>
      <c r="M2895" s="9" t="s">
        <v>24</v>
      </c>
      <c r="N2895" s="9" t="s">
        <v>130</v>
      </c>
      <c r="O2895" s="10">
        <v>1.5E7</v>
      </c>
      <c r="P2895" s="10">
        <f t="shared" si="2"/>
        <v>20887263</v>
      </c>
      <c r="Q2895" s="12">
        <f t="shared" si="3"/>
        <v>0</v>
      </c>
      <c r="R2895" s="9">
        <v>2014.0</v>
      </c>
      <c r="S2895" s="9">
        <v>7.7</v>
      </c>
    </row>
    <row r="2896" ht="15.75" customHeight="1">
      <c r="A2896" s="17" t="s">
        <v>9229</v>
      </c>
      <c r="B2896" s="8" t="str">
        <f>IFERROR(__xludf.DUMMYFUNCTION("REGEXREPLACE(A2896, ""[^0-9a-zA-Z .'Ã]"","""")"),"Dean Wright")</f>
        <v>Dean Wright</v>
      </c>
      <c r="C2896" s="18">
        <v>43.0</v>
      </c>
      <c r="D2896" s="19">
        <v>5669081.0</v>
      </c>
      <c r="E2896" s="18" t="s">
        <v>74</v>
      </c>
      <c r="F2896" s="9">
        <f t="shared" si="1"/>
        <v>3</v>
      </c>
      <c r="G2896" s="18" t="s">
        <v>9230</v>
      </c>
      <c r="H2896" s="11" t="str">
        <f>IFERROR(__xludf.DUMMYFUNCTION("REGEXREPLACE(G2896, ""[^0-9a-zA-Z .'Ã]"","""")"),"Santiago Cabrera")</f>
        <v>Santiago Cabrera</v>
      </c>
      <c r="I2896" s="20" t="s">
        <v>9231</v>
      </c>
      <c r="J2896" s="18">
        <v>3665.0</v>
      </c>
      <c r="K2896" s="18" t="s">
        <v>9232</v>
      </c>
      <c r="L2896" s="18">
        <v>57.0</v>
      </c>
      <c r="M2896" s="18" t="s">
        <v>1553</v>
      </c>
      <c r="N2896" s="18" t="s">
        <v>1893</v>
      </c>
      <c r="O2896" s="19">
        <v>1.0818775E7</v>
      </c>
      <c r="P2896" s="10">
        <f t="shared" si="2"/>
        <v>0</v>
      </c>
      <c r="Q2896" s="12">
        <f t="shared" si="3"/>
        <v>5149694</v>
      </c>
      <c r="R2896" s="18">
        <v>2012.0</v>
      </c>
      <c r="S2896" s="18">
        <v>6.6</v>
      </c>
    </row>
    <row r="2897" ht="15.75" customHeight="1">
      <c r="A2897" s="25" t="s">
        <v>3158</v>
      </c>
      <c r="B2897" s="8" t="str">
        <f>IFERROR(__xludf.DUMMYFUNCTION("REGEXREPLACE(A2897, ""[^0-9a-zA-Z .'Ã]"","""")"),"Francis Lawrence")</f>
        <v>Francis Lawrence</v>
      </c>
      <c r="C2897" s="26">
        <v>403.0</v>
      </c>
      <c r="D2897" s="27">
        <v>3.37103873E8</v>
      </c>
      <c r="E2897" s="26" t="s">
        <v>1317</v>
      </c>
      <c r="F2897" s="9">
        <f t="shared" si="1"/>
        <v>3</v>
      </c>
      <c r="G2897" s="26" t="s">
        <v>1494</v>
      </c>
      <c r="H2897" s="11" t="str">
        <f>IFERROR(__xludf.DUMMYFUNCTION("REGEXREPLACE(G2897, ""[^0-9a-zA-Z .'Ã]"","""")"),"Jennifer Lawrence")</f>
        <v>Jennifer Lawrence</v>
      </c>
      <c r="I2897" s="28" t="s">
        <v>9233</v>
      </c>
      <c r="J2897" s="26">
        <v>305008.0</v>
      </c>
      <c r="K2897" s="26" t="s">
        <v>9234</v>
      </c>
      <c r="L2897" s="26">
        <v>591.0</v>
      </c>
      <c r="M2897" s="26" t="s">
        <v>24</v>
      </c>
      <c r="N2897" s="26" t="s">
        <v>25</v>
      </c>
      <c r="O2897" s="27">
        <v>1.25E8</v>
      </c>
      <c r="P2897" s="10">
        <f t="shared" si="2"/>
        <v>212103873</v>
      </c>
      <c r="Q2897" s="12">
        <f t="shared" si="3"/>
        <v>0</v>
      </c>
      <c r="R2897" s="26">
        <v>2014.0</v>
      </c>
      <c r="S2897" s="26">
        <v>6.7</v>
      </c>
    </row>
    <row r="2898" ht="15.75" customHeight="1">
      <c r="A2898" s="17" t="s">
        <v>9235</v>
      </c>
      <c r="B2898" s="8" t="str">
        <f>IFERROR(__xludf.DUMMYFUNCTION("REGEXREPLACE(A2898, ""[^0-9a-zA-Z .'Ã]"","""")"),"John Putch")</f>
        <v>John Putch</v>
      </c>
      <c r="C2898" s="18">
        <v>23.0</v>
      </c>
      <c r="D2898" s="19">
        <v>3333823.0</v>
      </c>
      <c r="E2898" s="18" t="s">
        <v>2978</v>
      </c>
      <c r="F2898" s="9">
        <f t="shared" si="1"/>
        <v>3</v>
      </c>
      <c r="G2898" s="18" t="s">
        <v>9236</v>
      </c>
      <c r="H2898" s="11" t="str">
        <f>IFERROR(__xludf.DUMMYFUNCTION("REGEXREPLACE(G2898, ""[^0-9a-zA-Z .'Ã]"","""")"),"Robert Picardo")</f>
        <v>Robert Picardo</v>
      </c>
      <c r="I2898" s="20" t="s">
        <v>9237</v>
      </c>
      <c r="J2898" s="18">
        <v>5612.0</v>
      </c>
      <c r="K2898" s="18" t="s">
        <v>9238</v>
      </c>
      <c r="L2898" s="18">
        <v>122.0</v>
      </c>
      <c r="M2898" s="18" t="s">
        <v>24</v>
      </c>
      <c r="N2898" s="18" t="s">
        <v>25</v>
      </c>
      <c r="O2898" s="19">
        <v>1.0E7</v>
      </c>
      <c r="P2898" s="10">
        <f t="shared" si="2"/>
        <v>0</v>
      </c>
      <c r="Q2898" s="12">
        <f t="shared" si="3"/>
        <v>6666177</v>
      </c>
      <c r="R2898" s="18">
        <v>2012.0</v>
      </c>
      <c r="S2898" s="18">
        <v>5.5</v>
      </c>
    </row>
    <row r="2899" ht="15.75" customHeight="1">
      <c r="A2899" s="7" t="s">
        <v>4188</v>
      </c>
      <c r="B2899" s="8" t="str">
        <f>IFERROR(__xludf.DUMMYFUNCTION("REGEXREPLACE(A2899, ""[^0-9a-zA-Z .'Ã]"","""")"),"Stephen Hopkins")</f>
        <v>Stephen Hopkins</v>
      </c>
      <c r="C2899" s="9">
        <v>119.0</v>
      </c>
      <c r="D2899" s="10">
        <v>3.0669413E7</v>
      </c>
      <c r="E2899" s="9" t="s">
        <v>2417</v>
      </c>
      <c r="F2899" s="9">
        <f t="shared" si="1"/>
        <v>3</v>
      </c>
      <c r="G2899" s="9" t="s">
        <v>5322</v>
      </c>
      <c r="H2899" s="11" t="str">
        <f>IFERROR(__xludf.DUMMYFUNCTION("REGEXREPLACE(G2899, ""[^0-9a-zA-Z .'Ã]"","""")"),"Adam Baldwin")</f>
        <v>Adam Baldwin</v>
      </c>
      <c r="I2899" s="11" t="s">
        <v>9239</v>
      </c>
      <c r="J2899" s="9">
        <v>105478.0</v>
      </c>
      <c r="K2899" s="9" t="s">
        <v>9240</v>
      </c>
      <c r="L2899" s="9">
        <v>291.0</v>
      </c>
      <c r="M2899" s="9" t="s">
        <v>24</v>
      </c>
      <c r="N2899" s="9" t="s">
        <v>25</v>
      </c>
      <c r="O2899" s="10">
        <v>3.5E7</v>
      </c>
      <c r="P2899" s="10">
        <f t="shared" si="2"/>
        <v>0</v>
      </c>
      <c r="Q2899" s="12">
        <f t="shared" si="3"/>
        <v>4330587</v>
      </c>
      <c r="R2899" s="9">
        <v>1990.0</v>
      </c>
      <c r="S2899" s="9">
        <v>6.2</v>
      </c>
    </row>
    <row r="2900" ht="15.75" customHeight="1">
      <c r="A2900" s="7" t="s">
        <v>9241</v>
      </c>
      <c r="B2900" s="8" t="str">
        <f>IFERROR(__xludf.DUMMYFUNCTION("REGEXREPLACE(A2900, ""[^0-9a-zA-Z .'Ã]"","""")"),"Babak Najafi")</f>
        <v>Babak Najafi</v>
      </c>
      <c r="C2900" s="9">
        <v>225.0</v>
      </c>
      <c r="D2900" s="10">
        <v>6.2401264E7</v>
      </c>
      <c r="E2900" s="9" t="s">
        <v>501</v>
      </c>
      <c r="F2900" s="9">
        <f t="shared" si="1"/>
        <v>4</v>
      </c>
      <c r="G2900" s="9" t="s">
        <v>830</v>
      </c>
      <c r="H2900" s="11" t="str">
        <f>IFERROR(__xludf.DUMMYFUNCTION("REGEXREPLACE(G2900, ""[^0-9a-zA-Z .'Ã]"","""")"),"Gerard Butler")</f>
        <v>Gerard Butler</v>
      </c>
      <c r="I2900" s="11" t="s">
        <v>9242</v>
      </c>
      <c r="J2900" s="9">
        <v>69484.0</v>
      </c>
      <c r="K2900" s="9" t="s">
        <v>9243</v>
      </c>
      <c r="L2900" s="9">
        <v>323.0</v>
      </c>
      <c r="M2900" s="9" t="s">
        <v>24</v>
      </c>
      <c r="N2900" s="9" t="s">
        <v>130</v>
      </c>
      <c r="O2900" s="10">
        <v>6.0E7</v>
      </c>
      <c r="P2900" s="10">
        <f t="shared" si="2"/>
        <v>2401264</v>
      </c>
      <c r="Q2900" s="12">
        <f t="shared" si="3"/>
        <v>0</v>
      </c>
      <c r="R2900" s="9">
        <v>2016.0</v>
      </c>
      <c r="S2900" s="9">
        <v>5.9</v>
      </c>
    </row>
    <row r="2901" ht="15.75" customHeight="1">
      <c r="A2901" s="7" t="s">
        <v>8183</v>
      </c>
      <c r="B2901" s="8" t="str">
        <f>IFERROR(__xludf.DUMMYFUNCTION("REGEXREPLACE(A2901, ""[^0-9a-zA-Z .'Ã]"","""")"),"John Curran")</f>
        <v>John Curran</v>
      </c>
      <c r="C2901" s="9">
        <v>143.0</v>
      </c>
      <c r="D2901" s="10">
        <v>8047690.0</v>
      </c>
      <c r="E2901" s="9" t="s">
        <v>232</v>
      </c>
      <c r="F2901" s="9">
        <f t="shared" si="1"/>
        <v>2</v>
      </c>
      <c r="G2901" s="9" t="s">
        <v>6867</v>
      </c>
      <c r="H2901" s="11" t="str">
        <f>IFERROR(__xludf.DUMMYFUNCTION("REGEXREPLACE(G2901, ""[^0-9a-zA-Z .'Ã]"","""")"),"Toby Jones")</f>
        <v>Toby Jones</v>
      </c>
      <c r="I2901" s="11" t="s">
        <v>9244</v>
      </c>
      <c r="J2901" s="9">
        <v>77656.0</v>
      </c>
      <c r="K2901" s="9" t="s">
        <v>9245</v>
      </c>
      <c r="L2901" s="9">
        <v>220.0</v>
      </c>
      <c r="M2901" s="9" t="s">
        <v>3260</v>
      </c>
      <c r="N2901" s="9" t="s">
        <v>217</v>
      </c>
      <c r="O2901" s="10">
        <v>1.94E7</v>
      </c>
      <c r="P2901" s="10">
        <f t="shared" si="2"/>
        <v>0</v>
      </c>
      <c r="Q2901" s="12">
        <f t="shared" si="3"/>
        <v>11352310</v>
      </c>
      <c r="R2901" s="9">
        <v>2006.0</v>
      </c>
      <c r="S2901" s="9">
        <v>7.5</v>
      </c>
    </row>
    <row r="2902" ht="15.75" customHeight="1">
      <c r="A2902" s="25" t="s">
        <v>9246</v>
      </c>
      <c r="B2902" s="8" t="str">
        <f>IFERROR(__xludf.DUMMYFUNCTION("REGEXREPLACE(A2902, ""[^0-9a-zA-Z .'Ã]"","""")"),"Mark Andrews")</f>
        <v>Mark Andrews</v>
      </c>
      <c r="C2902" s="26">
        <v>488.0</v>
      </c>
      <c r="D2902" s="27">
        <v>2.37282182E8</v>
      </c>
      <c r="E2902" s="26" t="s">
        <v>301</v>
      </c>
      <c r="F2902" s="9">
        <f t="shared" si="1"/>
        <v>5</v>
      </c>
      <c r="G2902" s="26" t="s">
        <v>7592</v>
      </c>
      <c r="H2902" s="11" t="str">
        <f>IFERROR(__xludf.DUMMYFUNCTION("REGEXREPLACE(G2902, ""[^0-9a-zA-Z .'Ã]"","""")"),"Kelly Macdonald")</f>
        <v>Kelly Macdonald</v>
      </c>
      <c r="I2902" s="28" t="s">
        <v>9247</v>
      </c>
      <c r="J2902" s="26">
        <v>273556.0</v>
      </c>
      <c r="K2902" s="26" t="s">
        <v>9248</v>
      </c>
      <c r="L2902" s="26">
        <v>428.0</v>
      </c>
      <c r="M2902" s="26" t="s">
        <v>24</v>
      </c>
      <c r="N2902" s="26" t="s">
        <v>25</v>
      </c>
      <c r="O2902" s="27">
        <v>1.85E8</v>
      </c>
      <c r="P2902" s="10">
        <f t="shared" si="2"/>
        <v>52282182</v>
      </c>
      <c r="Q2902" s="12">
        <f t="shared" si="3"/>
        <v>0</v>
      </c>
      <c r="R2902" s="26">
        <v>2012.0</v>
      </c>
      <c r="S2902" s="26">
        <v>7.2</v>
      </c>
    </row>
    <row r="2903" ht="15.75" customHeight="1">
      <c r="A2903" s="7" t="s">
        <v>1465</v>
      </c>
      <c r="B2903" s="8" t="str">
        <f>IFERROR(__xludf.DUMMYFUNCTION("REGEXREPLACE(A2903, ""[^0-9a-zA-Z .'Ã]"","""")"),"E. Elias Merhige")</f>
        <v>E. Elias Merhige</v>
      </c>
      <c r="C2903" s="9">
        <v>101.0</v>
      </c>
      <c r="D2903" s="10">
        <v>8712564.0</v>
      </c>
      <c r="E2903" s="9" t="s">
        <v>435</v>
      </c>
      <c r="F2903" s="9">
        <f t="shared" si="1"/>
        <v>4</v>
      </c>
      <c r="G2903" s="9" t="s">
        <v>6171</v>
      </c>
      <c r="H2903" s="11" t="str">
        <f>IFERROR(__xludf.DUMMYFUNCTION("REGEXREPLACE(G2903, ""[^0-9a-zA-Z .'Ã]"","""")"),"Harry Lennix")</f>
        <v>Harry Lennix</v>
      </c>
      <c r="I2903" s="11" t="s">
        <v>9249</v>
      </c>
      <c r="J2903" s="9">
        <v>16555.0</v>
      </c>
      <c r="K2903" s="9" t="s">
        <v>9250</v>
      </c>
      <c r="L2903" s="9">
        <v>139.0</v>
      </c>
      <c r="M2903" s="9" t="s">
        <v>24</v>
      </c>
      <c r="N2903" s="9" t="s">
        <v>25</v>
      </c>
      <c r="O2903" s="10">
        <v>2.7E7</v>
      </c>
      <c r="P2903" s="10">
        <f t="shared" si="2"/>
        <v>0</v>
      </c>
      <c r="Q2903" s="12">
        <f t="shared" si="3"/>
        <v>18287436</v>
      </c>
      <c r="R2903" s="9">
        <v>2004.0</v>
      </c>
      <c r="S2903" s="9">
        <v>5.9</v>
      </c>
    </row>
    <row r="2904" ht="15.75" customHeight="1">
      <c r="A2904" s="7" t="s">
        <v>9251</v>
      </c>
      <c r="B2904" s="8" t="str">
        <f>IFERROR(__xludf.DUMMYFUNCTION("REGEXREPLACE(A2904, ""[^0-9a-zA-Z .'Ã]"","""")"),"Edward Norton")</f>
        <v>Edward Norton</v>
      </c>
      <c r="C2904" s="9">
        <v>148.0</v>
      </c>
      <c r="D2904" s="10">
        <v>3.7036404E7</v>
      </c>
      <c r="E2904" s="9" t="s">
        <v>159</v>
      </c>
      <c r="F2904" s="9">
        <f t="shared" si="1"/>
        <v>3</v>
      </c>
      <c r="G2904" s="9" t="s">
        <v>9252</v>
      </c>
      <c r="H2904" s="11" t="str">
        <f>IFERROR(__xludf.DUMMYFUNCTION("REGEXREPLACE(G2904, ""[^0-9a-zA-Z .'Ã]"","""")"),"Lisa Edelstein")</f>
        <v>Lisa Edelstein</v>
      </c>
      <c r="I2904" s="11" t="s">
        <v>9253</v>
      </c>
      <c r="J2904" s="9">
        <v>44816.0</v>
      </c>
      <c r="K2904" s="9" t="s">
        <v>9254</v>
      </c>
      <c r="L2904" s="9">
        <v>259.0</v>
      </c>
      <c r="M2904" s="9" t="s">
        <v>24</v>
      </c>
      <c r="N2904" s="9" t="s">
        <v>25</v>
      </c>
      <c r="O2904" s="10">
        <v>3.0E7</v>
      </c>
      <c r="P2904" s="10">
        <f t="shared" si="2"/>
        <v>7036404</v>
      </c>
      <c r="Q2904" s="12">
        <f t="shared" si="3"/>
        <v>0</v>
      </c>
      <c r="R2904" s="9">
        <v>2000.0</v>
      </c>
      <c r="S2904" s="9">
        <v>6.4</v>
      </c>
    </row>
    <row r="2905" ht="15.75" customHeight="1">
      <c r="A2905" s="21" t="s">
        <v>3629</v>
      </c>
      <c r="B2905" s="8" t="str">
        <f>IFERROR(__xludf.DUMMYFUNCTION("REGEXREPLACE(A2905, ""[^0-9a-zA-Z -.'Ã]"","""")"),"Jean-Jacques Annaud")</f>
        <v>Jean-Jacques Annaud</v>
      </c>
      <c r="C2905" s="22">
        <v>76.0</v>
      </c>
      <c r="D2905" s="23">
        <v>3.7901509E7</v>
      </c>
      <c r="E2905" s="22" t="s">
        <v>1895</v>
      </c>
      <c r="F2905" s="9">
        <f t="shared" si="1"/>
        <v>5</v>
      </c>
      <c r="G2905" s="22" t="s">
        <v>1426</v>
      </c>
      <c r="H2905" s="11" t="str">
        <f>IFERROR(__xludf.DUMMYFUNCTION("REGEXREPLACE(G2905, ""[^0-9a-zA-Z .'Ã]"","""")"),"Brad Pitt")</f>
        <v>Brad Pitt</v>
      </c>
      <c r="I2905" s="24" t="s">
        <v>9255</v>
      </c>
      <c r="J2905" s="22">
        <v>96385.0</v>
      </c>
      <c r="K2905" s="22" t="s">
        <v>9256</v>
      </c>
      <c r="L2905" s="22">
        <v>119.0</v>
      </c>
      <c r="M2905" s="22" t="s">
        <v>24</v>
      </c>
      <c r="N2905" s="22" t="s">
        <v>25</v>
      </c>
      <c r="O2905" s="23">
        <v>7.0E7</v>
      </c>
      <c r="P2905" s="10">
        <f t="shared" si="2"/>
        <v>0</v>
      </c>
      <c r="Q2905" s="12">
        <f t="shared" si="3"/>
        <v>32098491</v>
      </c>
      <c r="R2905" s="22">
        <v>1997.0</v>
      </c>
      <c r="S2905" s="22">
        <v>7.0</v>
      </c>
    </row>
    <row r="2906" ht="15.75" customHeight="1">
      <c r="A2906" s="7" t="s">
        <v>9257</v>
      </c>
      <c r="B2906" s="8" t="str">
        <f>IFERROR(__xludf.DUMMYFUNCTION("REGEXREPLACE(A2906, ""[^0-9a-zA-Z .'Ã]"","""")"),"Mike Gabriel")</f>
        <v>Mike Gabriel</v>
      </c>
      <c r="C2906" s="9">
        <v>92.0</v>
      </c>
      <c r="D2906" s="10">
        <v>1.416E8</v>
      </c>
      <c r="E2906" s="9" t="s">
        <v>9258</v>
      </c>
      <c r="F2906" s="9">
        <f t="shared" si="1"/>
        <v>7</v>
      </c>
      <c r="G2906" s="9" t="s">
        <v>1579</v>
      </c>
      <c r="H2906" s="11" t="str">
        <f>IFERROR(__xludf.DUMMYFUNCTION("REGEXREPLACE(G2906, ""[^0-9a-zA-Z .'Ã]"","""")"),"Christian Bale")</f>
        <v>Christian Bale</v>
      </c>
      <c r="I2906" s="11" t="s">
        <v>9259</v>
      </c>
      <c r="J2906" s="9">
        <v>119675.0</v>
      </c>
      <c r="K2906" s="9" t="s">
        <v>9260</v>
      </c>
      <c r="L2906" s="9">
        <v>216.0</v>
      </c>
      <c r="M2906" s="9" t="s">
        <v>24</v>
      </c>
      <c r="N2906" s="9" t="s">
        <v>25</v>
      </c>
      <c r="O2906" s="10">
        <v>5.5E7</v>
      </c>
      <c r="P2906" s="10">
        <f t="shared" si="2"/>
        <v>86600000</v>
      </c>
      <c r="Q2906" s="12">
        <f t="shared" si="3"/>
        <v>0</v>
      </c>
      <c r="R2906" s="9">
        <v>1995.0</v>
      </c>
      <c r="S2906" s="9">
        <v>6.6</v>
      </c>
    </row>
    <row r="2907" ht="15.75" customHeight="1">
      <c r="A2907" s="21" t="s">
        <v>9095</v>
      </c>
      <c r="B2907" s="8" t="str">
        <f>IFERROR(__xludf.DUMMYFUNCTION("REGEXREPLACE(A2907, ""[^0-9a-zA-Z .'Ã]"","""")"),"Walter Salles")</f>
        <v>Walter Salles</v>
      </c>
      <c r="C2907" s="22">
        <v>252.0</v>
      </c>
      <c r="D2907" s="23">
        <v>717753.0</v>
      </c>
      <c r="E2907" s="22" t="s">
        <v>892</v>
      </c>
      <c r="F2907" s="9">
        <f t="shared" si="1"/>
        <v>2</v>
      </c>
      <c r="G2907" s="22" t="s">
        <v>1969</v>
      </c>
      <c r="H2907" s="11" t="str">
        <f>IFERROR(__xludf.DUMMYFUNCTION("REGEXREPLACE(G2907, ""[^0-9a-zA-Z .'Ã]"","""")"),"Kristen Stewart")</f>
        <v>Kristen Stewart</v>
      </c>
      <c r="I2907" s="24" t="s">
        <v>9261</v>
      </c>
      <c r="J2907" s="22">
        <v>33107.0</v>
      </c>
      <c r="K2907" s="22" t="s">
        <v>9262</v>
      </c>
      <c r="L2907" s="22">
        <v>128.0</v>
      </c>
      <c r="M2907" s="22" t="s">
        <v>24</v>
      </c>
      <c r="N2907" s="22" t="s">
        <v>608</v>
      </c>
      <c r="O2907" s="23">
        <v>2.5E7</v>
      </c>
      <c r="P2907" s="10">
        <f t="shared" si="2"/>
        <v>0</v>
      </c>
      <c r="Q2907" s="12">
        <f t="shared" si="3"/>
        <v>24282247</v>
      </c>
      <c r="R2907" s="22">
        <v>2012.0</v>
      </c>
      <c r="S2907" s="22">
        <v>6.1</v>
      </c>
    </row>
    <row r="2908" ht="15.75" customHeight="1">
      <c r="A2908" s="7" t="s">
        <v>1796</v>
      </c>
      <c r="B2908" s="8" t="str">
        <f>IFERROR(__xludf.DUMMYFUNCTION("REGEXREPLACE(A2908, ""[^0-9a-zA-Z .'Ã]"","""")"),"Harold Ramis")</f>
        <v>Harold Ramis</v>
      </c>
      <c r="C2908" s="9">
        <v>125.0</v>
      </c>
      <c r="D2908" s="10">
        <v>3.7879996E7</v>
      </c>
      <c r="E2908" s="9" t="s">
        <v>1741</v>
      </c>
      <c r="F2908" s="9">
        <f t="shared" si="1"/>
        <v>3</v>
      </c>
      <c r="G2908" s="9" t="s">
        <v>21</v>
      </c>
      <c r="H2908" s="11" t="str">
        <f>IFERROR(__xludf.DUMMYFUNCTION("REGEXREPLACE(G2908, ""[^0-9a-zA-Z .'Ã]"","""")"),"Brendan Fraser")</f>
        <v>Brendan Fraser</v>
      </c>
      <c r="I2908" s="11" t="s">
        <v>9263</v>
      </c>
      <c r="J2908" s="9">
        <v>81888.0</v>
      </c>
      <c r="K2908" s="9" t="s">
        <v>9264</v>
      </c>
      <c r="L2908" s="9">
        <v>254.0</v>
      </c>
      <c r="M2908" s="9" t="s">
        <v>24</v>
      </c>
      <c r="N2908" s="9" t="s">
        <v>25</v>
      </c>
      <c r="O2908" s="10">
        <v>4.8E7</v>
      </c>
      <c r="P2908" s="10">
        <f t="shared" si="2"/>
        <v>0</v>
      </c>
      <c r="Q2908" s="12">
        <f t="shared" si="3"/>
        <v>10120004</v>
      </c>
      <c r="R2908" s="9">
        <v>2000.0</v>
      </c>
      <c r="S2908" s="9">
        <v>6.0</v>
      </c>
    </row>
    <row r="2909" ht="15.75" customHeight="1">
      <c r="A2909" s="7" t="s">
        <v>9265</v>
      </c>
      <c r="B2909" s="8" t="str">
        <f>IFERROR(__xludf.DUMMYFUNCTION("REGEXREPLACE(A2909, ""[^0-9a-zA-Z .'Ã]"","""")"),"Lorene Scafaria")</f>
        <v>Lorene Scafaria</v>
      </c>
      <c r="C2909" s="9">
        <v>265.0</v>
      </c>
      <c r="D2909" s="10">
        <v>6619173.0</v>
      </c>
      <c r="E2909" s="9" t="s">
        <v>9266</v>
      </c>
      <c r="F2909" s="9">
        <f t="shared" si="1"/>
        <v>5</v>
      </c>
      <c r="G2909" s="9" t="s">
        <v>1080</v>
      </c>
      <c r="H2909" s="11" t="str">
        <f>IFERROR(__xludf.DUMMYFUNCTION("REGEXREPLACE(G2909, ""[^0-9a-zA-Z .'Ã]"","""")"),"Steve Carell")</f>
        <v>Steve Carell</v>
      </c>
      <c r="I2909" s="11" t="s">
        <v>9267</v>
      </c>
      <c r="J2909" s="9">
        <v>87203.0</v>
      </c>
      <c r="K2909" s="9" t="s">
        <v>9268</v>
      </c>
      <c r="L2909" s="9">
        <v>221.0</v>
      </c>
      <c r="M2909" s="9" t="s">
        <v>24</v>
      </c>
      <c r="N2909" s="9" t="s">
        <v>25</v>
      </c>
      <c r="O2909" s="10">
        <v>1.0E7</v>
      </c>
      <c r="P2909" s="10">
        <f t="shared" si="2"/>
        <v>0</v>
      </c>
      <c r="Q2909" s="12">
        <f t="shared" si="3"/>
        <v>3380827</v>
      </c>
      <c r="R2909" s="9">
        <v>2012.0</v>
      </c>
      <c r="S2909" s="9">
        <v>6.7</v>
      </c>
    </row>
    <row r="2910" ht="15.75" customHeight="1">
      <c r="A2910" s="13" t="s">
        <v>9269</v>
      </c>
      <c r="B2910" s="8" t="str">
        <f>IFERROR(__xludf.DUMMYFUNCTION("REGEXREPLACE(A2910, ""[^0-9a-zA-Z .'Ã]"","""")"),"Irvin Kershner")</f>
        <v>Irvin Kershner</v>
      </c>
      <c r="C2910" s="14">
        <v>223.0</v>
      </c>
      <c r="D2910" s="15">
        <v>2.90158751E8</v>
      </c>
      <c r="E2910" s="14" t="s">
        <v>1283</v>
      </c>
      <c r="F2910" s="9">
        <f t="shared" si="1"/>
        <v>4</v>
      </c>
      <c r="G2910" s="14" t="s">
        <v>637</v>
      </c>
      <c r="H2910" s="11" t="str">
        <f>IFERROR(__xludf.DUMMYFUNCTION("REGEXREPLACE(G2910, ""[^0-9a-zA-Z .'Ã]"","""")"),"Harrison Ford")</f>
        <v>Harrison Ford</v>
      </c>
      <c r="I2910" s="16" t="s">
        <v>9270</v>
      </c>
      <c r="J2910" s="14">
        <v>837759.0</v>
      </c>
      <c r="K2910" s="14" t="s">
        <v>9271</v>
      </c>
      <c r="L2910" s="14">
        <v>900.0</v>
      </c>
      <c r="M2910" s="14" t="s">
        <v>24</v>
      </c>
      <c r="N2910" s="14" t="s">
        <v>25</v>
      </c>
      <c r="O2910" s="15">
        <v>1.8E7</v>
      </c>
      <c r="P2910" s="10">
        <f t="shared" si="2"/>
        <v>272158751</v>
      </c>
      <c r="Q2910" s="12">
        <f t="shared" si="3"/>
        <v>0</v>
      </c>
      <c r="R2910" s="14">
        <v>1980.0</v>
      </c>
      <c r="S2910" s="14">
        <v>8.8</v>
      </c>
    </row>
    <row r="2911" ht="15.75" customHeight="1">
      <c r="A2911" s="7" t="s">
        <v>147</v>
      </c>
      <c r="B2911" s="8" t="str">
        <f>IFERROR(__xludf.DUMMYFUNCTION("REGEXREPLACE(A2911, ""[^0-9a-zA-Z .'Ã]"","""")"),"Wes Craven")</f>
        <v>Wes Craven</v>
      </c>
      <c r="C2911" s="9">
        <v>212.0</v>
      </c>
      <c r="D2911" s="10">
        <v>8.9138076E7</v>
      </c>
      <c r="E2911" s="9" t="s">
        <v>565</v>
      </c>
      <c r="F2911" s="9">
        <f t="shared" si="1"/>
        <v>2</v>
      </c>
      <c r="G2911" s="9" t="s">
        <v>9272</v>
      </c>
      <c r="H2911" s="11" t="str">
        <f>IFERROR(__xludf.DUMMYFUNCTION("REGEXREPLACE(G2911, ""[^0-9a-zA-Z .'Ã]"","""")"),"Kelly Rutherford")</f>
        <v>Kelly Rutherford</v>
      </c>
      <c r="I2911" s="11" t="s">
        <v>9273</v>
      </c>
      <c r="J2911" s="9">
        <v>98535.0</v>
      </c>
      <c r="K2911" s="9" t="s">
        <v>9274</v>
      </c>
      <c r="L2911" s="9">
        <v>734.0</v>
      </c>
      <c r="M2911" s="9" t="s">
        <v>24</v>
      </c>
      <c r="N2911" s="9" t="s">
        <v>25</v>
      </c>
      <c r="O2911" s="10">
        <v>4.0E7</v>
      </c>
      <c r="P2911" s="10">
        <f t="shared" si="2"/>
        <v>49138076</v>
      </c>
      <c r="Q2911" s="12">
        <f t="shared" si="3"/>
        <v>0</v>
      </c>
      <c r="R2911" s="9">
        <v>2000.0</v>
      </c>
      <c r="S2911" s="9">
        <v>5.5</v>
      </c>
    </row>
    <row r="2912" ht="15.75" customHeight="1">
      <c r="A2912" s="21" t="s">
        <v>1123</v>
      </c>
      <c r="B2912" s="8" t="str">
        <f>IFERROR(__xludf.DUMMYFUNCTION("REGEXREPLACE(A2912, ""[^0-9a-zA-Z .'Ã]"","""")"),"Ron Howard")</f>
        <v>Ron Howard</v>
      </c>
      <c r="C2912" s="22">
        <v>175.0</v>
      </c>
      <c r="D2912" s="23">
        <v>2.60031035E8</v>
      </c>
      <c r="E2912" s="22" t="s">
        <v>514</v>
      </c>
      <c r="F2912" s="9">
        <f t="shared" si="1"/>
        <v>3</v>
      </c>
      <c r="G2912" s="22" t="s">
        <v>4180</v>
      </c>
      <c r="H2912" s="11" t="str">
        <f>IFERROR(__xludf.DUMMYFUNCTION("REGEXREPLACE(G2912, ""[^0-9a-zA-Z .'Ã]"","""")"),"Clint Howard")</f>
        <v>Clint Howard</v>
      </c>
      <c r="I2912" s="24" t="s">
        <v>9275</v>
      </c>
      <c r="J2912" s="22">
        <v>141414.0</v>
      </c>
      <c r="K2912" s="22" t="s">
        <v>9276</v>
      </c>
      <c r="L2912" s="22">
        <v>482.0</v>
      </c>
      <c r="M2912" s="22" t="s">
        <v>24</v>
      </c>
      <c r="N2912" s="22" t="s">
        <v>25</v>
      </c>
      <c r="O2912" s="23">
        <v>1.23E8</v>
      </c>
      <c r="P2912" s="10">
        <f t="shared" si="2"/>
        <v>137031035</v>
      </c>
      <c r="Q2912" s="12">
        <f t="shared" si="3"/>
        <v>0</v>
      </c>
      <c r="R2912" s="22">
        <v>2000.0</v>
      </c>
      <c r="S2912" s="22">
        <v>6.0</v>
      </c>
    </row>
    <row r="2913" ht="15.75" customHeight="1">
      <c r="A2913" s="17" t="s">
        <v>9277</v>
      </c>
      <c r="B2913" s="8" t="str">
        <f>IFERROR(__xludf.DUMMYFUNCTION("REGEXREPLACE(A2913, ""[^0-9a-zA-Z .'Ã]"","""")"),"Sally Potter")</f>
        <v>Sally Potter</v>
      </c>
      <c r="C2913" s="18">
        <v>76.0</v>
      </c>
      <c r="D2913" s="19">
        <v>396035.0</v>
      </c>
      <c r="E2913" s="18" t="s">
        <v>232</v>
      </c>
      <c r="F2913" s="9">
        <f t="shared" si="1"/>
        <v>2</v>
      </c>
      <c r="G2913" s="18" t="s">
        <v>6496</v>
      </c>
      <c r="H2913" s="11" t="str">
        <f>IFERROR(__xludf.DUMMYFUNCTION("REGEXREPLACE(G2913, ""[^0-9a-zA-Z .'Ã]"","""")"),"Shirley Henderson")</f>
        <v>Shirley Henderson</v>
      </c>
      <c r="I2913" s="20" t="s">
        <v>9278</v>
      </c>
      <c r="J2913" s="18">
        <v>2725.0</v>
      </c>
      <c r="K2913" s="18" t="s">
        <v>9279</v>
      </c>
      <c r="L2913" s="18">
        <v>48.0</v>
      </c>
      <c r="M2913" s="18" t="s">
        <v>24</v>
      </c>
      <c r="N2913" s="18" t="s">
        <v>130</v>
      </c>
      <c r="O2913" s="19">
        <v>1000000.0</v>
      </c>
      <c r="P2913" s="10">
        <f t="shared" si="2"/>
        <v>0</v>
      </c>
      <c r="Q2913" s="12">
        <f t="shared" si="3"/>
        <v>603965</v>
      </c>
      <c r="R2913" s="18">
        <v>2004.0</v>
      </c>
      <c r="S2913" s="18">
        <v>6.9</v>
      </c>
    </row>
    <row r="2914" ht="15.75" customHeight="1">
      <c r="A2914" s="7" t="s">
        <v>9280</v>
      </c>
      <c r="B2914" s="8" t="str">
        <f>IFERROR(__xludf.DUMMYFUNCTION("REGEXREPLACE(A2914, ""[^0-9a-zA-Z .'Ã]"","""")"),"Tuck Tucker")</f>
        <v>Tuck Tucker</v>
      </c>
      <c r="C2914" s="9">
        <v>33.0</v>
      </c>
      <c r="D2914" s="10">
        <v>1.3684949E7</v>
      </c>
      <c r="E2914" s="9" t="s">
        <v>1813</v>
      </c>
      <c r="F2914" s="9">
        <f t="shared" si="1"/>
        <v>4</v>
      </c>
      <c r="G2914" s="9" t="s">
        <v>4998</v>
      </c>
      <c r="H2914" s="11" t="str">
        <f>IFERROR(__xludf.DUMMYFUNCTION("REGEXREPLACE(G2914, ""[^0-9a-zA-Z .'Ã]"","""")"),"Jennifer Jason Leigh")</f>
        <v>Jennifer Jason Leigh</v>
      </c>
      <c r="I2914" s="11" t="s">
        <v>9281</v>
      </c>
      <c r="J2914" s="9">
        <v>4564.0</v>
      </c>
      <c r="K2914" s="9" t="s">
        <v>9282</v>
      </c>
      <c r="L2914" s="9">
        <v>43.0</v>
      </c>
      <c r="M2914" s="9" t="s">
        <v>24</v>
      </c>
      <c r="N2914" s="9" t="s">
        <v>25</v>
      </c>
      <c r="O2914" s="10">
        <v>3000000.0</v>
      </c>
      <c r="P2914" s="10">
        <f t="shared" si="2"/>
        <v>10684949</v>
      </c>
      <c r="Q2914" s="12">
        <f t="shared" si="3"/>
        <v>0</v>
      </c>
      <c r="R2914" s="9">
        <v>2002.0</v>
      </c>
      <c r="S2914" s="9">
        <v>5.9</v>
      </c>
    </row>
    <row r="2915" ht="15.75" customHeight="1">
      <c r="A2915" s="17" t="s">
        <v>68</v>
      </c>
      <c r="B2915" s="8" t="str">
        <f>IFERROR(__xludf.DUMMYFUNCTION("REGEXREPLACE(A2915, ""[^0-9a-zA-Z .'Ã]"","""")"),"Spike Lee")</f>
        <v>Spike Lee</v>
      </c>
      <c r="C2915" s="18">
        <v>53.0</v>
      </c>
      <c r="D2915" s="19">
        <v>3.8168022E7</v>
      </c>
      <c r="E2915" s="18" t="s">
        <v>3781</v>
      </c>
      <c r="F2915" s="9">
        <f t="shared" si="1"/>
        <v>2</v>
      </c>
      <c r="G2915" s="18" t="s">
        <v>195</v>
      </c>
      <c r="H2915" s="11" t="str">
        <f>IFERROR(__xludf.DUMMYFUNCTION("REGEXREPLACE(G2915, ""[^0-9a-zA-Z .'Ã]"","""")"),"Bernie Mac")</f>
        <v>Bernie Mac</v>
      </c>
      <c r="I2915" s="20" t="s">
        <v>9283</v>
      </c>
      <c r="J2915" s="18">
        <v>4687.0</v>
      </c>
      <c r="K2915" s="18" t="s">
        <v>9284</v>
      </c>
      <c r="L2915" s="18">
        <v>83.0</v>
      </c>
      <c r="M2915" s="18" t="s">
        <v>24</v>
      </c>
      <c r="N2915" s="18" t="s">
        <v>25</v>
      </c>
      <c r="O2915" s="19">
        <v>3000000.0</v>
      </c>
      <c r="P2915" s="10">
        <f t="shared" si="2"/>
        <v>35168022</v>
      </c>
      <c r="Q2915" s="12">
        <f t="shared" si="3"/>
        <v>0</v>
      </c>
      <c r="R2915" s="18">
        <v>2000.0</v>
      </c>
      <c r="S2915" s="18">
        <v>6.6</v>
      </c>
    </row>
    <row r="2916" ht="15.75" customHeight="1">
      <c r="A2916" s="7" t="s">
        <v>4575</v>
      </c>
      <c r="B2916" s="8" t="str">
        <f>IFERROR(__xludf.DUMMYFUNCTION("REGEXREPLACE(A2916, ""[^0-9a-zA-Z .'Ã]"","""")"),"David Gordon Green")</f>
        <v>David Gordon Green</v>
      </c>
      <c r="C2916" s="9">
        <v>125.0</v>
      </c>
      <c r="D2916" s="10">
        <v>6998324.0</v>
      </c>
      <c r="E2916" s="9" t="s">
        <v>454</v>
      </c>
      <c r="F2916" s="9">
        <f t="shared" si="1"/>
        <v>2</v>
      </c>
      <c r="G2916" s="9" t="s">
        <v>9285</v>
      </c>
      <c r="H2916" s="11" t="str">
        <f>IFERROR(__xludf.DUMMYFUNCTION("REGEXREPLACE(G2916, ""[^0-9a-zA-Z .'Ã]"","""")"),"Dominic Flores")</f>
        <v>Dominic Flores</v>
      </c>
      <c r="I2916" s="11" t="s">
        <v>9286</v>
      </c>
      <c r="J2916" s="9">
        <v>11476.0</v>
      </c>
      <c r="K2916" s="9" t="s">
        <v>9287</v>
      </c>
      <c r="L2916" s="9">
        <v>50.0</v>
      </c>
      <c r="M2916" s="9" t="s">
        <v>24</v>
      </c>
      <c r="N2916" s="9" t="s">
        <v>25</v>
      </c>
      <c r="O2916" s="10">
        <v>2.8E7</v>
      </c>
      <c r="P2916" s="10">
        <f t="shared" si="2"/>
        <v>0</v>
      </c>
      <c r="Q2916" s="12">
        <f t="shared" si="3"/>
        <v>21001676</v>
      </c>
      <c r="R2916" s="9">
        <v>2015.0</v>
      </c>
      <c r="S2916" s="9">
        <v>6.1</v>
      </c>
    </row>
    <row r="2917" ht="15.75" customHeight="1">
      <c r="A2917" s="21" t="s">
        <v>4185</v>
      </c>
      <c r="B2917" s="8" t="str">
        <f>IFERROR(__xludf.DUMMYFUNCTION("REGEXREPLACE(A2917, ""[^0-9a-zA-Z .'Ã]"","""")"),"Joe Carnahan")</f>
        <v>Joe Carnahan</v>
      </c>
      <c r="C2917" s="22">
        <v>127.0</v>
      </c>
      <c r="D2917" s="23">
        <v>1.0460089E7</v>
      </c>
      <c r="E2917" s="22" t="s">
        <v>435</v>
      </c>
      <c r="F2917" s="9">
        <f t="shared" si="1"/>
        <v>4</v>
      </c>
      <c r="G2917" s="22" t="s">
        <v>1112</v>
      </c>
      <c r="H2917" s="11" t="str">
        <f>IFERROR(__xludf.DUMMYFUNCTION("REGEXREPLACE(G2917, ""[^0-9a-zA-Z .'Ã]"","""")"),"Jason Patric")</f>
        <v>Jason Patric</v>
      </c>
      <c r="I2917" s="24" t="s">
        <v>9288</v>
      </c>
      <c r="J2917" s="22">
        <v>34098.0</v>
      </c>
      <c r="K2917" s="22" t="s">
        <v>9289</v>
      </c>
      <c r="L2917" s="22">
        <v>214.0</v>
      </c>
      <c r="M2917" s="22" t="s">
        <v>24</v>
      </c>
      <c r="N2917" s="22" t="s">
        <v>25</v>
      </c>
      <c r="O2917" s="23">
        <v>7500000.0</v>
      </c>
      <c r="P2917" s="10">
        <f t="shared" si="2"/>
        <v>2960089</v>
      </c>
      <c r="Q2917" s="12">
        <f t="shared" si="3"/>
        <v>0</v>
      </c>
      <c r="R2917" s="22">
        <v>2002.0</v>
      </c>
      <c r="S2917" s="22">
        <v>7.2</v>
      </c>
    </row>
    <row r="2918" ht="15.75" customHeight="1">
      <c r="A2918" s="17" t="s">
        <v>9290</v>
      </c>
      <c r="B2918" s="8" t="str">
        <f>IFERROR(__xludf.DUMMYFUNCTION("REGEXREPLACE(A2918, ""[^0-9a-zA-Z .'Ã]"","""")"),"Don Hall")</f>
        <v>Don Hall</v>
      </c>
      <c r="C2918" s="18">
        <v>384.0</v>
      </c>
      <c r="D2918" s="19">
        <v>2.22487711E8</v>
      </c>
      <c r="E2918" s="18" t="s">
        <v>7239</v>
      </c>
      <c r="F2918" s="9">
        <f t="shared" si="1"/>
        <v>7</v>
      </c>
      <c r="G2918" s="18" t="s">
        <v>8602</v>
      </c>
      <c r="H2918" s="11" t="str">
        <f>IFERROR(__xludf.DUMMYFUNCTION("REGEXREPLACE(G2918, ""[^0-9a-zA-Z .'Ã]"","""")"),"Damon Wayans Jr.")</f>
        <v>Damon Wayans Jr.</v>
      </c>
      <c r="I2918" s="20" t="s">
        <v>9291</v>
      </c>
      <c r="J2918" s="18">
        <v>279093.0</v>
      </c>
      <c r="K2918" s="18" t="s">
        <v>9292</v>
      </c>
      <c r="L2918" s="18">
        <v>433.0</v>
      </c>
      <c r="M2918" s="18" t="s">
        <v>24</v>
      </c>
      <c r="N2918" s="18" t="s">
        <v>25</v>
      </c>
      <c r="O2918" s="19">
        <v>1.65E8</v>
      </c>
      <c r="P2918" s="10">
        <f t="shared" si="2"/>
        <v>57487711</v>
      </c>
      <c r="Q2918" s="12">
        <f t="shared" si="3"/>
        <v>0</v>
      </c>
      <c r="R2918" s="18">
        <v>2014.0</v>
      </c>
      <c r="S2918" s="18">
        <v>7.9</v>
      </c>
    </row>
    <row r="2919" ht="15.75" customHeight="1">
      <c r="A2919" s="17" t="s">
        <v>9293</v>
      </c>
      <c r="B2919" s="8" t="str">
        <f>IFERROR(__xludf.DUMMYFUNCTION("REGEXREPLACE(A2919, ""[^0-9a-zA-Z .'Ã]"","""")"),"Wayne Kramer")</f>
        <v>Wayne Kramer</v>
      </c>
      <c r="C2919" s="18">
        <v>157.0</v>
      </c>
      <c r="D2919" s="19">
        <v>6855137.0</v>
      </c>
      <c r="E2919" s="18" t="s">
        <v>501</v>
      </c>
      <c r="F2919" s="9">
        <f t="shared" si="1"/>
        <v>4</v>
      </c>
      <c r="G2919" s="18" t="s">
        <v>802</v>
      </c>
      <c r="H2919" s="11" t="str">
        <f>IFERROR(__xludf.DUMMYFUNCTION("REGEXREPLACE(G2919, ""[^0-9a-zA-Z .'Ã]"","""")"),"Paul Walker")</f>
        <v>Paul Walker</v>
      </c>
      <c r="I2919" s="20" t="s">
        <v>9294</v>
      </c>
      <c r="J2919" s="18">
        <v>88590.0</v>
      </c>
      <c r="K2919" s="18" t="s">
        <v>9295</v>
      </c>
      <c r="L2919" s="18">
        <v>419.0</v>
      </c>
      <c r="M2919" s="18" t="s">
        <v>24</v>
      </c>
      <c r="N2919" s="18" t="s">
        <v>173</v>
      </c>
      <c r="O2919" s="19">
        <v>1.7E7</v>
      </c>
      <c r="P2919" s="10">
        <f t="shared" si="2"/>
        <v>0</v>
      </c>
      <c r="Q2919" s="12">
        <f t="shared" si="3"/>
        <v>10144863</v>
      </c>
      <c r="R2919" s="18">
        <v>2006.0</v>
      </c>
      <c r="S2919" s="18">
        <v>7.4</v>
      </c>
    </row>
    <row r="2920" ht="15.75" customHeight="1">
      <c r="A2920" s="17" t="s">
        <v>9296</v>
      </c>
      <c r="B2920" s="8" t="str">
        <f>IFERROR(__xludf.DUMMYFUNCTION("REGEXREPLACE(A2920, ""[^0-9a-zA-Z .'Ã]"","""")"),"Mars Callahan")</f>
        <v>Mars Callahan</v>
      </c>
      <c r="C2920" s="18">
        <v>41.0</v>
      </c>
      <c r="D2920" s="19">
        <v>562059.0</v>
      </c>
      <c r="E2920" s="18" t="s">
        <v>369</v>
      </c>
      <c r="F2920" s="9">
        <f t="shared" si="1"/>
        <v>2</v>
      </c>
      <c r="G2920" s="18" t="s">
        <v>1875</v>
      </c>
      <c r="H2920" s="11" t="str">
        <f>IFERROR(__xludf.DUMMYFUNCTION("REGEXREPLACE(G2920, ""[^0-9a-zA-Z .'Ã]"","""")"),"Chazz Palminteri")</f>
        <v>Chazz Palminteri</v>
      </c>
      <c r="I2920" s="20" t="s">
        <v>9297</v>
      </c>
      <c r="J2920" s="18">
        <v>8535.0</v>
      </c>
      <c r="K2920" s="18" t="s">
        <v>9298</v>
      </c>
      <c r="L2920" s="18">
        <v>113.0</v>
      </c>
      <c r="M2920" s="18" t="s">
        <v>24</v>
      </c>
      <c r="N2920" s="18" t="s">
        <v>25</v>
      </c>
      <c r="O2920" s="19">
        <v>4000000.0</v>
      </c>
      <c r="P2920" s="10">
        <f t="shared" si="2"/>
        <v>0</v>
      </c>
      <c r="Q2920" s="12">
        <f t="shared" si="3"/>
        <v>3437941</v>
      </c>
      <c r="R2920" s="18">
        <v>2002.0</v>
      </c>
      <c r="S2920" s="18">
        <v>7.0</v>
      </c>
    </row>
    <row r="2921" ht="15.75" customHeight="1">
      <c r="A2921" s="29" t="s">
        <v>1992</v>
      </c>
      <c r="B2921" s="8" t="str">
        <f>IFERROR(__xludf.DUMMYFUNCTION("REGEXREPLACE(A2921, ""[^0-9a-zA-Z .'Ã]"","""")"),"Jonathan Levine")</f>
        <v>Jonathan Levine</v>
      </c>
      <c r="C2921" s="30">
        <v>147.0</v>
      </c>
      <c r="D2921" s="31">
        <v>2077046.0</v>
      </c>
      <c r="E2921" s="30" t="s">
        <v>159</v>
      </c>
      <c r="F2921" s="9">
        <f t="shared" si="1"/>
        <v>3</v>
      </c>
      <c r="G2921" s="30" t="s">
        <v>2474</v>
      </c>
      <c r="H2921" s="11" t="str">
        <f>IFERROR(__xludf.DUMMYFUNCTION("REGEXREPLACE(G2921, ""[^0-9a-zA-Z .'Ã]"","""")"),"MaryKate Olsen")</f>
        <v>MaryKate Olsen</v>
      </c>
      <c r="I2921" s="32" t="s">
        <v>9299</v>
      </c>
      <c r="J2921" s="30">
        <v>27266.0</v>
      </c>
      <c r="K2921" s="30" t="s">
        <v>9300</v>
      </c>
      <c r="L2921" s="30">
        <v>75.0</v>
      </c>
      <c r="M2921" s="30" t="s">
        <v>24</v>
      </c>
      <c r="N2921" s="30" t="s">
        <v>25</v>
      </c>
      <c r="O2921" s="31">
        <v>6000000.0</v>
      </c>
      <c r="P2921" s="10">
        <f t="shared" si="2"/>
        <v>0</v>
      </c>
      <c r="Q2921" s="12">
        <f t="shared" si="3"/>
        <v>3922954</v>
      </c>
      <c r="R2921" s="30">
        <v>2008.0</v>
      </c>
      <c r="S2921" s="30">
        <v>7.0</v>
      </c>
    </row>
    <row r="2922" ht="15.75" customHeight="1">
      <c r="A2922" s="17" t="s">
        <v>147</v>
      </c>
      <c r="B2922" s="8" t="str">
        <f>IFERROR(__xludf.DUMMYFUNCTION("REGEXREPLACE(A2922, ""[^0-9a-zA-Z .'Ã]"","""")"),"Wes Craven")</f>
        <v>Wes Craven</v>
      </c>
      <c r="C2922" s="18">
        <v>109.0</v>
      </c>
      <c r="D2922" s="19">
        <v>1.8090181E7</v>
      </c>
      <c r="E2922" s="18" t="s">
        <v>819</v>
      </c>
      <c r="F2922" s="9">
        <f t="shared" si="1"/>
        <v>4</v>
      </c>
      <c r="G2922" s="18" t="s">
        <v>3001</v>
      </c>
      <c r="H2922" s="11" t="str">
        <f>IFERROR(__xludf.DUMMYFUNCTION("REGEXREPLACE(G2922, ""[^0-9a-zA-Z .'Ã]"","""")"),"Miko Hughes")</f>
        <v>Miko Hughes</v>
      </c>
      <c r="I2922" s="20" t="s">
        <v>9301</v>
      </c>
      <c r="J2922" s="18">
        <v>38191.0</v>
      </c>
      <c r="K2922" s="18" t="s">
        <v>9302</v>
      </c>
      <c r="L2922" s="18">
        <v>271.0</v>
      </c>
      <c r="M2922" s="18" t="s">
        <v>24</v>
      </c>
      <c r="N2922" s="18" t="s">
        <v>25</v>
      </c>
      <c r="O2922" s="19">
        <v>8000000.0</v>
      </c>
      <c r="P2922" s="10">
        <f t="shared" si="2"/>
        <v>10090181</v>
      </c>
      <c r="Q2922" s="12">
        <f t="shared" si="3"/>
        <v>0</v>
      </c>
      <c r="R2922" s="18">
        <v>1994.0</v>
      </c>
      <c r="S2922" s="18">
        <v>6.4</v>
      </c>
    </row>
    <row r="2923" ht="15.75" customHeight="1">
      <c r="A2923" s="7" t="s">
        <v>8105</v>
      </c>
      <c r="B2923" s="8" t="str">
        <f>IFERROR(__xludf.DUMMYFUNCTION("REGEXREPLACE(A2923, ""[^0-9a-zA-Z .'Ã]"","""")"),"Scott Hicks")</f>
        <v>Scott Hicks</v>
      </c>
      <c r="C2923" s="9">
        <v>135.0</v>
      </c>
      <c r="D2923" s="10">
        <v>2.4185781E7</v>
      </c>
      <c r="E2923" s="9" t="s">
        <v>79</v>
      </c>
      <c r="F2923" s="9">
        <f t="shared" si="1"/>
        <v>2</v>
      </c>
      <c r="G2923" s="9" t="s">
        <v>237</v>
      </c>
      <c r="H2923" s="11" t="str">
        <f>IFERROR(__xludf.DUMMYFUNCTION("REGEXREPLACE(G2923, ""[^0-9a-zA-Z .'Ã]"","""")"),"Anthony Hopkins")</f>
        <v>Anthony Hopkins</v>
      </c>
      <c r="I2923" s="11" t="s">
        <v>9303</v>
      </c>
      <c r="J2923" s="9">
        <v>30339.0</v>
      </c>
      <c r="K2923" s="9" t="s">
        <v>9304</v>
      </c>
      <c r="L2923" s="9">
        <v>268.0</v>
      </c>
      <c r="M2923" s="9" t="s">
        <v>24</v>
      </c>
      <c r="N2923" s="9" t="s">
        <v>25</v>
      </c>
      <c r="O2923" s="10">
        <v>3.1E7</v>
      </c>
      <c r="P2923" s="10">
        <f t="shared" si="2"/>
        <v>0</v>
      </c>
      <c r="Q2923" s="12">
        <f t="shared" si="3"/>
        <v>6814219</v>
      </c>
      <c r="R2923" s="9">
        <v>2001.0</v>
      </c>
      <c r="S2923" s="9">
        <v>6.9</v>
      </c>
    </row>
    <row r="2924" ht="15.75" customHeight="1">
      <c r="A2924" s="17" t="s">
        <v>9305</v>
      </c>
      <c r="B2924" s="8" t="str">
        <f>IFERROR(__xludf.DUMMYFUNCTION("REGEXREPLACE(A2924, ""[^0-9a-zA-Z .'Ã]"","""")"),"Mike van Diem")</f>
        <v>Mike van Diem</v>
      </c>
      <c r="C2924" s="18">
        <v>54.0</v>
      </c>
      <c r="D2924" s="19">
        <v>713413.0</v>
      </c>
      <c r="E2924" s="18" t="s">
        <v>1270</v>
      </c>
      <c r="F2924" s="9">
        <f t="shared" si="1"/>
        <v>3</v>
      </c>
      <c r="G2924" s="18" t="s">
        <v>9306</v>
      </c>
      <c r="H2924" s="11" t="str">
        <f>IFERROR(__xludf.DUMMYFUNCTION("REGEXREPLACE(G2924, ""[^0-9a-zA-Z .'Ã]"","""")"),"Jan Decleir")</f>
        <v>Jan Decleir</v>
      </c>
      <c r="I2924" s="20" t="s">
        <v>9307</v>
      </c>
      <c r="J2924" s="18">
        <v>9171.0</v>
      </c>
      <c r="K2924" s="18" t="s">
        <v>9308</v>
      </c>
      <c r="L2924" s="18">
        <v>68.0</v>
      </c>
      <c r="M2924" s="18" t="s">
        <v>6528</v>
      </c>
      <c r="N2924" s="18" t="s">
        <v>6529</v>
      </c>
      <c r="O2924" s="19">
        <v>4500000.0</v>
      </c>
      <c r="P2924" s="10">
        <f t="shared" si="2"/>
        <v>0</v>
      </c>
      <c r="Q2924" s="12">
        <f t="shared" si="3"/>
        <v>3786587</v>
      </c>
      <c r="R2924" s="18">
        <v>1997.0</v>
      </c>
      <c r="S2924" s="18">
        <v>7.8</v>
      </c>
    </row>
    <row r="2925" ht="15.75" customHeight="1">
      <c r="A2925" s="17" t="s">
        <v>2356</v>
      </c>
      <c r="B2925" s="8" t="str">
        <f>IFERROR(__xludf.DUMMYFUNCTION("REGEXREPLACE(A2925, ""[^0-9a-zA-Z .'Ã]"","""")"),"Robert Schwentke")</f>
        <v>Robert Schwentke</v>
      </c>
      <c r="C2925" s="18">
        <v>181.0</v>
      </c>
      <c r="D2925" s="19">
        <v>6.6002193E7</v>
      </c>
      <c r="E2925" s="18" t="s">
        <v>1696</v>
      </c>
      <c r="F2925" s="9">
        <f t="shared" si="1"/>
        <v>5</v>
      </c>
      <c r="G2925" s="18" t="s">
        <v>874</v>
      </c>
      <c r="H2925" s="11" t="str">
        <f>IFERROR(__xludf.DUMMYFUNCTION("REGEXREPLACE(G2925, ""[^0-9a-zA-Z .'Ã]"","""")"),"Naomi Watts")</f>
        <v>Naomi Watts</v>
      </c>
      <c r="I2925" s="20" t="s">
        <v>9309</v>
      </c>
      <c r="J2925" s="18">
        <v>44296.0</v>
      </c>
      <c r="K2925" s="18" t="s">
        <v>9310</v>
      </c>
      <c r="L2925" s="18">
        <v>144.0</v>
      </c>
      <c r="M2925" s="18" t="s">
        <v>24</v>
      </c>
      <c r="N2925" s="18" t="s">
        <v>25</v>
      </c>
      <c r="O2925" s="19">
        <v>1.1E8</v>
      </c>
      <c r="P2925" s="10">
        <f t="shared" si="2"/>
        <v>0</v>
      </c>
      <c r="Q2925" s="12">
        <f t="shared" si="3"/>
        <v>43997807</v>
      </c>
      <c r="R2925" s="18">
        <v>2016.0</v>
      </c>
      <c r="S2925" s="18">
        <v>5.8</v>
      </c>
    </row>
    <row r="2926" ht="15.75" customHeight="1">
      <c r="A2926" s="7" t="s">
        <v>426</v>
      </c>
      <c r="B2926" s="8" t="str">
        <f>IFERROR(__xludf.DUMMYFUNCTION("REGEXREPLACE(A2926, ""[^0-9a-zA-Z .'Ã]"","""")"),"Martin Campbell")</f>
        <v>Martin Campbell</v>
      </c>
      <c r="C2926" s="9">
        <v>258.0</v>
      </c>
      <c r="D2926" s="10">
        <v>4.3290977E7</v>
      </c>
      <c r="E2926" s="9" t="s">
        <v>435</v>
      </c>
      <c r="F2926" s="9">
        <f t="shared" si="1"/>
        <v>4</v>
      </c>
      <c r="G2926" s="9" t="s">
        <v>4901</v>
      </c>
      <c r="H2926" s="11" t="str">
        <f>IFERROR(__xludf.DUMMYFUNCTION("REGEXREPLACE(G2926, ""[^0-9a-zA-Z .'Ã]"","""")"),"Bojana Novakovic")</f>
        <v>Bojana Novakovic</v>
      </c>
      <c r="I2926" s="11" t="s">
        <v>9311</v>
      </c>
      <c r="J2926" s="9">
        <v>75201.0</v>
      </c>
      <c r="K2926" s="9" t="s">
        <v>9312</v>
      </c>
      <c r="L2926" s="9">
        <v>256.0</v>
      </c>
      <c r="M2926" s="9" t="s">
        <v>24</v>
      </c>
      <c r="N2926" s="9" t="s">
        <v>130</v>
      </c>
      <c r="O2926" s="10">
        <v>8.0E7</v>
      </c>
      <c r="P2926" s="10">
        <f t="shared" si="2"/>
        <v>0</v>
      </c>
      <c r="Q2926" s="12">
        <f t="shared" si="3"/>
        <v>36709023</v>
      </c>
      <c r="R2926" s="9">
        <v>2010.0</v>
      </c>
      <c r="S2926" s="9">
        <v>6.6</v>
      </c>
    </row>
    <row r="2927" ht="15.75" customHeight="1">
      <c r="A2927" s="25" t="s">
        <v>1950</v>
      </c>
      <c r="B2927" s="8" t="str">
        <f>IFERROR(__xludf.DUMMYFUNCTION("REGEXREPLACE(A2927, ""[^0-9a-zA-Z .'Ã]"","""")"),"Phyllida Lloyd")</f>
        <v>Phyllida Lloyd</v>
      </c>
      <c r="C2927" s="26">
        <v>331.0</v>
      </c>
      <c r="D2927" s="27">
        <v>2.9959436E7</v>
      </c>
      <c r="E2927" s="26" t="s">
        <v>620</v>
      </c>
      <c r="F2927" s="9">
        <f t="shared" si="1"/>
        <v>3</v>
      </c>
      <c r="G2927" s="26" t="s">
        <v>1941</v>
      </c>
      <c r="H2927" s="11" t="str">
        <f>IFERROR(__xludf.DUMMYFUNCTION("REGEXREPLACE(G2927, ""[^0-9a-zA-Z .'Ã]"","""")"),"Meryl Streep")</f>
        <v>Meryl Streep</v>
      </c>
      <c r="I2927" s="28" t="s">
        <v>9313</v>
      </c>
      <c r="J2927" s="26">
        <v>82327.0</v>
      </c>
      <c r="K2927" s="26" t="s">
        <v>9314</v>
      </c>
      <c r="L2927" s="26">
        <v>350.0</v>
      </c>
      <c r="M2927" s="26" t="s">
        <v>24</v>
      </c>
      <c r="N2927" s="26" t="s">
        <v>130</v>
      </c>
      <c r="O2927" s="27">
        <v>1.3E7</v>
      </c>
      <c r="P2927" s="10">
        <f t="shared" si="2"/>
        <v>16959436</v>
      </c>
      <c r="Q2927" s="12">
        <f t="shared" si="3"/>
        <v>0</v>
      </c>
      <c r="R2927" s="26">
        <v>2011.0</v>
      </c>
      <c r="S2927" s="26">
        <v>6.4</v>
      </c>
    </row>
    <row r="2928" ht="15.75" customHeight="1">
      <c r="A2928" s="7" t="s">
        <v>1687</v>
      </c>
      <c r="B2928" s="8" t="str">
        <f>IFERROR(__xludf.DUMMYFUNCTION("REGEXREPLACE(A2928, ""[^0-9a-zA-Z .'Ã]"","""")"),"Craig Gillespie")</f>
        <v>Craig Gillespie</v>
      </c>
      <c r="C2928" s="9">
        <v>358.0</v>
      </c>
      <c r="D2928" s="10">
        <v>1.8298649E7</v>
      </c>
      <c r="E2928" s="9" t="s">
        <v>364</v>
      </c>
      <c r="F2928" s="9">
        <f t="shared" si="1"/>
        <v>2</v>
      </c>
      <c r="G2928" s="9" t="s">
        <v>9315</v>
      </c>
      <c r="H2928" s="11" t="str">
        <f>IFERROR(__xludf.DUMMYFUNCTION("REGEXREPLACE(G2928, ""[^0-9a-zA-Z .'Ã]"","""")"),"Grace Phipps")</f>
        <v>Grace Phipps</v>
      </c>
      <c r="I2928" s="11" t="s">
        <v>9316</v>
      </c>
      <c r="J2928" s="9">
        <v>85024.0</v>
      </c>
      <c r="K2928" s="9" t="s">
        <v>9317</v>
      </c>
      <c r="L2928" s="9">
        <v>242.0</v>
      </c>
      <c r="M2928" s="9" t="s">
        <v>24</v>
      </c>
      <c r="N2928" s="9" t="s">
        <v>25</v>
      </c>
      <c r="O2928" s="10">
        <v>3.0E7</v>
      </c>
      <c r="P2928" s="10">
        <f t="shared" si="2"/>
        <v>0</v>
      </c>
      <c r="Q2928" s="12">
        <f t="shared" si="3"/>
        <v>11701351</v>
      </c>
      <c r="R2928" s="9">
        <v>2011.0</v>
      </c>
      <c r="S2928" s="9">
        <v>6.4</v>
      </c>
    </row>
    <row r="2929" ht="15.75" customHeight="1">
      <c r="A2929" s="7" t="s">
        <v>4151</v>
      </c>
      <c r="B2929" s="8" t="str">
        <f>IFERROR(__xludf.DUMMYFUNCTION("REGEXREPLACE(A2929, ""[^0-9a-zA-Z .'Ã]"","""")"),"Frank Coraci")</f>
        <v>Frank Coraci</v>
      </c>
      <c r="C2929" s="9">
        <v>178.0</v>
      </c>
      <c r="D2929" s="10">
        <v>8.0360866E7</v>
      </c>
      <c r="E2929" s="9" t="s">
        <v>289</v>
      </c>
      <c r="F2929" s="9">
        <f t="shared" si="1"/>
        <v>3</v>
      </c>
      <c r="G2929" s="9" t="s">
        <v>3571</v>
      </c>
      <c r="H2929" s="11" t="str">
        <f>IFERROR(__xludf.DUMMYFUNCTION("REGEXREPLACE(G2929, ""[^0-9a-zA-Z .'Ã]"","""")"),"Rosario Dawson")</f>
        <v>Rosario Dawson</v>
      </c>
      <c r="I2929" s="11" t="s">
        <v>9318</v>
      </c>
      <c r="J2929" s="9">
        <v>44662.0</v>
      </c>
      <c r="K2929" s="9" t="s">
        <v>9319</v>
      </c>
      <c r="L2929" s="9">
        <v>127.0</v>
      </c>
      <c r="M2929" s="9" t="s">
        <v>24</v>
      </c>
      <c r="N2929" s="9" t="s">
        <v>25</v>
      </c>
      <c r="O2929" s="10">
        <v>8.0E7</v>
      </c>
      <c r="P2929" s="10">
        <f t="shared" si="2"/>
        <v>360866</v>
      </c>
      <c r="Q2929" s="12">
        <f t="shared" si="3"/>
        <v>0</v>
      </c>
      <c r="R2929" s="9">
        <v>2011.0</v>
      </c>
      <c r="S2929" s="9">
        <v>5.2</v>
      </c>
    </row>
    <row r="2930" ht="15.75" customHeight="1">
      <c r="A2930" s="29" t="s">
        <v>723</v>
      </c>
      <c r="B2930" s="8" t="str">
        <f>IFERROR(__xludf.DUMMYFUNCTION("REGEXREPLACE(A2930, ""[^0-9a-zA-Z .'Ã]"","""")"),"Robert Rodriguez")</f>
        <v>Robert Rodriguez</v>
      </c>
      <c r="C2930" s="30">
        <v>76.0</v>
      </c>
      <c r="D2930" s="31">
        <v>3.8536376E7</v>
      </c>
      <c r="E2930" s="30" t="s">
        <v>3305</v>
      </c>
      <c r="F2930" s="9">
        <f t="shared" si="1"/>
        <v>5</v>
      </c>
      <c r="G2930" s="30" t="s">
        <v>2380</v>
      </c>
      <c r="H2930" s="11" t="str">
        <f>IFERROR(__xludf.DUMMYFUNCTION("REGEXREPLACE(G2930, ""[^0-9a-zA-Z .'Ã]"","""")"),"Alexa PenaVega")</f>
        <v>Alexa PenaVega</v>
      </c>
      <c r="I2930" s="32" t="s">
        <v>9320</v>
      </c>
      <c r="J2930" s="30">
        <v>15866.0</v>
      </c>
      <c r="K2930" s="30" t="s">
        <v>9321</v>
      </c>
      <c r="L2930" s="30">
        <v>83.0</v>
      </c>
      <c r="M2930" s="30" t="s">
        <v>24</v>
      </c>
      <c r="N2930" s="30" t="s">
        <v>25</v>
      </c>
      <c r="O2930" s="31">
        <v>2.7E7</v>
      </c>
      <c r="P2930" s="10">
        <f t="shared" si="2"/>
        <v>11536376</v>
      </c>
      <c r="Q2930" s="12">
        <f t="shared" si="3"/>
        <v>0</v>
      </c>
      <c r="R2930" s="30">
        <v>2011.0</v>
      </c>
      <c r="S2930" s="30">
        <v>3.6</v>
      </c>
    </row>
    <row r="2931" ht="15.75" customHeight="1">
      <c r="A2931" s="17" t="s">
        <v>9322</v>
      </c>
      <c r="B2931" s="8" t="str">
        <f>IFERROR(__xludf.DUMMYFUNCTION("REGEXREPLACE(A2931, ""[^0-9a-zA-Z .'Ã]"","""")"),"Greg Berlanti")</f>
        <v>Greg Berlanti</v>
      </c>
      <c r="C2931" s="18">
        <v>51.0</v>
      </c>
      <c r="D2931" s="19">
        <v>1744858.0</v>
      </c>
      <c r="E2931" s="18" t="s">
        <v>1038</v>
      </c>
      <c r="F2931" s="9">
        <f t="shared" si="1"/>
        <v>4</v>
      </c>
      <c r="G2931" s="18" t="s">
        <v>2752</v>
      </c>
      <c r="H2931" s="11" t="str">
        <f>IFERROR(__xludf.DUMMYFUNCTION("REGEXREPLACE(G2931, ""[^0-9a-zA-Z .'Ã]"","""")"),"Justin Theroux")</f>
        <v>Justin Theroux</v>
      </c>
      <c r="I2931" s="20" t="s">
        <v>9323</v>
      </c>
      <c r="J2931" s="18">
        <v>6084.0</v>
      </c>
      <c r="K2931" s="18" t="s">
        <v>9324</v>
      </c>
      <c r="L2931" s="18">
        <v>120.0</v>
      </c>
      <c r="M2931" s="18" t="s">
        <v>24</v>
      </c>
      <c r="N2931" s="18" t="s">
        <v>25</v>
      </c>
      <c r="O2931" s="19">
        <v>1000000.0</v>
      </c>
      <c r="P2931" s="10">
        <f t="shared" si="2"/>
        <v>744858</v>
      </c>
      <c r="Q2931" s="12">
        <f t="shared" si="3"/>
        <v>0</v>
      </c>
      <c r="R2931" s="18">
        <v>2000.0</v>
      </c>
      <c r="S2931" s="18">
        <v>7.0</v>
      </c>
    </row>
    <row r="2932" ht="15.75" customHeight="1">
      <c r="A2932" s="13" t="s">
        <v>38</v>
      </c>
      <c r="B2932" s="8" t="str">
        <f>IFERROR(__xludf.DUMMYFUNCTION("REGEXREPLACE(A2932, ""[^0-9a-zA-Z .'Ã]"","""")"),"Clint Eastwood")</f>
        <v>Clint Eastwood</v>
      </c>
      <c r="C2932" s="14">
        <v>251.0</v>
      </c>
      <c r="D2932" s="15">
        <v>1.3753931E7</v>
      </c>
      <c r="E2932" s="14" t="s">
        <v>74</v>
      </c>
      <c r="F2932" s="9">
        <f t="shared" si="1"/>
        <v>3</v>
      </c>
      <c r="G2932" s="14" t="s">
        <v>9325</v>
      </c>
      <c r="H2932" s="11" t="str">
        <f>IFERROR(__xludf.DUMMYFUNCTION("REGEXREPLACE(G2932, ""[^0-9a-zA-Z .'Ã]"","""")"),"Yuki Matsuzaki")</f>
        <v>Yuki Matsuzaki</v>
      </c>
      <c r="I2932" s="16" t="s">
        <v>9326</v>
      </c>
      <c r="J2932" s="14">
        <v>132149.0</v>
      </c>
      <c r="K2932" s="14" t="s">
        <v>9327</v>
      </c>
      <c r="L2932" s="14">
        <v>316.0</v>
      </c>
      <c r="M2932" s="14" t="s">
        <v>1534</v>
      </c>
      <c r="N2932" s="14" t="s">
        <v>25</v>
      </c>
      <c r="O2932" s="15">
        <v>1.9E7</v>
      </c>
      <c r="P2932" s="10">
        <f t="shared" si="2"/>
        <v>0</v>
      </c>
      <c r="Q2932" s="12">
        <f t="shared" si="3"/>
        <v>5246069</v>
      </c>
      <c r="R2932" s="14">
        <v>2006.0</v>
      </c>
      <c r="S2932" s="14">
        <v>7.9</v>
      </c>
    </row>
    <row r="2933" ht="15.75" customHeight="1">
      <c r="A2933" s="17" t="s">
        <v>6371</v>
      </c>
      <c r="B2933" s="8" t="str">
        <f>IFERROR(__xludf.DUMMYFUNCTION("REGEXREPLACE(A2933, ""[^0-9a-zA-Z .'Ã]"","""")"),"Brian Robbins")</f>
        <v>Brian Robbins</v>
      </c>
      <c r="C2933" s="18">
        <v>85.0</v>
      </c>
      <c r="D2933" s="19">
        <v>4.0219708E7</v>
      </c>
      <c r="E2933" s="18" t="s">
        <v>132</v>
      </c>
      <c r="F2933" s="9">
        <f t="shared" si="1"/>
        <v>2</v>
      </c>
      <c r="G2933" s="18" t="s">
        <v>1170</v>
      </c>
      <c r="H2933" s="11" t="str">
        <f>IFERROR(__xludf.DUMMYFUNCTION("REGEXREPLACE(G2933, ""[^0-9a-zA-Z .'Ã]"","""")"),"Keanu Reeves")</f>
        <v>Keanu Reeves</v>
      </c>
      <c r="I2933" s="20" t="s">
        <v>9328</v>
      </c>
      <c r="J2933" s="18">
        <v>22649.0</v>
      </c>
      <c r="K2933" s="18" t="s">
        <v>9329</v>
      </c>
      <c r="L2933" s="18">
        <v>131.0</v>
      </c>
      <c r="M2933" s="18" t="s">
        <v>24</v>
      </c>
      <c r="N2933" s="18" t="s">
        <v>25</v>
      </c>
      <c r="O2933" s="19">
        <v>2.1E7</v>
      </c>
      <c r="P2933" s="10">
        <f t="shared" si="2"/>
        <v>19219708</v>
      </c>
      <c r="Q2933" s="12">
        <f t="shared" si="3"/>
        <v>0</v>
      </c>
      <c r="R2933" s="18">
        <v>2001.0</v>
      </c>
      <c r="S2933" s="18">
        <v>6.3</v>
      </c>
    </row>
    <row r="2934" ht="15.75" customHeight="1">
      <c r="A2934" s="21" t="s">
        <v>2535</v>
      </c>
      <c r="B2934" s="8" t="str">
        <f>IFERROR(__xludf.DUMMYFUNCTION("REGEXREPLACE(A2934, ""[^0-9a-zA-Z .'Ã]"","""")"),"Ivan Reitman")</f>
        <v>Ivan Reitman</v>
      </c>
      <c r="C2934" s="22">
        <v>52.0</v>
      </c>
      <c r="D2934" s="23">
        <v>8.53E7</v>
      </c>
      <c r="E2934" s="22" t="s">
        <v>9330</v>
      </c>
      <c r="F2934" s="9">
        <f t="shared" si="1"/>
        <v>3</v>
      </c>
      <c r="G2934" s="22" t="s">
        <v>470</v>
      </c>
      <c r="H2934" s="11" t="str">
        <f>IFERROR(__xludf.DUMMYFUNCTION("REGEXREPLACE(G2934, ""[^0-9a-zA-Z .'Ã]"","""")"),"Bill Murray")</f>
        <v>Bill Murray</v>
      </c>
      <c r="I2934" s="24" t="s">
        <v>9331</v>
      </c>
      <c r="J2934" s="22">
        <v>48629.0</v>
      </c>
      <c r="K2934" s="22" t="s">
        <v>9332</v>
      </c>
      <c r="L2934" s="22">
        <v>134.0</v>
      </c>
      <c r="M2934" s="22" t="s">
        <v>24</v>
      </c>
      <c r="N2934" s="22" t="s">
        <v>25</v>
      </c>
      <c r="O2934" s="23">
        <v>1.0E7</v>
      </c>
      <c r="P2934" s="10">
        <f t="shared" si="2"/>
        <v>75300000</v>
      </c>
      <c r="Q2934" s="12">
        <f t="shared" si="3"/>
        <v>0</v>
      </c>
      <c r="R2934" s="22">
        <v>1981.0</v>
      </c>
      <c r="S2934" s="22">
        <v>6.9</v>
      </c>
    </row>
    <row r="2935" ht="15.75" customHeight="1">
      <c r="A2935" s="7" t="s">
        <v>3832</v>
      </c>
      <c r="B2935" s="8" t="str">
        <f>IFERROR(__xludf.DUMMYFUNCTION("REGEXREPLACE(A2935, ""[^0-9a-zA-Z .'Ã]"","""")"),"Doug Liman")</f>
        <v>Doug Liman</v>
      </c>
      <c r="C2935" s="9">
        <v>585.0</v>
      </c>
      <c r="D2935" s="10">
        <v>1.00189501E8</v>
      </c>
      <c r="E2935" s="9" t="s">
        <v>185</v>
      </c>
      <c r="F2935" s="9">
        <f t="shared" si="1"/>
        <v>3</v>
      </c>
      <c r="G2935" s="9" t="s">
        <v>220</v>
      </c>
      <c r="H2935" s="11" t="str">
        <f>IFERROR(__xludf.DUMMYFUNCTION("REGEXREPLACE(G2935, ""[^0-9a-zA-Z .'Ã]"","""")"),"Tom Cruise")</f>
        <v>Tom Cruise</v>
      </c>
      <c r="I2935" s="11" t="s">
        <v>9333</v>
      </c>
      <c r="J2935" s="9">
        <v>431620.0</v>
      </c>
      <c r="K2935" s="9" t="s">
        <v>9334</v>
      </c>
      <c r="L2935" s="9">
        <v>741.0</v>
      </c>
      <c r="M2935" s="9" t="s">
        <v>24</v>
      </c>
      <c r="N2935" s="9" t="s">
        <v>25</v>
      </c>
      <c r="O2935" s="10">
        <v>1.78E8</v>
      </c>
      <c r="P2935" s="10">
        <f t="shared" si="2"/>
        <v>0</v>
      </c>
      <c r="Q2935" s="12">
        <f t="shared" si="3"/>
        <v>77810499</v>
      </c>
      <c r="R2935" s="9">
        <v>2014.0</v>
      </c>
      <c r="S2935" s="9">
        <v>7.9</v>
      </c>
    </row>
    <row r="2936" ht="15.75" customHeight="1">
      <c r="A2936" s="17" t="s">
        <v>5772</v>
      </c>
      <c r="B2936" s="8" t="str">
        <f>IFERROR(__xludf.DUMMYFUNCTION("REGEXREPLACE(A2936, ""[^0-9a-zA-Z .'Ã]"","""")"),"Karan Johar")</f>
        <v>Karan Johar</v>
      </c>
      <c r="C2936" s="18">
        <v>210.0</v>
      </c>
      <c r="D2936" s="19">
        <v>4018695.0</v>
      </c>
      <c r="E2936" s="18" t="s">
        <v>3081</v>
      </c>
      <c r="F2936" s="9">
        <f t="shared" si="1"/>
        <v>3</v>
      </c>
      <c r="G2936" s="18" t="s">
        <v>667</v>
      </c>
      <c r="H2936" s="11" t="str">
        <f>IFERROR(__xludf.DUMMYFUNCTION("REGEXREPLACE(G2936, ""[^0-9a-zA-Z .'Ã]"","""")"),"Shah Rukh Khan")</f>
        <v>Shah Rukh Khan</v>
      </c>
      <c r="I2936" s="20" t="s">
        <v>9335</v>
      </c>
      <c r="J2936" s="18">
        <v>69759.0</v>
      </c>
      <c r="K2936" s="18" t="s">
        <v>9336</v>
      </c>
      <c r="L2936" s="18">
        <v>235.0</v>
      </c>
      <c r="M2936" s="18" t="s">
        <v>670</v>
      </c>
      <c r="N2936" s="18" t="s">
        <v>671</v>
      </c>
      <c r="O2936" s="19">
        <v>1.2E7</v>
      </c>
      <c r="P2936" s="10">
        <f t="shared" si="2"/>
        <v>0</v>
      </c>
      <c r="Q2936" s="12">
        <f t="shared" si="3"/>
        <v>7981305</v>
      </c>
      <c r="R2936" s="18">
        <v>2010.0</v>
      </c>
      <c r="S2936" s="18">
        <v>8.0</v>
      </c>
    </row>
    <row r="2937" ht="15.75" customHeight="1">
      <c r="A2937" s="17" t="s">
        <v>9337</v>
      </c>
      <c r="B2937" s="8" t="str">
        <f>IFERROR(__xludf.DUMMYFUNCTION("REGEXREPLACE(A2937, ""[^0-9a-zA-Z .'Ã]"","""")"),"Terence Davies")</f>
        <v>Terence Davies</v>
      </c>
      <c r="C2937" s="18">
        <v>96.0</v>
      </c>
      <c r="D2937" s="19">
        <v>3041803.0</v>
      </c>
      <c r="E2937" s="18" t="s">
        <v>232</v>
      </c>
      <c r="F2937" s="9">
        <f t="shared" si="1"/>
        <v>2</v>
      </c>
      <c r="G2937" s="18" t="s">
        <v>2353</v>
      </c>
      <c r="H2937" s="11" t="str">
        <f>IFERROR(__xludf.DUMMYFUNCTION("REGEXREPLACE(G2937, ""[^0-9a-zA-Z .'Ã]"","""")"),"Eric Stoltz")</f>
        <v>Eric Stoltz</v>
      </c>
      <c r="I2937" s="20" t="s">
        <v>9338</v>
      </c>
      <c r="J2937" s="18">
        <v>6377.0</v>
      </c>
      <c r="K2937" s="18" t="s">
        <v>9339</v>
      </c>
      <c r="L2937" s="18">
        <v>181.0</v>
      </c>
      <c r="M2937" s="18" t="s">
        <v>24</v>
      </c>
      <c r="N2937" s="18" t="s">
        <v>130</v>
      </c>
      <c r="O2937" s="19">
        <v>1.0E7</v>
      </c>
      <c r="P2937" s="10">
        <f t="shared" si="2"/>
        <v>0</v>
      </c>
      <c r="Q2937" s="12">
        <f t="shared" si="3"/>
        <v>6958197</v>
      </c>
      <c r="R2937" s="18">
        <v>2000.0</v>
      </c>
      <c r="S2937" s="18">
        <v>7.1</v>
      </c>
    </row>
    <row r="2938" ht="15.75" customHeight="1">
      <c r="A2938" s="7" t="s">
        <v>9340</v>
      </c>
      <c r="B2938" s="8" t="str">
        <f>IFERROR(__xludf.DUMMYFUNCTION("REGEXREPLACE(A2938, ""[^0-9a-zA-Z .'Ã]"","""")"),"Karyn Kusama")</f>
        <v>Karyn Kusama</v>
      </c>
      <c r="C2938" s="9">
        <v>178.0</v>
      </c>
      <c r="D2938" s="10">
        <v>2.5857987E7</v>
      </c>
      <c r="E2938" s="9" t="s">
        <v>848</v>
      </c>
      <c r="F2938" s="9">
        <f t="shared" si="1"/>
        <v>2</v>
      </c>
      <c r="G2938" s="9" t="s">
        <v>3186</v>
      </c>
      <c r="H2938" s="11" t="str">
        <f>IFERROR(__xludf.DUMMYFUNCTION("REGEXREPLACE(G2938, ""[^0-9a-zA-Z .'Ã]"","""")"),"Charlize Theron")</f>
        <v>Charlize Theron</v>
      </c>
      <c r="I2938" s="11" t="s">
        <v>9341</v>
      </c>
      <c r="J2938" s="9">
        <v>110614.0</v>
      </c>
      <c r="K2938" s="9" t="s">
        <v>9342</v>
      </c>
      <c r="L2938" s="9">
        <v>532.0</v>
      </c>
      <c r="M2938" s="9" t="s">
        <v>24</v>
      </c>
      <c r="N2938" s="9" t="s">
        <v>25</v>
      </c>
      <c r="O2938" s="10">
        <v>6.2E7</v>
      </c>
      <c r="P2938" s="10">
        <f t="shared" si="2"/>
        <v>0</v>
      </c>
      <c r="Q2938" s="12">
        <f t="shared" si="3"/>
        <v>36142013</v>
      </c>
      <c r="R2938" s="9">
        <v>2005.0</v>
      </c>
      <c r="S2938" s="9">
        <v>5.5</v>
      </c>
    </row>
    <row r="2939" ht="15.75" customHeight="1">
      <c r="A2939" s="7" t="s">
        <v>6371</v>
      </c>
      <c r="B2939" s="8" t="str">
        <f>IFERROR(__xludf.DUMMYFUNCTION("REGEXREPLACE(A2939, ""[^0-9a-zA-Z .'Ã]"","""")"),"Brian Robbins")</f>
        <v>Brian Robbins</v>
      </c>
      <c r="C2939" s="9">
        <v>76.0</v>
      </c>
      <c r="D2939" s="10">
        <v>6.1112916E7</v>
      </c>
      <c r="E2939" s="9" t="s">
        <v>514</v>
      </c>
      <c r="F2939" s="9">
        <f t="shared" si="1"/>
        <v>3</v>
      </c>
      <c r="G2939" s="9" t="s">
        <v>327</v>
      </c>
      <c r="H2939" s="11" t="str">
        <f>IFERROR(__xludf.DUMMYFUNCTION("REGEXREPLACE(G2939, ""[^0-9a-zA-Z .'Ã]"","""")"),"Robert Downey Jr.")</f>
        <v>Robert Downey Jr.</v>
      </c>
      <c r="I2939" s="11" t="s">
        <v>9343</v>
      </c>
      <c r="J2939" s="9">
        <v>14888.0</v>
      </c>
      <c r="K2939" s="9" t="s">
        <v>9344</v>
      </c>
      <c r="L2939" s="9">
        <v>83.0</v>
      </c>
      <c r="M2939" s="9" t="s">
        <v>24</v>
      </c>
      <c r="N2939" s="9" t="s">
        <v>25</v>
      </c>
      <c r="O2939" s="10">
        <v>5.0E7</v>
      </c>
      <c r="P2939" s="10">
        <f t="shared" si="2"/>
        <v>11112916</v>
      </c>
      <c r="Q2939" s="12">
        <f t="shared" si="3"/>
        <v>0</v>
      </c>
      <c r="R2939" s="9">
        <v>2006.0</v>
      </c>
      <c r="S2939" s="9">
        <v>4.4</v>
      </c>
    </row>
    <row r="2940" ht="15.75" customHeight="1">
      <c r="A2940" s="7" t="s">
        <v>1501</v>
      </c>
      <c r="B2940" s="8" t="str">
        <f>IFERROR(__xludf.DUMMYFUNCTION("REGEXREPLACE(A2940, ""[^0-9a-zA-Z .'Ã]"","""")"),"Rob Bowman")</f>
        <v>Rob Bowman</v>
      </c>
      <c r="C2940" s="9">
        <v>9.0</v>
      </c>
      <c r="D2940" s="10">
        <v>2850263.0</v>
      </c>
      <c r="E2940" s="9" t="s">
        <v>9345</v>
      </c>
      <c r="F2940" s="9">
        <f t="shared" si="1"/>
        <v>3</v>
      </c>
      <c r="G2940" s="9" t="s">
        <v>9346</v>
      </c>
      <c r="H2940" s="11" t="str">
        <f>IFERROR(__xludf.DUMMYFUNCTION("REGEXREPLACE(G2940, ""[^0-9a-zA-Z .'Ã]"","""")"),"Alanna Ubach")</f>
        <v>Alanna Ubach</v>
      </c>
      <c r="I2940" s="11" t="s">
        <v>9347</v>
      </c>
      <c r="J2940" s="9">
        <v>5061.0</v>
      </c>
      <c r="K2940" s="9" t="s">
        <v>9348</v>
      </c>
      <c r="L2940" s="9">
        <v>70.0</v>
      </c>
      <c r="M2940" s="9" t="s">
        <v>24</v>
      </c>
      <c r="N2940" s="9" t="s">
        <v>25</v>
      </c>
      <c r="O2940" s="10">
        <v>2600000.0</v>
      </c>
      <c r="P2940" s="10">
        <f t="shared" si="2"/>
        <v>250263</v>
      </c>
      <c r="Q2940" s="12">
        <f t="shared" si="3"/>
        <v>0</v>
      </c>
      <c r="R2940" s="9">
        <v>1993.0</v>
      </c>
      <c r="S2940" s="9">
        <v>6.2</v>
      </c>
    </row>
    <row r="2941" ht="15.75" customHeight="1">
      <c r="A2941" s="7" t="s">
        <v>3789</v>
      </c>
      <c r="B2941" s="8" t="str">
        <f>IFERROR(__xludf.DUMMYFUNCTION("REGEXREPLACE(A2941, ""[^0-9a-zA-Z .'Ã]"","""")"),"Seth Gordon")</f>
        <v>Seth Gordon</v>
      </c>
      <c r="C2941" s="9">
        <v>275.0</v>
      </c>
      <c r="D2941" s="10">
        <v>1.34455175E8</v>
      </c>
      <c r="E2941" s="9" t="s">
        <v>440</v>
      </c>
      <c r="F2941" s="9">
        <f t="shared" si="1"/>
        <v>2</v>
      </c>
      <c r="G2941" s="9" t="s">
        <v>505</v>
      </c>
      <c r="H2941" s="11" t="str">
        <f>IFERROR(__xludf.DUMMYFUNCTION("REGEXREPLACE(G2941, ""[^0-9a-zA-Z .'Ã]"","""")"),"Jon Favreau")</f>
        <v>Jon Favreau</v>
      </c>
      <c r="I2941" s="11" t="s">
        <v>9349</v>
      </c>
      <c r="J2941" s="9">
        <v>97664.0</v>
      </c>
      <c r="K2941" s="9" t="s">
        <v>9350</v>
      </c>
      <c r="L2941" s="9">
        <v>232.0</v>
      </c>
      <c r="M2941" s="9" t="s">
        <v>24</v>
      </c>
      <c r="N2941" s="9" t="s">
        <v>25</v>
      </c>
      <c r="O2941" s="10">
        <v>3.5E7</v>
      </c>
      <c r="P2941" s="10">
        <f t="shared" si="2"/>
        <v>99455175</v>
      </c>
      <c r="Q2941" s="12">
        <f t="shared" si="3"/>
        <v>0</v>
      </c>
      <c r="R2941" s="9">
        <v>2013.0</v>
      </c>
      <c r="S2941" s="9">
        <v>5.7</v>
      </c>
    </row>
    <row r="2942" ht="15.75" customHeight="1">
      <c r="A2942" s="7" t="s">
        <v>1278</v>
      </c>
      <c r="B2942" s="8" t="str">
        <f>IFERROR(__xludf.DUMMYFUNCTION("REGEXREPLACE(A2942, ""[^0-9a-zA-Z .'Ã]"","""")"),"Guy Hamilton")</f>
        <v>Guy Hamilton</v>
      </c>
      <c r="C2942" s="9">
        <v>118.0</v>
      </c>
      <c r="D2942" s="10">
        <v>2.1E7</v>
      </c>
      <c r="E2942" s="9" t="s">
        <v>474</v>
      </c>
      <c r="F2942" s="9">
        <f t="shared" si="1"/>
        <v>3</v>
      </c>
      <c r="G2942" s="9" t="s">
        <v>1030</v>
      </c>
      <c r="H2942" s="11" t="str">
        <f>IFERROR(__xludf.DUMMYFUNCTION("REGEXREPLACE(G2942, ""[^0-9a-zA-Z .'Ã]"","""")"),"Christopher Lee")</f>
        <v>Christopher Lee</v>
      </c>
      <c r="I2942" s="11" t="s">
        <v>9351</v>
      </c>
      <c r="J2942" s="9">
        <v>73950.0</v>
      </c>
      <c r="K2942" s="9" t="s">
        <v>9352</v>
      </c>
      <c r="L2942" s="9">
        <v>258.0</v>
      </c>
      <c r="M2942" s="9" t="s">
        <v>24</v>
      </c>
      <c r="N2942" s="9" t="s">
        <v>130</v>
      </c>
      <c r="O2942" s="10">
        <v>1.3E7</v>
      </c>
      <c r="P2942" s="10">
        <f t="shared" si="2"/>
        <v>8000000</v>
      </c>
      <c r="Q2942" s="12">
        <f t="shared" si="3"/>
        <v>0</v>
      </c>
      <c r="R2942" s="9">
        <v>1974.0</v>
      </c>
      <c r="S2942" s="9">
        <v>6.8</v>
      </c>
    </row>
    <row r="2943" ht="15.75" customHeight="1">
      <c r="A2943" s="29" t="s">
        <v>9353</v>
      </c>
      <c r="B2943" s="8" t="str">
        <f>IFERROR(__xludf.DUMMYFUNCTION("REGEXREPLACE(A2943, ""[^0-9a-zA-Z .'Ã]"","""")"),"Alan Poul")</f>
        <v>Alan Poul</v>
      </c>
      <c r="C2943" s="30">
        <v>148.0</v>
      </c>
      <c r="D2943" s="31">
        <v>3.7481242E7</v>
      </c>
      <c r="E2943" s="30" t="s">
        <v>89</v>
      </c>
      <c r="F2943" s="9">
        <f t="shared" si="1"/>
        <v>2</v>
      </c>
      <c r="G2943" s="30" t="s">
        <v>7439</v>
      </c>
      <c r="H2943" s="11" t="str">
        <f>IFERROR(__xludf.DUMMYFUNCTION("REGEXREPLACE(G2943, ""[^0-9a-zA-Z .'Ã]"","""")"),"Danneel Ackles")</f>
        <v>Danneel Ackles</v>
      </c>
      <c r="I2943" s="32" t="s">
        <v>9354</v>
      </c>
      <c r="J2943" s="30">
        <v>40654.0</v>
      </c>
      <c r="K2943" s="30" t="s">
        <v>9355</v>
      </c>
      <c r="L2943" s="30">
        <v>97.0</v>
      </c>
      <c r="M2943" s="30" t="s">
        <v>24</v>
      </c>
      <c r="N2943" s="30" t="s">
        <v>25</v>
      </c>
      <c r="O2943" s="31">
        <v>3.5E7</v>
      </c>
      <c r="P2943" s="10">
        <f t="shared" si="2"/>
        <v>2481242</v>
      </c>
      <c r="Q2943" s="12">
        <f t="shared" si="3"/>
        <v>0</v>
      </c>
      <c r="R2943" s="30">
        <v>2010.0</v>
      </c>
      <c r="S2943" s="30">
        <v>5.3</v>
      </c>
    </row>
    <row r="2944" ht="15.75" customHeight="1">
      <c r="A2944" s="7" t="s">
        <v>9356</v>
      </c>
      <c r="B2944" s="8" t="str">
        <f>IFERROR(__xludf.DUMMYFUNCTION("REGEXREPLACE(A2944, ""[^0-9a-zA-Z .'Ã]"","""")"),"Peter Stebbings")</f>
        <v>Peter Stebbings</v>
      </c>
      <c r="C2944" s="9">
        <v>78.0</v>
      </c>
      <c r="D2944" s="10">
        <v>37606.0</v>
      </c>
      <c r="E2944" s="9" t="s">
        <v>169</v>
      </c>
      <c r="F2944" s="9">
        <f t="shared" si="1"/>
        <v>3</v>
      </c>
      <c r="G2944" s="9" t="s">
        <v>2184</v>
      </c>
      <c r="H2944" s="11" t="str">
        <f>IFERROR(__xludf.DUMMYFUNCTION("REGEXREPLACE(G2944, ""[^0-9a-zA-Z .'Ã]"","""")"),"Michael Kelly")</f>
        <v>Michael Kelly</v>
      </c>
      <c r="I2944" s="11" t="s">
        <v>9357</v>
      </c>
      <c r="J2944" s="9">
        <v>31836.0</v>
      </c>
      <c r="K2944" s="9" t="s">
        <v>9358</v>
      </c>
      <c r="L2944" s="9">
        <v>90.0</v>
      </c>
      <c r="M2944" s="9" t="s">
        <v>24</v>
      </c>
      <c r="N2944" s="9" t="s">
        <v>624</v>
      </c>
      <c r="O2944" s="10">
        <v>3500000.0</v>
      </c>
      <c r="P2944" s="10">
        <f t="shared" si="2"/>
        <v>0</v>
      </c>
      <c r="Q2944" s="12">
        <f t="shared" si="3"/>
        <v>3462394</v>
      </c>
      <c r="R2944" s="9">
        <v>2009.0</v>
      </c>
      <c r="S2944" s="9">
        <v>6.8</v>
      </c>
    </row>
    <row r="2945" ht="15.75" customHeight="1">
      <c r="A2945" s="25" t="s">
        <v>5283</v>
      </c>
      <c r="B2945" s="8" t="str">
        <f>IFERROR(__xludf.DUMMYFUNCTION("REGEXREPLACE(A2945, ""[^0-9a-zA-Z .'Ã]"","""")"),"Bob Clark")</f>
        <v>Bob Clark</v>
      </c>
      <c r="C2945" s="26">
        <v>45.0</v>
      </c>
      <c r="D2945" s="27">
        <v>2.7141959E7</v>
      </c>
      <c r="E2945" s="26" t="s">
        <v>9359</v>
      </c>
      <c r="F2945" s="9">
        <f t="shared" si="1"/>
        <v>4</v>
      </c>
      <c r="G2945" s="26" t="s">
        <v>3671</v>
      </c>
      <c r="H2945" s="11" t="str">
        <f>IFERROR(__xludf.DUMMYFUNCTION("REGEXREPLACE(G2945, ""[^0-9a-zA-Z .'Ã]"","""")"),"Kathleen Turner")</f>
        <v>Kathleen Turner</v>
      </c>
      <c r="I2945" s="28" t="s">
        <v>9360</v>
      </c>
      <c r="J2945" s="26">
        <v>19547.0</v>
      </c>
      <c r="K2945" s="26" t="s">
        <v>9361</v>
      </c>
      <c r="L2945" s="26">
        <v>168.0</v>
      </c>
      <c r="M2945" s="26" t="s">
        <v>24</v>
      </c>
      <c r="N2945" s="26" t="s">
        <v>25</v>
      </c>
      <c r="O2945" s="27">
        <v>1.8E7</v>
      </c>
      <c r="P2945" s="10">
        <f t="shared" si="2"/>
        <v>9141959</v>
      </c>
      <c r="Q2945" s="12">
        <f t="shared" si="3"/>
        <v>0</v>
      </c>
      <c r="R2945" s="26">
        <v>1999.0</v>
      </c>
      <c r="S2945" s="26">
        <v>2.5</v>
      </c>
    </row>
    <row r="2946" ht="15.75" customHeight="1">
      <c r="A2946" s="7" t="s">
        <v>9362</v>
      </c>
      <c r="B2946" s="8" t="str">
        <f>IFERROR(__xludf.DUMMYFUNCTION("REGEXREPLACE(A2946, ""[^0-9a-zA-Z .'Ã]"","""")"),"Michael O. Sajbel")</f>
        <v>Michael O. Sajbel</v>
      </c>
      <c r="C2946" s="9">
        <v>36.0</v>
      </c>
      <c r="D2946" s="10">
        <v>1.3391174E7</v>
      </c>
      <c r="E2946" s="9" t="s">
        <v>620</v>
      </c>
      <c r="F2946" s="9">
        <f t="shared" si="1"/>
        <v>3</v>
      </c>
      <c r="G2946" s="9" t="s">
        <v>9363</v>
      </c>
      <c r="H2946" s="11" t="str">
        <f>IFERROR(__xludf.DUMMYFUNCTION("REGEXREPLACE(G2946, ""[^0-9a-zA-Z .'Ã]"","""")"),"James Callis")</f>
        <v>James Callis</v>
      </c>
      <c r="I2946" s="11" t="s">
        <v>9364</v>
      </c>
      <c r="J2946" s="9">
        <v>5796.0</v>
      </c>
      <c r="K2946" s="9" t="s">
        <v>9365</v>
      </c>
      <c r="L2946" s="9">
        <v>177.0</v>
      </c>
      <c r="M2946" s="9" t="s">
        <v>24</v>
      </c>
      <c r="N2946" s="9" t="s">
        <v>25</v>
      </c>
      <c r="O2946" s="10">
        <v>2.0E7</v>
      </c>
      <c r="P2946" s="10">
        <f t="shared" si="2"/>
        <v>0</v>
      </c>
      <c r="Q2946" s="12">
        <f t="shared" si="3"/>
        <v>6608826</v>
      </c>
      <c r="R2946" s="9">
        <v>2006.0</v>
      </c>
      <c r="S2946" s="9">
        <v>6.3</v>
      </c>
    </row>
    <row r="2947" ht="15.75" customHeight="1">
      <c r="A2947" s="7" t="s">
        <v>9366</v>
      </c>
      <c r="B2947" s="8" t="str">
        <f>IFERROR(__xludf.DUMMYFUNCTION("REGEXREPLACE(A2947, ""[^0-9a-zA-Z .'Ã]"","""")"),"Steven E. de Souza")</f>
        <v>Steven E. de Souza</v>
      </c>
      <c r="C2947" s="9">
        <v>63.0</v>
      </c>
      <c r="D2947" s="10">
        <v>3.3423521E7</v>
      </c>
      <c r="E2947" s="9" t="s">
        <v>1207</v>
      </c>
      <c r="F2947" s="9">
        <f t="shared" si="1"/>
        <v>4</v>
      </c>
      <c r="G2947" s="9" t="s">
        <v>1165</v>
      </c>
      <c r="H2947" s="11" t="str">
        <f>IFERROR(__xludf.DUMMYFUNCTION("REGEXREPLACE(G2947, ""[^0-9a-zA-Z .'Ã]"","""")"),"MingNa Wen")</f>
        <v>MingNa Wen</v>
      </c>
      <c r="I2947" s="11" t="s">
        <v>9367</v>
      </c>
      <c r="J2947" s="9">
        <v>53115.0</v>
      </c>
      <c r="K2947" s="9" t="s">
        <v>9368</v>
      </c>
      <c r="L2947" s="9">
        <v>282.0</v>
      </c>
      <c r="M2947" s="9" t="s">
        <v>24</v>
      </c>
      <c r="N2947" s="9" t="s">
        <v>1535</v>
      </c>
      <c r="O2947" s="10">
        <v>3.5E7</v>
      </c>
      <c r="P2947" s="10">
        <f t="shared" si="2"/>
        <v>0</v>
      </c>
      <c r="Q2947" s="12">
        <f t="shared" si="3"/>
        <v>1576479</v>
      </c>
      <c r="R2947" s="9">
        <v>1994.0</v>
      </c>
      <c r="S2947" s="9">
        <v>3.8</v>
      </c>
    </row>
    <row r="2948" ht="15.75" customHeight="1">
      <c r="A2948" s="25" t="s">
        <v>9369</v>
      </c>
      <c r="B2948" s="8" t="str">
        <f>IFERROR(__xludf.DUMMYFUNCTION("REGEXREPLACE(A2948, ""[^0-9a-zA-Z .'Ã]"","""")"),"Peter Care")</f>
        <v>Peter Care</v>
      </c>
      <c r="C2948" s="26">
        <v>78.0</v>
      </c>
      <c r="D2948" s="27">
        <v>1779284.0</v>
      </c>
      <c r="E2948" s="26" t="s">
        <v>454</v>
      </c>
      <c r="F2948" s="9">
        <f t="shared" si="1"/>
        <v>2</v>
      </c>
      <c r="G2948" s="26" t="s">
        <v>3897</v>
      </c>
      <c r="H2948" s="11" t="str">
        <f>IFERROR(__xludf.DUMMYFUNCTION("REGEXREPLACE(G2948, ""[^0-9a-zA-Z .'Ã]"","""")"),"Kieran Culkin")</f>
        <v>Kieran Culkin</v>
      </c>
      <c r="I2948" s="28" t="s">
        <v>9370</v>
      </c>
      <c r="J2948" s="26">
        <v>12047.0</v>
      </c>
      <c r="K2948" s="26" t="s">
        <v>9371</v>
      </c>
      <c r="L2948" s="26">
        <v>122.0</v>
      </c>
      <c r="M2948" s="26" t="s">
        <v>24</v>
      </c>
      <c r="N2948" s="26" t="s">
        <v>25</v>
      </c>
      <c r="O2948" s="27">
        <v>1.2E7</v>
      </c>
      <c r="P2948" s="10">
        <f t="shared" si="2"/>
        <v>0</v>
      </c>
      <c r="Q2948" s="12">
        <f t="shared" si="3"/>
        <v>10220716</v>
      </c>
      <c r="R2948" s="26">
        <v>2002.0</v>
      </c>
      <c r="S2948" s="26">
        <v>7.1</v>
      </c>
    </row>
    <row r="2949" ht="15.75" customHeight="1">
      <c r="A2949" s="17" t="s">
        <v>4789</v>
      </c>
      <c r="B2949" s="8" t="str">
        <f>IFERROR(__xludf.DUMMYFUNCTION("REGEXREPLACE(A2949, ""[^0-9a-zA-Z .'Ã]"","""")"),"Albert Hughes")</f>
        <v>Albert Hughes</v>
      </c>
      <c r="C2949" s="18">
        <v>208.0</v>
      </c>
      <c r="D2949" s="19">
        <v>3.1598308E7</v>
      </c>
      <c r="E2949" s="18" t="s">
        <v>94</v>
      </c>
      <c r="F2949" s="9">
        <f t="shared" si="1"/>
        <v>3</v>
      </c>
      <c r="G2949" s="18" t="s">
        <v>85</v>
      </c>
      <c r="H2949" s="11" t="str">
        <f>IFERROR(__xludf.DUMMYFUNCTION("REGEXREPLACE(G2949, ""[^0-9a-zA-Z .'Ã]"","""")"),"Johnny Depp")</f>
        <v>Johnny Depp</v>
      </c>
      <c r="I2949" s="20" t="s">
        <v>9372</v>
      </c>
      <c r="J2949" s="18">
        <v>124765.0</v>
      </c>
      <c r="K2949" s="18" t="s">
        <v>9373</v>
      </c>
      <c r="L2949" s="18">
        <v>541.0</v>
      </c>
      <c r="M2949" s="18" t="s">
        <v>24</v>
      </c>
      <c r="N2949" s="18" t="s">
        <v>25</v>
      </c>
      <c r="O2949" s="19">
        <v>3.5E7</v>
      </c>
      <c r="P2949" s="10">
        <f t="shared" si="2"/>
        <v>0</v>
      </c>
      <c r="Q2949" s="12">
        <f t="shared" si="3"/>
        <v>3401692</v>
      </c>
      <c r="R2949" s="18">
        <v>2001.0</v>
      </c>
      <c r="S2949" s="18">
        <v>6.8</v>
      </c>
    </row>
    <row r="2950" ht="15.75" customHeight="1">
      <c r="A2950" s="25" t="s">
        <v>2074</v>
      </c>
      <c r="B2950" s="8" t="str">
        <f>IFERROR(__xludf.DUMMYFUNCTION("REGEXREPLACE(A2950, ""[^0-9a-zA-Z .'Ã]"","""")"),"James Bobin")</f>
        <v>James Bobin</v>
      </c>
      <c r="C2950" s="26">
        <v>277.0</v>
      </c>
      <c r="D2950" s="27">
        <v>5.1178893E7</v>
      </c>
      <c r="E2950" s="26" t="s">
        <v>9374</v>
      </c>
      <c r="F2950" s="9">
        <f t="shared" si="1"/>
        <v>5</v>
      </c>
      <c r="G2950" s="26" t="s">
        <v>1709</v>
      </c>
      <c r="H2950" s="11" t="str">
        <f>IFERROR(__xludf.DUMMYFUNCTION("REGEXREPLACE(G2950, ""[^0-9a-zA-Z .'Ã]"","""")"),"Ty Burrell")</f>
        <v>Ty Burrell</v>
      </c>
      <c r="I2950" s="28" t="s">
        <v>9375</v>
      </c>
      <c r="J2950" s="26">
        <v>24285.0</v>
      </c>
      <c r="K2950" s="26" t="s">
        <v>9376</v>
      </c>
      <c r="L2950" s="26">
        <v>110.0</v>
      </c>
      <c r="M2950" s="26" t="s">
        <v>24</v>
      </c>
      <c r="N2950" s="26" t="s">
        <v>25</v>
      </c>
      <c r="O2950" s="27">
        <v>5.0E7</v>
      </c>
      <c r="P2950" s="10">
        <f t="shared" si="2"/>
        <v>1178893</v>
      </c>
      <c r="Q2950" s="12">
        <f t="shared" si="3"/>
        <v>0</v>
      </c>
      <c r="R2950" s="26">
        <v>2014.0</v>
      </c>
      <c r="S2950" s="26">
        <v>6.4</v>
      </c>
    </row>
    <row r="2951" ht="15.75" customHeight="1">
      <c r="A2951" s="7" t="s">
        <v>9377</v>
      </c>
      <c r="B2951" s="8" t="str">
        <f>IFERROR(__xludf.DUMMYFUNCTION("REGEXREPLACE(A2951, ""[^0-9a-zA-Z .'Ã]"","""")"),"Asger Leth")</f>
        <v>Asger Leth</v>
      </c>
      <c r="C2951" s="9">
        <v>258.0</v>
      </c>
      <c r="D2951" s="10">
        <v>1.8600911E7</v>
      </c>
      <c r="E2951" s="9" t="s">
        <v>152</v>
      </c>
      <c r="F2951" s="9">
        <f t="shared" si="1"/>
        <v>3</v>
      </c>
      <c r="G2951" s="9" t="s">
        <v>9378</v>
      </c>
      <c r="H2951" s="11" t="str">
        <f>IFERROR(__xludf.DUMMYFUNCTION("REGEXREPLACE(G2951, ""[^0-9a-zA-Z .'Ã]"","""")"),"Robert Clohessy")</f>
        <v>Robert Clohessy</v>
      </c>
      <c r="I2951" s="11" t="s">
        <v>9379</v>
      </c>
      <c r="J2951" s="9">
        <v>125198.0</v>
      </c>
      <c r="K2951" s="9" t="s">
        <v>9380</v>
      </c>
      <c r="L2951" s="9">
        <v>153.0</v>
      </c>
      <c r="M2951" s="9" t="s">
        <v>24</v>
      </c>
      <c r="N2951" s="9" t="s">
        <v>25</v>
      </c>
      <c r="O2951" s="10">
        <v>4.2E7</v>
      </c>
      <c r="P2951" s="10">
        <f t="shared" si="2"/>
        <v>0</v>
      </c>
      <c r="Q2951" s="12">
        <f t="shared" si="3"/>
        <v>23399089</v>
      </c>
      <c r="R2951" s="9">
        <v>2012.0</v>
      </c>
      <c r="S2951" s="9">
        <v>6.6</v>
      </c>
    </row>
    <row r="2952" ht="15.75" customHeight="1">
      <c r="A2952" s="7" t="s">
        <v>6223</v>
      </c>
      <c r="B2952" s="8" t="str">
        <f>IFERROR(__xludf.DUMMYFUNCTION("REGEXREPLACE(A2952, ""[^0-9a-zA-Z .'Ã]"","""")"),"Mimi Leder")</f>
        <v>Mimi Leder</v>
      </c>
      <c r="C2952" s="9">
        <v>93.0</v>
      </c>
      <c r="D2952" s="10">
        <v>4.1256277E7</v>
      </c>
      <c r="E2952" s="9" t="s">
        <v>1096</v>
      </c>
      <c r="F2952" s="9">
        <f t="shared" si="1"/>
        <v>2</v>
      </c>
      <c r="G2952" s="9" t="s">
        <v>9381</v>
      </c>
      <c r="H2952" s="11" t="str">
        <f>IFERROR(__xludf.DUMMYFUNCTION("REGEXREPLACE(G2952, ""[^0-9a-zA-Z .'Ã]"","""")"),"Armin MuellerStahl")</f>
        <v>Armin MuellerStahl</v>
      </c>
      <c r="I2952" s="11" t="s">
        <v>9382</v>
      </c>
      <c r="J2952" s="9">
        <v>46451.0</v>
      </c>
      <c r="K2952" s="9" t="s">
        <v>9383</v>
      </c>
      <c r="L2952" s="9">
        <v>156.0</v>
      </c>
      <c r="M2952" s="9" t="s">
        <v>24</v>
      </c>
      <c r="N2952" s="9" t="s">
        <v>25</v>
      </c>
      <c r="O2952" s="10">
        <v>5.0E7</v>
      </c>
      <c r="P2952" s="10">
        <f t="shared" si="2"/>
        <v>0</v>
      </c>
      <c r="Q2952" s="12">
        <f t="shared" si="3"/>
        <v>8743723</v>
      </c>
      <c r="R2952" s="9">
        <v>1997.0</v>
      </c>
      <c r="S2952" s="9">
        <v>5.9</v>
      </c>
    </row>
    <row r="2953" ht="15.75" customHeight="1">
      <c r="A2953" s="21" t="s">
        <v>4756</v>
      </c>
      <c r="B2953" s="8" t="str">
        <f>IFERROR(__xludf.DUMMYFUNCTION("REGEXREPLACE(A2953, ""[^0-9a-zA-Z .'Ã]"","""")"),"Christopher Guest")</f>
        <v>Christopher Guest</v>
      </c>
      <c r="C2953" s="22">
        <v>50.0</v>
      </c>
      <c r="D2953" s="23">
        <v>2892582.0</v>
      </c>
      <c r="E2953" s="22" t="s">
        <v>137</v>
      </c>
      <c r="F2953" s="9">
        <f t="shared" si="1"/>
        <v>1</v>
      </c>
      <c r="G2953" s="22" t="s">
        <v>5157</v>
      </c>
      <c r="H2953" s="11" t="str">
        <f>IFERROR(__xludf.DUMMYFUNCTION("REGEXREPLACE(G2953, ""[^0-9a-zA-Z .'Ã]"","""")"),"Catherine O'Hara")</f>
        <v>Catherine O'Hara</v>
      </c>
      <c r="I2953" s="24" t="s">
        <v>9384</v>
      </c>
      <c r="J2953" s="22">
        <v>22697.0</v>
      </c>
      <c r="K2953" s="22" t="s">
        <v>9385</v>
      </c>
      <c r="L2953" s="22">
        <v>202.0</v>
      </c>
      <c r="M2953" s="22" t="s">
        <v>24</v>
      </c>
      <c r="N2953" s="22" t="s">
        <v>25</v>
      </c>
      <c r="O2953" s="23">
        <v>4000000.0</v>
      </c>
      <c r="P2953" s="10">
        <f t="shared" si="2"/>
        <v>0</v>
      </c>
      <c r="Q2953" s="12">
        <f t="shared" si="3"/>
        <v>1107418</v>
      </c>
      <c r="R2953" s="22">
        <v>1996.0</v>
      </c>
      <c r="S2953" s="22">
        <v>7.6</v>
      </c>
    </row>
    <row r="2954" ht="15.75" customHeight="1">
      <c r="A2954" s="21" t="s">
        <v>439</v>
      </c>
      <c r="B2954" s="8" t="str">
        <f>IFERROR(__xludf.DUMMYFUNCTION("REGEXREPLACE(A2954, ""[^0-9a-zA-Z .'Ã]"","""")"),"Jay Roach")</f>
        <v>Jay Roach</v>
      </c>
      <c r="C2954" s="22">
        <v>255.0</v>
      </c>
      <c r="D2954" s="23">
        <v>8.6897182E7</v>
      </c>
      <c r="E2954" s="22" t="s">
        <v>137</v>
      </c>
      <c r="F2954" s="9">
        <f t="shared" si="1"/>
        <v>1</v>
      </c>
      <c r="G2954" s="22" t="s">
        <v>441</v>
      </c>
      <c r="H2954" s="11" t="str">
        <f>IFERROR(__xludf.DUMMYFUNCTION("REGEXREPLACE(G2954, ""[^0-9a-zA-Z .'Ã]"","""")"),"Will Ferrell")</f>
        <v>Will Ferrell</v>
      </c>
      <c r="I2954" s="24" t="s">
        <v>9386</v>
      </c>
      <c r="J2954" s="22">
        <v>106790.0</v>
      </c>
      <c r="K2954" s="22" t="s">
        <v>9387</v>
      </c>
      <c r="L2954" s="22">
        <v>177.0</v>
      </c>
      <c r="M2954" s="22" t="s">
        <v>24</v>
      </c>
      <c r="N2954" s="22" t="s">
        <v>25</v>
      </c>
      <c r="O2954" s="23">
        <v>9.5E7</v>
      </c>
      <c r="P2954" s="10">
        <f t="shared" si="2"/>
        <v>0</v>
      </c>
      <c r="Q2954" s="12">
        <f t="shared" si="3"/>
        <v>8102818</v>
      </c>
      <c r="R2954" s="22">
        <v>2012.0</v>
      </c>
      <c r="S2954" s="22">
        <v>6.2</v>
      </c>
    </row>
    <row r="2955" ht="15.75" customHeight="1">
      <c r="A2955" s="25" t="s">
        <v>9388</v>
      </c>
      <c r="B2955" s="8" t="str">
        <f>IFERROR(__xludf.DUMMYFUNCTION("REGEXREPLACE(A2955, ""[^0-9a-zA-Z .'Ã]"","""")"),"Peter Hastings")</f>
        <v>Peter Hastings</v>
      </c>
      <c r="C2955" s="26">
        <v>43.0</v>
      </c>
      <c r="D2955" s="27">
        <v>1.6988996E7</v>
      </c>
      <c r="E2955" s="26" t="s">
        <v>9389</v>
      </c>
      <c r="F2955" s="9">
        <f t="shared" si="1"/>
        <v>4</v>
      </c>
      <c r="G2955" s="26" t="s">
        <v>1225</v>
      </c>
      <c r="H2955" s="11" t="str">
        <f>IFERROR(__xludf.DUMMYFUNCTION("REGEXREPLACE(G2955, ""[^0-9a-zA-Z .'Ã]"","""")"),"Haley Joel Osment")</f>
        <v>Haley Joel Osment</v>
      </c>
      <c r="I2955" s="28" t="s">
        <v>9390</v>
      </c>
      <c r="J2955" s="26">
        <v>3875.0</v>
      </c>
      <c r="K2955" s="26" t="s">
        <v>9391</v>
      </c>
      <c r="L2955" s="26">
        <v>75.0</v>
      </c>
      <c r="M2955" s="26" t="s">
        <v>24</v>
      </c>
      <c r="N2955" s="26" t="s">
        <v>25</v>
      </c>
      <c r="O2955" s="27">
        <v>3.5E7</v>
      </c>
      <c r="P2955" s="10">
        <f t="shared" si="2"/>
        <v>0</v>
      </c>
      <c r="Q2955" s="12">
        <f t="shared" si="3"/>
        <v>18011004</v>
      </c>
      <c r="R2955" s="26">
        <v>2002.0</v>
      </c>
      <c r="S2955" s="26">
        <v>4.0</v>
      </c>
    </row>
    <row r="2956" ht="15.75" customHeight="1">
      <c r="A2956" s="7" t="s">
        <v>31</v>
      </c>
      <c r="B2956" s="8" t="str">
        <f>IFERROR(__xludf.DUMMYFUNCTION("REGEXREPLACE(A2956, ""[^0-9a-zA-Z .'Ã]"","""")"),"Gavin O'Connor")</f>
        <v>Gavin O'Connor</v>
      </c>
      <c r="C2956" s="9">
        <v>154.0</v>
      </c>
      <c r="D2956" s="10">
        <v>1.5709385E7</v>
      </c>
      <c r="E2956" s="9" t="s">
        <v>113</v>
      </c>
      <c r="F2956" s="9">
        <f t="shared" si="1"/>
        <v>3</v>
      </c>
      <c r="G2956" s="9" t="s">
        <v>4297</v>
      </c>
      <c r="H2956" s="11" t="str">
        <f>IFERROR(__xludf.DUMMYFUNCTION("REGEXREPLACE(G2956, ""[^0-9a-zA-Z .'Ã]"","""")"),"Jennifer Ehle")</f>
        <v>Jennifer Ehle</v>
      </c>
      <c r="I2956" s="11" t="s">
        <v>9392</v>
      </c>
      <c r="J2956" s="9">
        <v>53053.0</v>
      </c>
      <c r="K2956" s="9" t="s">
        <v>9393</v>
      </c>
      <c r="L2956" s="9">
        <v>132.0</v>
      </c>
      <c r="M2956" s="9" t="s">
        <v>24</v>
      </c>
      <c r="N2956" s="9" t="s">
        <v>25</v>
      </c>
      <c r="O2956" s="10">
        <v>3.0E7</v>
      </c>
      <c r="P2956" s="10">
        <f t="shared" si="2"/>
        <v>0</v>
      </c>
      <c r="Q2956" s="12">
        <f t="shared" si="3"/>
        <v>14290615</v>
      </c>
      <c r="R2956" s="9">
        <v>2008.0</v>
      </c>
      <c r="S2956" s="9">
        <v>6.7</v>
      </c>
    </row>
    <row r="2957" ht="15.75" customHeight="1">
      <c r="A2957" s="7" t="s">
        <v>1346</v>
      </c>
      <c r="B2957" s="8" t="str">
        <f>IFERROR(__xludf.DUMMYFUNCTION("REGEXREPLACE(A2957, ""[^0-9a-zA-Z .'Ã]"","""")"),"Sam Raimi")</f>
        <v>Sam Raimi</v>
      </c>
      <c r="C2957" s="9">
        <v>300.0</v>
      </c>
      <c r="D2957" s="10">
        <v>3.73377893E8</v>
      </c>
      <c r="E2957" s="9" t="s">
        <v>3545</v>
      </c>
      <c r="F2957" s="9">
        <f t="shared" si="1"/>
        <v>4</v>
      </c>
      <c r="G2957" s="9" t="s">
        <v>878</v>
      </c>
      <c r="H2957" s="11" t="str">
        <f>IFERROR(__xludf.DUMMYFUNCTION("REGEXREPLACE(G2957, ""[^0-9a-zA-Z .'Ã]"","""")"),"J.K. Simmons")</f>
        <v>J.K. Simmons</v>
      </c>
      <c r="I2957" s="11" t="s">
        <v>9394</v>
      </c>
      <c r="J2957" s="9">
        <v>411164.0</v>
      </c>
      <c r="K2957" s="9" t="s">
        <v>9395</v>
      </c>
      <c r="L2957" s="9">
        <v>1303.0</v>
      </c>
      <c r="M2957" s="9" t="s">
        <v>24</v>
      </c>
      <c r="N2957" s="9" t="s">
        <v>25</v>
      </c>
      <c r="O2957" s="10">
        <v>2.0E8</v>
      </c>
      <c r="P2957" s="10">
        <f t="shared" si="2"/>
        <v>173377893</v>
      </c>
      <c r="Q2957" s="12">
        <f t="shared" si="3"/>
        <v>0</v>
      </c>
      <c r="R2957" s="9">
        <v>2004.0</v>
      </c>
      <c r="S2957" s="9">
        <v>7.3</v>
      </c>
    </row>
    <row r="2958" ht="15.75" customHeight="1">
      <c r="A2958" s="7" t="s">
        <v>3916</v>
      </c>
      <c r="B2958" s="8" t="str">
        <f>IFERROR(__xludf.DUMMYFUNCTION("REGEXREPLACE(A2958, ""[^0-9a-zA-Z .'Ã]"","""")"),"Brad Bird")</f>
        <v>Brad Bird</v>
      </c>
      <c r="C2958" s="9">
        <v>318.0</v>
      </c>
      <c r="D2958" s="10">
        <v>2.06435493E8</v>
      </c>
      <c r="E2958" s="9" t="s">
        <v>2756</v>
      </c>
      <c r="F2958" s="9">
        <f t="shared" si="1"/>
        <v>4</v>
      </c>
      <c r="G2958" s="9" t="s">
        <v>2572</v>
      </c>
      <c r="H2958" s="11" t="str">
        <f>IFERROR(__xludf.DUMMYFUNCTION("REGEXREPLACE(G2958, ""[^0-9a-zA-Z .'Ã]"","""")"),"Janeane Garofalo")</f>
        <v>Janeane Garofalo</v>
      </c>
      <c r="I2958" s="11" t="s">
        <v>9396</v>
      </c>
      <c r="J2958" s="9">
        <v>473887.0</v>
      </c>
      <c r="K2958" s="9" t="s">
        <v>9397</v>
      </c>
      <c r="L2958" s="9">
        <v>626.0</v>
      </c>
      <c r="M2958" s="9" t="s">
        <v>24</v>
      </c>
      <c r="N2958" s="9" t="s">
        <v>25</v>
      </c>
      <c r="O2958" s="10">
        <v>1.5E8</v>
      </c>
      <c r="P2958" s="10">
        <f t="shared" si="2"/>
        <v>56435493</v>
      </c>
      <c r="Q2958" s="12">
        <f t="shared" si="3"/>
        <v>0</v>
      </c>
      <c r="R2958" s="9">
        <v>2007.0</v>
      </c>
      <c r="S2958" s="9">
        <v>8.0</v>
      </c>
    </row>
    <row r="2959" ht="15.75" customHeight="1">
      <c r="A2959" s="7" t="s">
        <v>7859</v>
      </c>
      <c r="B2959" s="8" t="str">
        <f>IFERROR(__xludf.DUMMYFUNCTION("REGEXREPLACE(A2959, ""[^0-9a-zA-Z .'Ã]"","""")"),"Timur Bekmambetov")</f>
        <v>Timur Bekmambetov</v>
      </c>
      <c r="C2959" s="9">
        <v>393.0</v>
      </c>
      <c r="D2959" s="10">
        <v>3.7516013E7</v>
      </c>
      <c r="E2959" s="9" t="s">
        <v>479</v>
      </c>
      <c r="F2959" s="9">
        <f t="shared" si="1"/>
        <v>3</v>
      </c>
      <c r="G2959" s="9" t="s">
        <v>7687</v>
      </c>
      <c r="H2959" s="11" t="str">
        <f>IFERROR(__xludf.DUMMYFUNCTION("REGEXREPLACE(G2959, ""[^0-9a-zA-Z .'Ã]"","""")"),"Rufus Sewell")</f>
        <v>Rufus Sewell</v>
      </c>
      <c r="I2959" s="11" t="s">
        <v>9398</v>
      </c>
      <c r="J2959" s="9">
        <v>128629.0</v>
      </c>
      <c r="K2959" s="9" t="s">
        <v>9399</v>
      </c>
      <c r="L2959" s="9">
        <v>348.0</v>
      </c>
      <c r="M2959" s="9" t="s">
        <v>24</v>
      </c>
      <c r="N2959" s="9" t="s">
        <v>25</v>
      </c>
      <c r="O2959" s="10">
        <v>6.9E7</v>
      </c>
      <c r="P2959" s="10">
        <f t="shared" si="2"/>
        <v>0</v>
      </c>
      <c r="Q2959" s="12">
        <f t="shared" si="3"/>
        <v>31483987</v>
      </c>
      <c r="R2959" s="9">
        <v>2012.0</v>
      </c>
      <c r="S2959" s="9">
        <v>5.9</v>
      </c>
    </row>
    <row r="2960" ht="15.75" customHeight="1">
      <c r="A2960" s="21" t="s">
        <v>9400</v>
      </c>
      <c r="B2960" s="8" t="str">
        <f>IFERROR(__xludf.DUMMYFUNCTION("REGEXREPLACE(A2960, ""[^0-9a-zA-Z .'Ã]"","""")"),"Fred Durst")</f>
        <v>Fred Durst</v>
      </c>
      <c r="C2960" s="22">
        <v>47.0</v>
      </c>
      <c r="D2960" s="23">
        <v>1.1508423E7</v>
      </c>
      <c r="E2960" s="22" t="s">
        <v>9401</v>
      </c>
      <c r="F2960" s="9">
        <f t="shared" si="1"/>
        <v>5</v>
      </c>
      <c r="G2960" s="22" t="s">
        <v>9402</v>
      </c>
      <c r="H2960" s="11" t="str">
        <f>IFERROR(__xludf.DUMMYFUNCTION("REGEXREPLACE(G2960, ""[^0-9a-zA-Z .'Ã]"","""")"),"Tasha Smith")</f>
        <v>Tasha Smith</v>
      </c>
      <c r="I2960" s="24" t="s">
        <v>9403</v>
      </c>
      <c r="J2960" s="22">
        <v>3174.0</v>
      </c>
      <c r="K2960" s="22" t="s">
        <v>9404</v>
      </c>
      <c r="L2960" s="22">
        <v>19.0</v>
      </c>
      <c r="M2960" s="22" t="s">
        <v>24</v>
      </c>
      <c r="N2960" s="22" t="s">
        <v>25</v>
      </c>
      <c r="O2960" s="23">
        <v>2.3E7</v>
      </c>
      <c r="P2960" s="10">
        <f t="shared" si="2"/>
        <v>0</v>
      </c>
      <c r="Q2960" s="12">
        <f t="shared" si="3"/>
        <v>11491577</v>
      </c>
      <c r="R2960" s="22">
        <v>2008.0</v>
      </c>
      <c r="S2960" s="22">
        <v>5.1</v>
      </c>
    </row>
    <row r="2961" ht="15.75" customHeight="1">
      <c r="A2961" s="21" t="s">
        <v>2363</v>
      </c>
      <c r="B2961" s="8" t="str">
        <f>IFERROR(__xludf.DUMMYFUNCTION("REGEXREPLACE(A2961, ""[^0-9a-zA-Z .'Ã]"","""")"),"Stephen Sommers")</f>
        <v>Stephen Sommers</v>
      </c>
      <c r="C2961" s="22">
        <v>202.0</v>
      </c>
      <c r="D2961" s="23">
        <v>2.0200764E8</v>
      </c>
      <c r="E2961" s="22" t="s">
        <v>3652</v>
      </c>
      <c r="F2961" s="9">
        <f t="shared" si="1"/>
        <v>4</v>
      </c>
      <c r="G2961" s="22" t="s">
        <v>50</v>
      </c>
      <c r="H2961" s="11" t="str">
        <f>IFERROR(__xludf.DUMMYFUNCTION("REGEXREPLACE(G2961, ""[^0-9a-zA-Z .'Ã]"","""")"),"Dwayne Johnson")</f>
        <v>Dwayne Johnson</v>
      </c>
      <c r="I2961" s="24" t="s">
        <v>9405</v>
      </c>
      <c r="J2961" s="22">
        <v>248045.0</v>
      </c>
      <c r="K2961" s="22" t="s">
        <v>9406</v>
      </c>
      <c r="L2961" s="22">
        <v>890.0</v>
      </c>
      <c r="M2961" s="22" t="s">
        <v>24</v>
      </c>
      <c r="N2961" s="22" t="s">
        <v>25</v>
      </c>
      <c r="O2961" s="23">
        <v>9.8E7</v>
      </c>
      <c r="P2961" s="10">
        <f t="shared" si="2"/>
        <v>104007640</v>
      </c>
      <c r="Q2961" s="12">
        <f t="shared" si="3"/>
        <v>0</v>
      </c>
      <c r="R2961" s="22">
        <v>2001.0</v>
      </c>
      <c r="S2961" s="22">
        <v>6.3</v>
      </c>
    </row>
    <row r="2962" ht="15.75" customHeight="1">
      <c r="A2962" s="21" t="s">
        <v>521</v>
      </c>
      <c r="B2962" s="8" t="str">
        <f>IFERROR(__xludf.DUMMYFUNCTION("REGEXREPLACE(A2962, ""[^0-9a-zA-Z .'Ã]"","""")"),"Phillip Noyce")</f>
        <v>Phillip Noyce</v>
      </c>
      <c r="C2962" s="22">
        <v>108.0</v>
      </c>
      <c r="D2962" s="23">
        <v>4291965.0</v>
      </c>
      <c r="E2962" s="22" t="s">
        <v>620</v>
      </c>
      <c r="F2962" s="9">
        <f t="shared" si="1"/>
        <v>3</v>
      </c>
      <c r="G2962" s="22" t="s">
        <v>9407</v>
      </c>
      <c r="H2962" s="11" t="str">
        <f>IFERROR(__xludf.DUMMYFUNCTION("REGEXREPLACE(G2962, ""[^0-9a-zA-Z .'Ã]"","""")"),"Derek Luke")</f>
        <v>Derek Luke</v>
      </c>
      <c r="I2962" s="24" t="s">
        <v>9408</v>
      </c>
      <c r="J2962" s="22">
        <v>9334.0</v>
      </c>
      <c r="K2962" s="22" t="s">
        <v>9409</v>
      </c>
      <c r="L2962" s="22">
        <v>59.0</v>
      </c>
      <c r="M2962" s="22" t="s">
        <v>24</v>
      </c>
      <c r="N2962" s="22" t="s">
        <v>608</v>
      </c>
      <c r="O2962" s="23">
        <v>1.4E7</v>
      </c>
      <c r="P2962" s="10">
        <f t="shared" si="2"/>
        <v>0</v>
      </c>
      <c r="Q2962" s="12">
        <f t="shared" si="3"/>
        <v>9708035</v>
      </c>
      <c r="R2962" s="22">
        <v>2006.0</v>
      </c>
      <c r="S2962" s="22">
        <v>6.7</v>
      </c>
    </row>
    <row r="2963" ht="15.75" customHeight="1">
      <c r="A2963" s="21" t="s">
        <v>281</v>
      </c>
      <c r="B2963" s="8" t="str">
        <f>IFERROR(__xludf.DUMMYFUNCTION("REGEXREPLACE(A2963, ""[^0-9a-zA-Z .'Ã]"","""")"),"Adam McKay")</f>
        <v>Adam McKay</v>
      </c>
      <c r="C2963" s="22">
        <v>164.0</v>
      </c>
      <c r="D2963" s="23">
        <v>1.48213377E8</v>
      </c>
      <c r="E2963" s="22" t="s">
        <v>5267</v>
      </c>
      <c r="F2963" s="9">
        <f t="shared" si="1"/>
        <v>3</v>
      </c>
      <c r="G2963" s="22" t="s">
        <v>441</v>
      </c>
      <c r="H2963" s="11" t="str">
        <f>IFERROR(__xludf.DUMMYFUNCTION("REGEXREPLACE(G2963, ""[^0-9a-zA-Z .'Ã]"","""")"),"Will Ferrell")</f>
        <v>Will Ferrell</v>
      </c>
      <c r="I2963" s="24" t="s">
        <v>9410</v>
      </c>
      <c r="J2963" s="22">
        <v>130776.0</v>
      </c>
      <c r="K2963" s="22" t="s">
        <v>9411</v>
      </c>
      <c r="L2963" s="22">
        <v>437.0</v>
      </c>
      <c r="M2963" s="22" t="s">
        <v>24</v>
      </c>
      <c r="N2963" s="22" t="s">
        <v>25</v>
      </c>
      <c r="O2963" s="23">
        <v>7.3E7</v>
      </c>
      <c r="P2963" s="10">
        <f t="shared" si="2"/>
        <v>75213377</v>
      </c>
      <c r="Q2963" s="12">
        <f t="shared" si="3"/>
        <v>0</v>
      </c>
      <c r="R2963" s="22">
        <v>2006.0</v>
      </c>
      <c r="S2963" s="22">
        <v>6.6</v>
      </c>
    </row>
    <row r="2964" ht="15.75" customHeight="1">
      <c r="A2964" s="7" t="s">
        <v>5342</v>
      </c>
      <c r="B2964" s="8" t="str">
        <f>IFERROR(__xludf.DUMMYFUNCTION("REGEXREPLACE(A2964, ""[^0-9a-zA-Z -.'Ã]"","""")"),"Alejandro AmenÃbar")</f>
        <v>Alejandro AmenÃbar</v>
      </c>
      <c r="C2964" s="9">
        <v>157.0</v>
      </c>
      <c r="D2964" s="10">
        <v>2086345.0</v>
      </c>
      <c r="E2964" s="9" t="s">
        <v>887</v>
      </c>
      <c r="F2964" s="9">
        <f t="shared" si="1"/>
        <v>3</v>
      </c>
      <c r="G2964" s="9" t="s">
        <v>9412</v>
      </c>
      <c r="H2964" s="11" t="str">
        <f>IFERROR(__xludf.DUMMYFUNCTION("REGEXREPLACE(G2964, ""[^0-9a-zA-Z .'Ã]"","""")"),"BelÃn Rueda")</f>
        <v>BelÃn Rueda</v>
      </c>
      <c r="I2964" s="11" t="s">
        <v>9413</v>
      </c>
      <c r="J2964" s="9">
        <v>64556.0</v>
      </c>
      <c r="K2964" s="9" t="s">
        <v>9414</v>
      </c>
      <c r="L2964" s="9">
        <v>140.0</v>
      </c>
      <c r="M2964" s="9" t="s">
        <v>1553</v>
      </c>
      <c r="N2964" s="9" t="s">
        <v>1108</v>
      </c>
      <c r="O2964" s="10">
        <v>1.0E7</v>
      </c>
      <c r="P2964" s="10">
        <f t="shared" si="2"/>
        <v>0</v>
      </c>
      <c r="Q2964" s="12">
        <f t="shared" si="3"/>
        <v>7913655</v>
      </c>
      <c r="R2964" s="9">
        <v>2004.0</v>
      </c>
      <c r="S2964" s="9">
        <v>8.1</v>
      </c>
    </row>
    <row r="2965" ht="15.75" customHeight="1">
      <c r="A2965" s="7" t="s">
        <v>1573</v>
      </c>
      <c r="B2965" s="8" t="str">
        <f>IFERROR(__xludf.DUMMYFUNCTION("REGEXREPLACE(A2965, ""[^0-9a-zA-Z .'Ã]"","""")"),"Ethan Coen")</f>
        <v>Ethan Coen</v>
      </c>
      <c r="C2965" s="9">
        <v>341.0</v>
      </c>
      <c r="D2965" s="10">
        <v>6.0338891E7</v>
      </c>
      <c r="E2965" s="9" t="s">
        <v>454</v>
      </c>
      <c r="F2965" s="9">
        <f t="shared" si="1"/>
        <v>2</v>
      </c>
      <c r="G2965" s="9" t="s">
        <v>878</v>
      </c>
      <c r="H2965" s="11" t="str">
        <f>IFERROR(__xludf.DUMMYFUNCTION("REGEXREPLACE(G2965, ""[^0-9a-zA-Z .'Ã]"","""")"),"J.K. Simmons")</f>
        <v>J.K. Simmons</v>
      </c>
      <c r="I2965" s="11" t="s">
        <v>9415</v>
      </c>
      <c r="J2965" s="9">
        <v>248468.0</v>
      </c>
      <c r="K2965" s="9" t="s">
        <v>9416</v>
      </c>
      <c r="L2965" s="9">
        <v>545.0</v>
      </c>
      <c r="M2965" s="9" t="s">
        <v>24</v>
      </c>
      <c r="N2965" s="9" t="s">
        <v>25</v>
      </c>
      <c r="O2965" s="10">
        <v>3.7E7</v>
      </c>
      <c r="P2965" s="10">
        <f t="shared" si="2"/>
        <v>23338891</v>
      </c>
      <c r="Q2965" s="12">
        <f t="shared" si="3"/>
        <v>0</v>
      </c>
      <c r="R2965" s="9">
        <v>2008.0</v>
      </c>
      <c r="S2965" s="9">
        <v>7.0</v>
      </c>
    </row>
    <row r="2966" ht="15.75" customHeight="1">
      <c r="A2966" s="21" t="s">
        <v>3154</v>
      </c>
      <c r="B2966" s="8" t="str">
        <f>IFERROR(__xludf.DUMMYFUNCTION("REGEXREPLACE(A2966, ""[^0-9a-zA-Z .'Ã]"","""")"),"Steve Carr")</f>
        <v>Steve Carr</v>
      </c>
      <c r="C2966" s="22">
        <v>91.0</v>
      </c>
      <c r="D2966" s="23">
        <v>1.12950721E8</v>
      </c>
      <c r="E2966" s="22" t="s">
        <v>514</v>
      </c>
      <c r="F2966" s="9">
        <f t="shared" si="1"/>
        <v>3</v>
      </c>
      <c r="G2966" s="22" t="s">
        <v>9417</v>
      </c>
      <c r="H2966" s="11" t="str">
        <f>IFERROR(__xludf.DUMMYFUNCTION("REGEXREPLACE(G2966, ""[^0-9a-zA-Z .'Ã]"","""")"),"RavenSymonÃ")</f>
        <v>RavenSymonÃ</v>
      </c>
      <c r="I2966" s="24" t="s">
        <v>9418</v>
      </c>
      <c r="J2966" s="22">
        <v>33884.0</v>
      </c>
      <c r="K2966" s="22" t="s">
        <v>9419</v>
      </c>
      <c r="L2966" s="22">
        <v>79.0</v>
      </c>
      <c r="M2966" s="22" t="s">
        <v>24</v>
      </c>
      <c r="N2966" s="22" t="s">
        <v>25</v>
      </c>
      <c r="O2966" s="23">
        <v>7.2E7</v>
      </c>
      <c r="P2966" s="10">
        <f t="shared" si="2"/>
        <v>40950721</v>
      </c>
      <c r="Q2966" s="12">
        <f t="shared" si="3"/>
        <v>0</v>
      </c>
      <c r="R2966" s="22">
        <v>2001.0</v>
      </c>
      <c r="S2966" s="22">
        <v>4.6</v>
      </c>
    </row>
    <row r="2967" ht="15.75" customHeight="1">
      <c r="A2967" s="21" t="s">
        <v>6832</v>
      </c>
      <c r="B2967" s="8" t="str">
        <f>IFERROR(__xludf.DUMMYFUNCTION("REGEXREPLACE(A2967, ""[^0-9a-zA-Z .'Ã]"","""")"),"Tim Story")</f>
        <v>Tim Story</v>
      </c>
      <c r="C2967" s="22">
        <v>262.0</v>
      </c>
      <c r="D2967" s="23">
        <v>1.31920333E8</v>
      </c>
      <c r="E2967" s="22" t="s">
        <v>794</v>
      </c>
      <c r="F2967" s="9">
        <f t="shared" si="1"/>
        <v>4</v>
      </c>
      <c r="G2967" s="22" t="s">
        <v>983</v>
      </c>
      <c r="H2967" s="11" t="str">
        <f>IFERROR(__xludf.DUMMYFUNCTION("REGEXREPLACE(G2967, ""[^0-9a-zA-Z .'Ã]"","""")"),"Chris Evans")</f>
        <v>Chris Evans</v>
      </c>
      <c r="I2967" s="24" t="s">
        <v>9420</v>
      </c>
      <c r="J2967" s="22">
        <v>213275.0</v>
      </c>
      <c r="K2967" s="22" t="s">
        <v>9421</v>
      </c>
      <c r="L2967" s="22">
        <v>436.0</v>
      </c>
      <c r="M2967" s="22" t="s">
        <v>24</v>
      </c>
      <c r="N2967" s="22" t="s">
        <v>25</v>
      </c>
      <c r="O2967" s="23">
        <v>1.3E8</v>
      </c>
      <c r="P2967" s="10">
        <f t="shared" si="2"/>
        <v>1920333</v>
      </c>
      <c r="Q2967" s="12">
        <f t="shared" si="3"/>
        <v>0</v>
      </c>
      <c r="R2967" s="22">
        <v>2007.0</v>
      </c>
      <c r="S2967" s="22">
        <v>5.6</v>
      </c>
    </row>
    <row r="2968" ht="15.75" customHeight="1">
      <c r="A2968" s="7" t="s">
        <v>536</v>
      </c>
      <c r="B2968" s="8" t="str">
        <f>IFERROR(__xludf.DUMMYFUNCTION("REGEXREPLACE(A2968, ""[^0-9a-zA-Z .'Ã]"","""")"),"Robert Zemeckis")</f>
        <v>Robert Zemeckis</v>
      </c>
      <c r="C2968" s="9">
        <v>125.0</v>
      </c>
      <c r="D2968" s="10">
        <v>1.185E8</v>
      </c>
      <c r="E2968" s="9" t="s">
        <v>646</v>
      </c>
      <c r="F2968" s="9">
        <f t="shared" si="1"/>
        <v>3</v>
      </c>
      <c r="G2968" s="9" t="s">
        <v>3575</v>
      </c>
      <c r="H2968" s="11" t="str">
        <f>IFERROR(__xludf.DUMMYFUNCTION("REGEXREPLACE(G2968, ""[^0-9a-zA-Z .'Ã]"","""")"),"Lea Thompson")</f>
        <v>Lea Thompson</v>
      </c>
      <c r="I2968" s="11" t="s">
        <v>9422</v>
      </c>
      <c r="J2968" s="9">
        <v>340085.0</v>
      </c>
      <c r="K2968" s="9" t="s">
        <v>9423</v>
      </c>
      <c r="L2968" s="9">
        <v>327.0</v>
      </c>
      <c r="M2968" s="9" t="s">
        <v>24</v>
      </c>
      <c r="N2968" s="9" t="s">
        <v>25</v>
      </c>
      <c r="O2968" s="10">
        <v>4.0E7</v>
      </c>
      <c r="P2968" s="10">
        <f t="shared" si="2"/>
        <v>78500000</v>
      </c>
      <c r="Q2968" s="12">
        <f t="shared" si="3"/>
        <v>0</v>
      </c>
      <c r="R2968" s="9">
        <v>1989.0</v>
      </c>
      <c r="S2968" s="9">
        <v>7.8</v>
      </c>
    </row>
    <row r="2969" ht="15.75" customHeight="1">
      <c r="A2969" s="21" t="s">
        <v>1346</v>
      </c>
      <c r="B2969" s="8" t="str">
        <f>IFERROR(__xludf.DUMMYFUNCTION("REGEXREPLACE(A2969, ""[^0-9a-zA-Z .'Ã]"","""")"),"Sam Raimi")</f>
        <v>Sam Raimi</v>
      </c>
      <c r="C2969" s="22">
        <v>397.0</v>
      </c>
      <c r="D2969" s="23">
        <v>4.205734E7</v>
      </c>
      <c r="E2969" s="22" t="s">
        <v>306</v>
      </c>
      <c r="F2969" s="9">
        <f t="shared" si="1"/>
        <v>2</v>
      </c>
      <c r="G2969" s="22" t="s">
        <v>4901</v>
      </c>
      <c r="H2969" s="11" t="str">
        <f>IFERROR(__xludf.DUMMYFUNCTION("REGEXREPLACE(G2969, ""[^0-9a-zA-Z .'Ã]"","""")"),"Bojana Novakovic")</f>
        <v>Bojana Novakovic</v>
      </c>
      <c r="I2969" s="24" t="s">
        <v>9424</v>
      </c>
      <c r="J2969" s="22">
        <v>158354.0</v>
      </c>
      <c r="K2969" s="22" t="s">
        <v>9425</v>
      </c>
      <c r="L2969" s="22">
        <v>691.0</v>
      </c>
      <c r="M2969" s="22" t="s">
        <v>24</v>
      </c>
      <c r="N2969" s="22" t="s">
        <v>25</v>
      </c>
      <c r="O2969" s="23">
        <v>3.0E7</v>
      </c>
      <c r="P2969" s="10">
        <f t="shared" si="2"/>
        <v>12057340</v>
      </c>
      <c r="Q2969" s="12">
        <f t="shared" si="3"/>
        <v>0</v>
      </c>
      <c r="R2969" s="22">
        <v>2009.0</v>
      </c>
      <c r="S2969" s="22">
        <v>6.6</v>
      </c>
    </row>
    <row r="2970" ht="15.75" customHeight="1">
      <c r="A2970" s="17" t="s">
        <v>9426</v>
      </c>
      <c r="B2970" s="8" t="str">
        <f>IFERROR(__xludf.DUMMYFUNCTION("REGEXREPLACE(A2970, ""[^0-9a-zA-Z .'Ã]"","""")"),"Jay Levey")</f>
        <v>Jay Levey</v>
      </c>
      <c r="C2970" s="18">
        <v>59.0</v>
      </c>
      <c r="D2970" s="19">
        <v>6157157.0</v>
      </c>
      <c r="E2970" s="18" t="s">
        <v>454</v>
      </c>
      <c r="F2970" s="9">
        <f t="shared" si="1"/>
        <v>2</v>
      </c>
      <c r="G2970" s="18" t="s">
        <v>9427</v>
      </c>
      <c r="H2970" s="11" t="str">
        <f>IFERROR(__xludf.DUMMYFUNCTION("REGEXREPLACE(G2970, ""[^0-9a-zA-Z .'Ã]"","""")"),"Fran Drescher")</f>
        <v>Fran Drescher</v>
      </c>
      <c r="I2970" s="20" t="s">
        <v>9428</v>
      </c>
      <c r="J2970" s="18">
        <v>21416.0</v>
      </c>
      <c r="K2970" s="18" t="s">
        <v>9429</v>
      </c>
      <c r="L2970" s="18">
        <v>198.0</v>
      </c>
      <c r="M2970" s="18" t="s">
        <v>24</v>
      </c>
      <c r="N2970" s="18" t="s">
        <v>25</v>
      </c>
      <c r="O2970" s="19">
        <v>5000000.0</v>
      </c>
      <c r="P2970" s="10">
        <f t="shared" si="2"/>
        <v>1157157</v>
      </c>
      <c r="Q2970" s="12">
        <f t="shared" si="3"/>
        <v>0</v>
      </c>
      <c r="R2970" s="18">
        <v>1989.0</v>
      </c>
      <c r="S2970" s="18">
        <v>7.0</v>
      </c>
    </row>
    <row r="2971" ht="15.75" customHeight="1">
      <c r="A2971" s="29" t="s">
        <v>4041</v>
      </c>
      <c r="B2971" s="8" t="str">
        <f>IFERROR(__xludf.DUMMYFUNCTION("REGEXREPLACE(A2971, ""[^0-9a-zA-Z .'Ã]"","""")"),"Catherine Hardwicke")</f>
        <v>Catherine Hardwicke</v>
      </c>
      <c r="C2971" s="30">
        <v>126.0</v>
      </c>
      <c r="D2971" s="31">
        <v>4599680.0</v>
      </c>
      <c r="E2971" s="30" t="s">
        <v>103</v>
      </c>
      <c r="F2971" s="9">
        <f t="shared" si="1"/>
        <v>1</v>
      </c>
      <c r="G2971" s="30" t="s">
        <v>2968</v>
      </c>
      <c r="H2971" s="11" t="str">
        <f>IFERROR(__xludf.DUMMYFUNCTION("REGEXREPLACE(G2971, ""[^0-9a-zA-Z .'Ã]"","""")"),"Holly Hunter")</f>
        <v>Holly Hunter</v>
      </c>
      <c r="I2971" s="32" t="s">
        <v>9430</v>
      </c>
      <c r="J2971" s="30">
        <v>68222.0</v>
      </c>
      <c r="K2971" s="30" t="s">
        <v>9431</v>
      </c>
      <c r="L2971" s="30">
        <v>545.0</v>
      </c>
      <c r="M2971" s="30" t="s">
        <v>24</v>
      </c>
      <c r="N2971" s="30" t="s">
        <v>25</v>
      </c>
      <c r="O2971" s="31">
        <v>1500000.0</v>
      </c>
      <c r="P2971" s="10">
        <f t="shared" si="2"/>
        <v>3099680</v>
      </c>
      <c r="Q2971" s="12">
        <f t="shared" si="3"/>
        <v>0</v>
      </c>
      <c r="R2971" s="30">
        <v>2003.0</v>
      </c>
      <c r="S2971" s="30">
        <v>6.8</v>
      </c>
    </row>
    <row r="2972" ht="15.75" customHeight="1">
      <c r="A2972" s="7" t="s">
        <v>2727</v>
      </c>
      <c r="B2972" s="8" t="str">
        <f>IFERROR(__xludf.DUMMYFUNCTION("REGEXREPLACE(A2972, ""[^0-9a-zA-Z .'Ã]"","""")"),"Elizabeth Banks")</f>
        <v>Elizabeth Banks</v>
      </c>
      <c r="C2972" s="9">
        <v>221.0</v>
      </c>
      <c r="D2972" s="10">
        <v>1.8343638E8</v>
      </c>
      <c r="E2972" s="9" t="s">
        <v>321</v>
      </c>
      <c r="F2972" s="9">
        <f t="shared" si="1"/>
        <v>2</v>
      </c>
      <c r="G2972" s="9" t="s">
        <v>2887</v>
      </c>
      <c r="H2972" s="11" t="str">
        <f>IFERROR(__xludf.DUMMYFUNCTION("REGEXREPLACE(G2972, ""[^0-9a-zA-Z .'Ã]"","""")"),"Anna Kendrick")</f>
        <v>Anna Kendrick</v>
      </c>
      <c r="I2972" s="11" t="s">
        <v>9432</v>
      </c>
      <c r="J2972" s="9">
        <v>97697.0</v>
      </c>
      <c r="K2972" s="9" t="s">
        <v>9433</v>
      </c>
      <c r="L2972" s="9">
        <v>185.0</v>
      </c>
      <c r="M2972" s="9" t="s">
        <v>24</v>
      </c>
      <c r="N2972" s="9" t="s">
        <v>25</v>
      </c>
      <c r="O2972" s="10">
        <v>2.9E7</v>
      </c>
      <c r="P2972" s="10">
        <f t="shared" si="2"/>
        <v>154436380</v>
      </c>
      <c r="Q2972" s="12">
        <f t="shared" si="3"/>
        <v>0</v>
      </c>
      <c r="R2972" s="9">
        <v>2015.0</v>
      </c>
      <c r="S2972" s="9">
        <v>6.5</v>
      </c>
    </row>
    <row r="2973" ht="15.75" customHeight="1">
      <c r="A2973" s="13" t="s">
        <v>3308</v>
      </c>
      <c r="B2973" s="8" t="str">
        <f>IFERROR(__xludf.DUMMYFUNCTION("REGEXREPLACE(A2973, ""[^0-9a-zA-Z .'Ã]"","""")"),"Tamra Davis")</f>
        <v>Tamra Davis</v>
      </c>
      <c r="C2973" s="14">
        <v>111.0</v>
      </c>
      <c r="D2973" s="15">
        <v>3.7188667E7</v>
      </c>
      <c r="E2973" s="14" t="s">
        <v>454</v>
      </c>
      <c r="F2973" s="9">
        <f t="shared" si="1"/>
        <v>2</v>
      </c>
      <c r="G2973" s="14" t="s">
        <v>9434</v>
      </c>
      <c r="H2973" s="11" t="str">
        <f>IFERROR(__xludf.DUMMYFUNCTION("REGEXREPLACE(G2973, ""[^0-9a-zA-Z .'Ã]"","""")"),"Britney Spears")</f>
        <v>Britney Spears</v>
      </c>
      <c r="I2973" s="16" t="s">
        <v>9435</v>
      </c>
      <c r="J2973" s="14">
        <v>34219.0</v>
      </c>
      <c r="K2973" s="14" t="s">
        <v>9436</v>
      </c>
      <c r="L2973" s="14">
        <v>578.0</v>
      </c>
      <c r="M2973" s="14" t="s">
        <v>24</v>
      </c>
      <c r="N2973" s="14" t="s">
        <v>25</v>
      </c>
      <c r="O2973" s="15">
        <v>1.2E7</v>
      </c>
      <c r="P2973" s="10">
        <f t="shared" si="2"/>
        <v>25188667</v>
      </c>
      <c r="Q2973" s="12">
        <f t="shared" si="3"/>
        <v>0</v>
      </c>
      <c r="R2973" s="14">
        <v>2002.0</v>
      </c>
      <c r="S2973" s="14">
        <v>3.3</v>
      </c>
    </row>
    <row r="2974" ht="15.75" customHeight="1">
      <c r="A2974" s="7" t="s">
        <v>338</v>
      </c>
      <c r="B2974" s="8" t="str">
        <f>IFERROR(__xludf.DUMMYFUNCTION("REGEXREPLACE(A2974, ""[^0-9a-zA-Z .'Ã]"","""")"),"David Lynch")</f>
        <v>David Lynch</v>
      </c>
      <c r="C2974" s="9">
        <v>143.0</v>
      </c>
      <c r="D2974" s="10">
        <v>6197866.0</v>
      </c>
      <c r="E2974" s="9" t="s">
        <v>359</v>
      </c>
      <c r="F2974" s="9">
        <f t="shared" si="1"/>
        <v>2</v>
      </c>
      <c r="G2974" s="9" t="s">
        <v>8883</v>
      </c>
      <c r="H2974" s="11" t="str">
        <f>IFERROR(__xludf.DUMMYFUNCTION("REGEXREPLACE(G2974, ""[^0-9a-zA-Z .'Ã]"","""")"),"Sissy Spacek")</f>
        <v>Sissy Spacek</v>
      </c>
      <c r="I2974" s="11" t="s">
        <v>9437</v>
      </c>
      <c r="J2974" s="9">
        <v>63733.0</v>
      </c>
      <c r="K2974" s="9" t="s">
        <v>9438</v>
      </c>
      <c r="L2974" s="9">
        <v>414.0</v>
      </c>
      <c r="M2974" s="9" t="s">
        <v>24</v>
      </c>
      <c r="N2974" s="9" t="s">
        <v>608</v>
      </c>
      <c r="O2974" s="10">
        <v>1.0E7</v>
      </c>
      <c r="P2974" s="10">
        <f t="shared" si="2"/>
        <v>0</v>
      </c>
      <c r="Q2974" s="12">
        <f t="shared" si="3"/>
        <v>3802134</v>
      </c>
      <c r="R2974" s="9">
        <v>1999.0</v>
      </c>
      <c r="S2974" s="9">
        <v>8.0</v>
      </c>
    </row>
    <row r="2975" ht="15.75" customHeight="1">
      <c r="A2975" s="17" t="s">
        <v>9439</v>
      </c>
      <c r="B2975" s="8" t="str">
        <f>IFERROR(__xludf.DUMMYFUNCTION("REGEXREPLACE(A2975, ""[^0-9a-zA-Z .'Ã]"","""")"),"Adrian Lyne")</f>
        <v>Adrian Lyne</v>
      </c>
      <c r="C2975" s="18">
        <v>51.0</v>
      </c>
      <c r="D2975" s="19">
        <v>9.49E7</v>
      </c>
      <c r="E2975" s="18" t="s">
        <v>734</v>
      </c>
      <c r="F2975" s="9">
        <f t="shared" si="1"/>
        <v>3</v>
      </c>
      <c r="G2975" s="18" t="s">
        <v>9440</v>
      </c>
      <c r="H2975" s="11" t="str">
        <f>IFERROR(__xludf.DUMMYFUNCTION("REGEXREPLACE(G2975, ""[^0-9a-zA-Z .'Ã]"","""")"),"Michael Nouri")</f>
        <v>Michael Nouri</v>
      </c>
      <c r="I2975" s="20" t="s">
        <v>9441</v>
      </c>
      <c r="J2975" s="18">
        <v>35172.0</v>
      </c>
      <c r="K2975" s="18" t="s">
        <v>9442</v>
      </c>
      <c r="L2975" s="18">
        <v>128.0</v>
      </c>
      <c r="M2975" s="18" t="s">
        <v>24</v>
      </c>
      <c r="N2975" s="18" t="s">
        <v>25</v>
      </c>
      <c r="O2975" s="19">
        <v>4000000.0</v>
      </c>
      <c r="P2975" s="10">
        <f t="shared" si="2"/>
        <v>90900000</v>
      </c>
      <c r="Q2975" s="12">
        <f t="shared" si="3"/>
        <v>0</v>
      </c>
      <c r="R2975" s="18">
        <v>1983.0</v>
      </c>
      <c r="S2975" s="18">
        <v>6.1</v>
      </c>
    </row>
    <row r="2976" ht="15.75" customHeight="1">
      <c r="A2976" s="7" t="s">
        <v>518</v>
      </c>
      <c r="B2976" s="8" t="str">
        <f>IFERROR(__xludf.DUMMYFUNCTION("REGEXREPLACE(A2976, ""[^0-9a-zA-Z .'Ã]"","""")"),"Tim Robbins")</f>
        <v>Tim Robbins</v>
      </c>
      <c r="C2976" s="9">
        <v>77.0</v>
      </c>
      <c r="D2976" s="10">
        <v>3.9025E7</v>
      </c>
      <c r="E2976" s="9" t="s">
        <v>54</v>
      </c>
      <c r="F2976" s="9">
        <f t="shared" si="1"/>
        <v>2</v>
      </c>
      <c r="G2976" s="9" t="s">
        <v>9443</v>
      </c>
      <c r="H2976" s="11" t="str">
        <f>IFERROR(__xludf.DUMMYFUNCTION("REGEXREPLACE(G2976, ""[^0-9a-zA-Z .'Ã]"","""")"),"Lois Smith")</f>
        <v>Lois Smith</v>
      </c>
      <c r="I2976" s="11" t="s">
        <v>9444</v>
      </c>
      <c r="J2976" s="9">
        <v>73193.0</v>
      </c>
      <c r="K2976" s="9" t="s">
        <v>9445</v>
      </c>
      <c r="L2976" s="9">
        <v>190.0</v>
      </c>
      <c r="M2976" s="9" t="s">
        <v>24</v>
      </c>
      <c r="N2976" s="9" t="s">
        <v>130</v>
      </c>
      <c r="O2976" s="10">
        <v>1.1E7</v>
      </c>
      <c r="P2976" s="10">
        <f t="shared" si="2"/>
        <v>28025000</v>
      </c>
      <c r="Q2976" s="12">
        <f t="shared" si="3"/>
        <v>0</v>
      </c>
      <c r="R2976" s="9">
        <v>1995.0</v>
      </c>
      <c r="S2976" s="9">
        <v>7.6</v>
      </c>
    </row>
    <row r="2977" ht="15.75" customHeight="1">
      <c r="A2977" s="21" t="s">
        <v>4046</v>
      </c>
      <c r="B2977" s="8" t="str">
        <f>IFERROR(__xludf.DUMMYFUNCTION("REGEXREPLACE(A2977, ""[^0-9a-zA-Z .'Ã]"","""")"),"Steve Oedekerk")</f>
        <v>Steve Oedekerk</v>
      </c>
      <c r="C2977" s="22">
        <v>98.0</v>
      </c>
      <c r="D2977" s="23">
        <v>7.2601713E7</v>
      </c>
      <c r="E2977" s="22" t="s">
        <v>3503</v>
      </c>
      <c r="F2977" s="9">
        <f t="shared" si="1"/>
        <v>3</v>
      </c>
      <c r="G2977" s="22" t="s">
        <v>9446</v>
      </c>
      <c r="H2977" s="11" t="str">
        <f>IFERROR(__xludf.DUMMYFUNCTION("REGEXREPLACE(G2977, ""[^0-9a-zA-Z .'Ã]"","""")"),"Rob Paulsen")</f>
        <v>Rob Paulsen</v>
      </c>
      <c r="I2977" s="24" t="s">
        <v>9447</v>
      </c>
      <c r="J2977" s="22">
        <v>21396.0</v>
      </c>
      <c r="K2977" s="22" t="s">
        <v>9448</v>
      </c>
      <c r="L2977" s="22">
        <v>155.0</v>
      </c>
      <c r="M2977" s="22" t="s">
        <v>24</v>
      </c>
      <c r="N2977" s="22" t="s">
        <v>173</v>
      </c>
      <c r="O2977" s="23">
        <v>5.1E7</v>
      </c>
      <c r="P2977" s="10">
        <f t="shared" si="2"/>
        <v>21601713</v>
      </c>
      <c r="Q2977" s="12">
        <f t="shared" si="3"/>
        <v>0</v>
      </c>
      <c r="R2977" s="22">
        <v>2006.0</v>
      </c>
      <c r="S2977" s="22">
        <v>5.6</v>
      </c>
    </row>
    <row r="2978" ht="15.75" customHeight="1">
      <c r="A2978" s="21" t="s">
        <v>1752</v>
      </c>
      <c r="B2978" s="8" t="str">
        <f>IFERROR(__xludf.DUMMYFUNCTION("REGEXREPLACE(A2978, ""[^0-9a-zA-Z .'Ã]"","""")"),"Douglas McGrath")</f>
        <v>Douglas McGrath</v>
      </c>
      <c r="C2978" s="22">
        <v>129.0</v>
      </c>
      <c r="D2978" s="23">
        <v>1150403.0</v>
      </c>
      <c r="E2978" s="22" t="s">
        <v>1774</v>
      </c>
      <c r="F2978" s="9">
        <f t="shared" si="1"/>
        <v>3</v>
      </c>
      <c r="G2978" s="22" t="s">
        <v>6867</v>
      </c>
      <c r="H2978" s="11" t="str">
        <f>IFERROR(__xludf.DUMMYFUNCTION("REGEXREPLACE(G2978, ""[^0-9a-zA-Z .'Ã]"","""")"),"Toby Jones")</f>
        <v>Toby Jones</v>
      </c>
      <c r="I2978" s="24" t="s">
        <v>9449</v>
      </c>
      <c r="J2978" s="22">
        <v>14143.0</v>
      </c>
      <c r="K2978" s="22" t="s">
        <v>9450</v>
      </c>
      <c r="L2978" s="22">
        <v>102.0</v>
      </c>
      <c r="M2978" s="22" t="s">
        <v>24</v>
      </c>
      <c r="N2978" s="22" t="s">
        <v>25</v>
      </c>
      <c r="O2978" s="23">
        <v>1.3E7</v>
      </c>
      <c r="P2978" s="10">
        <f t="shared" si="2"/>
        <v>0</v>
      </c>
      <c r="Q2978" s="12">
        <f t="shared" si="3"/>
        <v>11849597</v>
      </c>
      <c r="R2978" s="22">
        <v>2006.0</v>
      </c>
      <c r="S2978" s="22">
        <v>7.1</v>
      </c>
    </row>
    <row r="2979" ht="15.75" customHeight="1">
      <c r="A2979" s="29" t="s">
        <v>9451</v>
      </c>
      <c r="B2979" s="8" t="str">
        <f>IFERROR(__xludf.DUMMYFUNCTION("REGEXREPLACE(A2979, ""[^0-9a-zA-Z -.'Ã]"","""")"),"Hsiao-Hsien Hou")</f>
        <v>Hsiao-Hsien Hou</v>
      </c>
      <c r="C2979" s="30">
        <v>205.0</v>
      </c>
      <c r="D2979" s="31">
        <v>613556.0</v>
      </c>
      <c r="E2979" s="30" t="s">
        <v>208</v>
      </c>
      <c r="F2979" s="9">
        <f t="shared" si="1"/>
        <v>2</v>
      </c>
      <c r="G2979" s="30" t="s">
        <v>9452</v>
      </c>
      <c r="H2979" s="11" t="str">
        <f>IFERROR(__xludf.DUMMYFUNCTION("REGEXREPLACE(G2979, ""[^0-9a-zA-Z .'Ã]"","""")"),"Qi Shu")</f>
        <v>Qi Shu</v>
      </c>
      <c r="I2979" s="32" t="s">
        <v>9453</v>
      </c>
      <c r="J2979" s="30">
        <v>9427.0</v>
      </c>
      <c r="K2979" s="30" t="s">
        <v>9454</v>
      </c>
      <c r="L2979" s="30">
        <v>87.0</v>
      </c>
      <c r="M2979" s="30" t="s">
        <v>3260</v>
      </c>
      <c r="N2979" s="30" t="s">
        <v>3261</v>
      </c>
      <c r="O2979" s="31">
        <v>1.5E7</v>
      </c>
      <c r="P2979" s="10">
        <f t="shared" si="2"/>
        <v>0</v>
      </c>
      <c r="Q2979" s="12">
        <f t="shared" si="3"/>
        <v>14386444</v>
      </c>
      <c r="R2979" s="30">
        <v>2015.0</v>
      </c>
      <c r="S2979" s="30">
        <v>6.4</v>
      </c>
    </row>
    <row r="2980" ht="15.75" customHeight="1">
      <c r="A2980" s="25" t="s">
        <v>9455</v>
      </c>
      <c r="B2980" s="8" t="str">
        <f>IFERROR(__xludf.DUMMYFUNCTION("REGEXREPLACE(A2980, ""[^0-9a-zA-Z .'Ã]"","""")"),"Barry Cook")</f>
        <v>Barry Cook</v>
      </c>
      <c r="C2980" s="26">
        <v>113.0</v>
      </c>
      <c r="D2980" s="27">
        <v>3.6073232E7</v>
      </c>
      <c r="E2980" s="26" t="s">
        <v>6813</v>
      </c>
      <c r="F2980" s="9">
        <f t="shared" si="1"/>
        <v>3</v>
      </c>
      <c r="G2980" s="26" t="s">
        <v>9456</v>
      </c>
      <c r="H2980" s="11" t="str">
        <f>IFERROR(__xludf.DUMMYFUNCTION("REGEXREPLACE(G2980, ""[^0-9a-zA-Z .'Ã]"","""")"),"Charlie Rowe")</f>
        <v>Charlie Rowe</v>
      </c>
      <c r="I2980" s="28" t="s">
        <v>9457</v>
      </c>
      <c r="J2980" s="26">
        <v>8913.0</v>
      </c>
      <c r="K2980" s="26" t="s">
        <v>9458</v>
      </c>
      <c r="L2980" s="26">
        <v>66.0</v>
      </c>
      <c r="M2980" s="26" t="s">
        <v>24</v>
      </c>
      <c r="N2980" s="26" t="s">
        <v>25</v>
      </c>
      <c r="O2980" s="27">
        <v>8.0E7</v>
      </c>
      <c r="P2980" s="10">
        <f t="shared" si="2"/>
        <v>0</v>
      </c>
      <c r="Q2980" s="12">
        <f t="shared" si="3"/>
        <v>43926768</v>
      </c>
      <c r="R2980" s="26">
        <v>2013.0</v>
      </c>
      <c r="S2980" s="26">
        <v>5.2</v>
      </c>
    </row>
    <row r="2981" ht="15.75" customHeight="1">
      <c r="A2981" s="7" t="s">
        <v>8168</v>
      </c>
      <c r="B2981" s="8" t="str">
        <f>IFERROR(__xludf.DUMMYFUNCTION("REGEXREPLACE(A2981, ""[^0-9a-zA-Z .'Ã]"","""")"),"Harry Elfont")</f>
        <v>Harry Elfont</v>
      </c>
      <c r="C2981" s="9">
        <v>76.0</v>
      </c>
      <c r="D2981" s="10">
        <v>2.5339117E7</v>
      </c>
      <c r="E2981" s="9" t="s">
        <v>89</v>
      </c>
      <c r="F2981" s="9">
        <f t="shared" si="1"/>
        <v>2</v>
      </c>
      <c r="G2981" s="9" t="s">
        <v>2515</v>
      </c>
      <c r="H2981" s="11" t="str">
        <f>IFERROR(__xludf.DUMMYFUNCTION("REGEXREPLACE(G2981, ""[^0-9a-zA-Z .'Ã]"","""")"),"Ethan Embry")</f>
        <v>Ethan Embry</v>
      </c>
      <c r="I2981" s="11" t="s">
        <v>9459</v>
      </c>
      <c r="J2981" s="9">
        <v>37885.0</v>
      </c>
      <c r="K2981" s="9" t="s">
        <v>9460</v>
      </c>
      <c r="L2981" s="9">
        <v>247.0</v>
      </c>
      <c r="M2981" s="9" t="s">
        <v>24</v>
      </c>
      <c r="N2981" s="9" t="s">
        <v>25</v>
      </c>
      <c r="O2981" s="10">
        <v>1.0E7</v>
      </c>
      <c r="P2981" s="10">
        <f t="shared" si="2"/>
        <v>15339117</v>
      </c>
      <c r="Q2981" s="12">
        <f t="shared" si="3"/>
        <v>0</v>
      </c>
      <c r="R2981" s="9">
        <v>1998.0</v>
      </c>
      <c r="S2981" s="9">
        <v>6.5</v>
      </c>
    </row>
    <row r="2982" ht="15.75" customHeight="1">
      <c r="A2982" s="17" t="s">
        <v>1864</v>
      </c>
      <c r="B2982" s="8" t="str">
        <f>IFERROR(__xludf.DUMMYFUNCTION("REGEXREPLACE(A2982, ""[^0-9a-zA-Z .'Ã]"","""")"),"Camille Delamarre")</f>
        <v>Camille Delamarre</v>
      </c>
      <c r="C2982" s="18">
        <v>177.0</v>
      </c>
      <c r="D2982" s="19">
        <v>2.0285518E7</v>
      </c>
      <c r="E2982" s="18" t="s">
        <v>501</v>
      </c>
      <c r="F2982" s="9">
        <f t="shared" si="1"/>
        <v>4</v>
      </c>
      <c r="G2982" s="18" t="s">
        <v>802</v>
      </c>
      <c r="H2982" s="11" t="str">
        <f>IFERROR(__xludf.DUMMYFUNCTION("REGEXREPLACE(G2982, ""[^0-9a-zA-Z .'Ã]"","""")"),"Paul Walker")</f>
        <v>Paul Walker</v>
      </c>
      <c r="I2982" s="20" t="s">
        <v>9461</v>
      </c>
      <c r="J2982" s="18">
        <v>32103.0</v>
      </c>
      <c r="K2982" s="18" t="s">
        <v>9462</v>
      </c>
      <c r="L2982" s="18">
        <v>112.0</v>
      </c>
      <c r="M2982" s="18" t="s">
        <v>24</v>
      </c>
      <c r="N2982" s="18" t="s">
        <v>608</v>
      </c>
      <c r="O2982" s="19">
        <v>2.8E7</v>
      </c>
      <c r="P2982" s="10">
        <f t="shared" si="2"/>
        <v>0</v>
      </c>
      <c r="Q2982" s="12">
        <f t="shared" si="3"/>
        <v>7714482</v>
      </c>
      <c r="R2982" s="18">
        <v>2014.0</v>
      </c>
      <c r="S2982" s="18">
        <v>5.7</v>
      </c>
    </row>
    <row r="2983" ht="15.75" customHeight="1">
      <c r="A2983" s="7" t="s">
        <v>614</v>
      </c>
      <c r="B2983" s="8" t="str">
        <f>IFERROR(__xludf.DUMMYFUNCTION("REGEXREPLACE(A2983, ""[^0-9a-zA-Z .'Ã]"","""")"),"Steven Brill")</f>
        <v>Steven Brill</v>
      </c>
      <c r="C2983" s="9">
        <v>94.0</v>
      </c>
      <c r="D2983" s="10">
        <v>5.8156435E7</v>
      </c>
      <c r="E2983" s="9" t="s">
        <v>9463</v>
      </c>
      <c r="F2983" s="9">
        <f t="shared" si="1"/>
        <v>3</v>
      </c>
      <c r="G2983" s="9" t="s">
        <v>9464</v>
      </c>
      <c r="H2983" s="11" t="str">
        <f>IFERROR(__xludf.DUMMYFUNCTION("REGEXREPLACE(G2983, ""[^0-9a-zA-Z .'Ã]"","""")"),"Antony Starr")</f>
        <v>Antony Starr</v>
      </c>
      <c r="I2983" s="11" t="s">
        <v>9465</v>
      </c>
      <c r="J2983" s="9">
        <v>37479.0</v>
      </c>
      <c r="K2983" s="9" t="s">
        <v>9466</v>
      </c>
      <c r="L2983" s="9">
        <v>152.0</v>
      </c>
      <c r="M2983" s="9" t="s">
        <v>24</v>
      </c>
      <c r="N2983" s="9" t="s">
        <v>25</v>
      </c>
      <c r="O2983" s="10">
        <v>1.9E7</v>
      </c>
      <c r="P2983" s="10">
        <f t="shared" si="2"/>
        <v>39156435</v>
      </c>
      <c r="Q2983" s="12">
        <f t="shared" si="3"/>
        <v>0</v>
      </c>
      <c r="R2983" s="9">
        <v>2004.0</v>
      </c>
      <c r="S2983" s="9">
        <v>5.9</v>
      </c>
    </row>
    <row r="2984" ht="15.75" customHeight="1">
      <c r="A2984" s="21" t="s">
        <v>1320</v>
      </c>
      <c r="B2984" s="8" t="str">
        <f>IFERROR(__xludf.DUMMYFUNCTION("REGEXREPLACE(A2984, ""[^0-9a-zA-Z .'Ã]"","""")"),"Tobe Hooper")</f>
        <v>Tobe Hooper</v>
      </c>
      <c r="C2984" s="22">
        <v>277.0</v>
      </c>
      <c r="D2984" s="23">
        <v>3.0859E7</v>
      </c>
      <c r="E2984" s="22" t="s">
        <v>306</v>
      </c>
      <c r="F2984" s="9">
        <f t="shared" si="1"/>
        <v>2</v>
      </c>
      <c r="G2984" s="22" t="s">
        <v>5687</v>
      </c>
      <c r="H2984" s="11" t="str">
        <f>IFERROR(__xludf.DUMMYFUNCTION("REGEXREPLACE(G2984, ""[^0-9a-zA-Z .'Ã]"","""")"),"Gunnar Hansen")</f>
        <v>Gunnar Hansen</v>
      </c>
      <c r="I2984" s="24" t="s">
        <v>9467</v>
      </c>
      <c r="J2984" s="22">
        <v>96410.0</v>
      </c>
      <c r="K2984" s="22" t="s">
        <v>9468</v>
      </c>
      <c r="L2984" s="22">
        <v>826.0</v>
      </c>
      <c r="M2984" s="22" t="s">
        <v>24</v>
      </c>
      <c r="N2984" s="22" t="s">
        <v>25</v>
      </c>
      <c r="O2984" s="23">
        <v>83532.0</v>
      </c>
      <c r="P2984" s="10">
        <f t="shared" si="2"/>
        <v>30775468</v>
      </c>
      <c r="Q2984" s="12">
        <f t="shared" si="3"/>
        <v>0</v>
      </c>
      <c r="R2984" s="22">
        <v>1974.0</v>
      </c>
      <c r="S2984" s="22">
        <v>7.5</v>
      </c>
    </row>
    <row r="2985" ht="15.75" customHeight="1">
      <c r="A2985" s="7" t="s">
        <v>3740</v>
      </c>
      <c r="B2985" s="8" t="str">
        <f>IFERROR(__xludf.DUMMYFUNCTION("REGEXREPLACE(A2985, ""[^0-9a-zA-Z .'Ã]"","""")"),"Sam Mendes")</f>
        <v>Sam Mendes</v>
      </c>
      <c r="C2985" s="9">
        <v>262.0</v>
      </c>
      <c r="D2985" s="10">
        <v>6.264754E7</v>
      </c>
      <c r="E2985" s="9" t="s">
        <v>403</v>
      </c>
      <c r="F2985" s="9">
        <f t="shared" si="1"/>
        <v>3</v>
      </c>
      <c r="G2985" s="9" t="s">
        <v>2509</v>
      </c>
      <c r="H2985" s="11" t="str">
        <f>IFERROR(__xludf.DUMMYFUNCTION("REGEXREPLACE(G2985, ""[^0-9a-zA-Z .'Ã]"","""")"),"Jake Gyllenhaal")</f>
        <v>Jake Gyllenhaal</v>
      </c>
      <c r="I2985" s="11" t="s">
        <v>9469</v>
      </c>
      <c r="J2985" s="9">
        <v>143525.0</v>
      </c>
      <c r="K2985" s="9" t="s">
        <v>9470</v>
      </c>
      <c r="L2985" s="9">
        <v>657.0</v>
      </c>
      <c r="M2985" s="9" t="s">
        <v>24</v>
      </c>
      <c r="N2985" s="9" t="s">
        <v>173</v>
      </c>
      <c r="O2985" s="10">
        <v>7.0E7</v>
      </c>
      <c r="P2985" s="10">
        <f t="shared" si="2"/>
        <v>0</v>
      </c>
      <c r="Q2985" s="12">
        <f t="shared" si="3"/>
        <v>7352460</v>
      </c>
      <c r="R2985" s="9">
        <v>2005.0</v>
      </c>
      <c r="S2985" s="9">
        <v>7.1</v>
      </c>
    </row>
    <row r="2986" ht="15.75" customHeight="1">
      <c r="A2986" s="7" t="s">
        <v>896</v>
      </c>
      <c r="B2986" s="8" t="str">
        <f>IFERROR(__xludf.DUMMYFUNCTION("REGEXREPLACE(A2986, ""[^0-9a-zA-Z .'Ã]"","""")"),"Kevin Smith")</f>
        <v>Kevin Smith</v>
      </c>
      <c r="C2986" s="9">
        <v>136.0</v>
      </c>
      <c r="D2986" s="10">
        <v>3151130.0</v>
      </c>
      <c r="E2986" s="9" t="s">
        <v>137</v>
      </c>
      <c r="F2986" s="9">
        <f t="shared" si="1"/>
        <v>1</v>
      </c>
      <c r="G2986" s="9" t="s">
        <v>9471</v>
      </c>
      <c r="H2986" s="11" t="str">
        <f>IFERROR(__xludf.DUMMYFUNCTION("REGEXREPLACE(G2986, ""[^0-9a-zA-Z .'Ã]"","""")"),"Jason Mewes")</f>
        <v>Jason Mewes</v>
      </c>
      <c r="I2986" s="11" t="s">
        <v>9472</v>
      </c>
      <c r="J2986" s="9">
        <v>181749.0</v>
      </c>
      <c r="K2986" s="9" t="s">
        <v>9473</v>
      </c>
      <c r="L2986" s="9">
        <v>615.0</v>
      </c>
      <c r="M2986" s="9" t="s">
        <v>24</v>
      </c>
      <c r="N2986" s="9" t="s">
        <v>25</v>
      </c>
      <c r="O2986" s="10">
        <v>230000.0</v>
      </c>
      <c r="P2986" s="10">
        <f t="shared" si="2"/>
        <v>2921130</v>
      </c>
      <c r="Q2986" s="12">
        <f t="shared" si="3"/>
        <v>0</v>
      </c>
      <c r="R2986" s="9">
        <v>1994.0</v>
      </c>
      <c r="S2986" s="9">
        <v>7.8</v>
      </c>
    </row>
    <row r="2987" ht="15.75" customHeight="1">
      <c r="A2987" s="21" t="s">
        <v>9474</v>
      </c>
      <c r="B2987" s="8" t="str">
        <f>IFERROR(__xludf.DUMMYFUNCTION("REGEXREPLACE(A2987, ""[^0-9a-zA-Z .'Ã]"","""")"),"John Crowley")</f>
        <v>John Crowley</v>
      </c>
      <c r="C2987" s="22">
        <v>351.0</v>
      </c>
      <c r="D2987" s="23">
        <v>3.8317535E7</v>
      </c>
      <c r="E2987" s="22" t="s">
        <v>232</v>
      </c>
      <c r="F2987" s="9">
        <f t="shared" si="1"/>
        <v>2</v>
      </c>
      <c r="G2987" s="22" t="s">
        <v>7306</v>
      </c>
      <c r="H2987" s="11" t="str">
        <f>IFERROR(__xludf.DUMMYFUNCTION("REGEXREPLACE(G2987, ""[^0-9a-zA-Z .'Ã]"","""")"),"Julie Walters")</f>
        <v>Julie Walters</v>
      </c>
      <c r="I2987" s="24" t="s">
        <v>9475</v>
      </c>
      <c r="J2987" s="22">
        <v>73249.0</v>
      </c>
      <c r="K2987" s="22" t="s">
        <v>9476</v>
      </c>
      <c r="L2987" s="22">
        <v>212.0</v>
      </c>
      <c r="M2987" s="22" t="s">
        <v>24</v>
      </c>
      <c r="N2987" s="22" t="s">
        <v>130</v>
      </c>
      <c r="O2987" s="23">
        <v>1.1E7</v>
      </c>
      <c r="P2987" s="10">
        <f t="shared" si="2"/>
        <v>27317535</v>
      </c>
      <c r="Q2987" s="12">
        <f t="shared" si="3"/>
        <v>0</v>
      </c>
      <c r="R2987" s="22">
        <v>2015.0</v>
      </c>
      <c r="S2987" s="22">
        <v>7.5</v>
      </c>
    </row>
    <row r="2988" ht="15.75" customHeight="1">
      <c r="A2988" s="7" t="s">
        <v>413</v>
      </c>
      <c r="B2988" s="8" t="str">
        <f>IFERROR(__xludf.DUMMYFUNCTION("REGEXREPLACE(A2988, ""[^0-9a-zA-Z .'Ã]"","""")"),"Joe Dante")</f>
        <v>Joe Dante</v>
      </c>
      <c r="C2988" s="9">
        <v>78.0</v>
      </c>
      <c r="D2988" s="10">
        <v>2.95E7</v>
      </c>
      <c r="E2988" s="9" t="s">
        <v>9477</v>
      </c>
      <c r="F2988" s="9">
        <f t="shared" si="1"/>
        <v>3</v>
      </c>
      <c r="G2988" s="9" t="s">
        <v>4410</v>
      </c>
      <c r="H2988" s="11" t="str">
        <f>IFERROR(__xludf.DUMMYFUNCTION("REGEXREPLACE(G2988, ""[^0-9a-zA-Z .'Ã]"","""")"),"Albert Brooks")</f>
        <v>Albert Brooks</v>
      </c>
      <c r="I2988" s="11" t="s">
        <v>9478</v>
      </c>
      <c r="J2988" s="9">
        <v>25613.0</v>
      </c>
      <c r="K2988" s="9" t="s">
        <v>9479</v>
      </c>
      <c r="L2988" s="9">
        <v>121.0</v>
      </c>
      <c r="M2988" s="9" t="s">
        <v>24</v>
      </c>
      <c r="N2988" s="9" t="s">
        <v>25</v>
      </c>
      <c r="O2988" s="10">
        <v>1.0E7</v>
      </c>
      <c r="P2988" s="10">
        <f t="shared" si="2"/>
        <v>19500000</v>
      </c>
      <c r="Q2988" s="12">
        <f t="shared" si="3"/>
        <v>0</v>
      </c>
      <c r="R2988" s="9">
        <v>1983.0</v>
      </c>
      <c r="S2988" s="9">
        <v>6.5</v>
      </c>
    </row>
    <row r="2989" ht="15.75" customHeight="1">
      <c r="A2989" s="7" t="s">
        <v>5985</v>
      </c>
      <c r="B2989" s="8" t="str">
        <f>IFERROR(__xludf.DUMMYFUNCTION("REGEXREPLACE(A2989, ""[^0-9a-zA-Z .'Ã]"","""")"),"Amy Heckerling")</f>
        <v>Amy Heckerling</v>
      </c>
      <c r="C2989" s="9">
        <v>88.0</v>
      </c>
      <c r="D2989" s="10">
        <v>5.6631572E7</v>
      </c>
      <c r="E2989" s="9" t="s">
        <v>89</v>
      </c>
      <c r="F2989" s="9">
        <f t="shared" si="1"/>
        <v>2</v>
      </c>
      <c r="G2989" s="9" t="s">
        <v>7881</v>
      </c>
      <c r="H2989" s="11" t="str">
        <f>IFERROR(__xludf.DUMMYFUNCTION("REGEXREPLACE(G2989, ""[^0-9a-zA-Z .'Ã]"","""")"),"Donald Faison")</f>
        <v>Donald Faison</v>
      </c>
      <c r="I2989" s="11" t="s">
        <v>9480</v>
      </c>
      <c r="J2989" s="9">
        <v>123390.0</v>
      </c>
      <c r="K2989" s="9" t="s">
        <v>9481</v>
      </c>
      <c r="L2989" s="9">
        <v>248.0</v>
      </c>
      <c r="M2989" s="9" t="s">
        <v>24</v>
      </c>
      <c r="N2989" s="9" t="s">
        <v>25</v>
      </c>
      <c r="O2989" s="10">
        <v>1.2E7</v>
      </c>
      <c r="P2989" s="10">
        <f t="shared" si="2"/>
        <v>44631572</v>
      </c>
      <c r="Q2989" s="12">
        <f t="shared" si="3"/>
        <v>0</v>
      </c>
      <c r="R2989" s="9">
        <v>1995.0</v>
      </c>
      <c r="S2989" s="9">
        <v>6.8</v>
      </c>
    </row>
    <row r="2990" ht="15.75" customHeight="1">
      <c r="A2990" s="17" t="s">
        <v>8209</v>
      </c>
      <c r="B2990" s="8" t="str">
        <f>IFERROR(__xludf.DUMMYFUNCTION("REGEXREPLACE(A2990, ""[^0-9a-zA-Z .'Ã]"","""")"),"Tommy Lee Jones")</f>
        <v>Tommy Lee Jones</v>
      </c>
      <c r="C2990" s="18">
        <v>172.0</v>
      </c>
      <c r="D2990" s="19">
        <v>5023275.0</v>
      </c>
      <c r="E2990" s="18" t="s">
        <v>9482</v>
      </c>
      <c r="F2990" s="9">
        <f t="shared" si="1"/>
        <v>5</v>
      </c>
      <c r="G2990" s="18" t="s">
        <v>9483</v>
      </c>
      <c r="H2990" s="11" t="str">
        <f>IFERROR(__xludf.DUMMYFUNCTION("REGEXREPLACE(G2990, ""[^0-9a-zA-Z .'Ã]"","""")"),"Levon Helm")</f>
        <v>Levon Helm</v>
      </c>
      <c r="I2990" s="20" t="s">
        <v>9484</v>
      </c>
      <c r="J2990" s="18">
        <v>34194.0</v>
      </c>
      <c r="K2990" s="18" t="s">
        <v>9485</v>
      </c>
      <c r="L2990" s="18">
        <v>199.0</v>
      </c>
      <c r="M2990" s="18" t="s">
        <v>24</v>
      </c>
      <c r="N2990" s="18" t="s">
        <v>608</v>
      </c>
      <c r="O2990" s="19">
        <v>1.5E7</v>
      </c>
      <c r="P2990" s="10">
        <f t="shared" si="2"/>
        <v>0</v>
      </c>
      <c r="Q2990" s="12">
        <f t="shared" si="3"/>
        <v>9976725</v>
      </c>
      <c r="R2990" s="18">
        <v>2005.0</v>
      </c>
      <c r="S2990" s="18">
        <v>7.5</v>
      </c>
    </row>
    <row r="2991" ht="15.75" customHeight="1">
      <c r="A2991" s="7" t="s">
        <v>9486</v>
      </c>
      <c r="B2991" s="8" t="str">
        <f>IFERROR(__xludf.DUMMYFUNCTION("REGEXREPLACE(A2991, ""[^0-9a-zA-Z .'Ã]"","""")"),"Michael Sucsy")</f>
        <v>Michael Sucsy</v>
      </c>
      <c r="C2991" s="9">
        <v>214.0</v>
      </c>
      <c r="D2991" s="10">
        <v>1.2501403E8</v>
      </c>
      <c r="E2991" s="9" t="s">
        <v>232</v>
      </c>
      <c r="F2991" s="9">
        <f t="shared" si="1"/>
        <v>2</v>
      </c>
      <c r="G2991" s="9" t="s">
        <v>176</v>
      </c>
      <c r="H2991" s="11" t="str">
        <f>IFERROR(__xludf.DUMMYFUNCTION("REGEXREPLACE(G2991, ""[^0-9a-zA-Z .'Ã]"","""")"),"Channing Tatum")</f>
        <v>Channing Tatum</v>
      </c>
      <c r="I2991" s="11" t="s">
        <v>9487</v>
      </c>
      <c r="J2991" s="9">
        <v>145852.0</v>
      </c>
      <c r="K2991" s="9" t="s">
        <v>9488</v>
      </c>
      <c r="L2991" s="9">
        <v>164.0</v>
      </c>
      <c r="M2991" s="9" t="s">
        <v>24</v>
      </c>
      <c r="N2991" s="9" t="s">
        <v>25</v>
      </c>
      <c r="O2991" s="10">
        <v>3.0E7</v>
      </c>
      <c r="P2991" s="10">
        <f t="shared" si="2"/>
        <v>95014030</v>
      </c>
      <c r="Q2991" s="12">
        <f t="shared" si="3"/>
        <v>0</v>
      </c>
      <c r="R2991" s="9">
        <v>2012.0</v>
      </c>
      <c r="S2991" s="9">
        <v>6.8</v>
      </c>
    </row>
    <row r="2992" ht="15.75" customHeight="1">
      <c r="A2992" s="7" t="s">
        <v>4617</v>
      </c>
      <c r="B2992" s="8" t="str">
        <f>IFERROR(__xludf.DUMMYFUNCTION("REGEXREPLACE(A2992, ""[^0-9a-zA-Z .'Ã]"","""")"),"Shana Feste")</f>
        <v>Shana Feste</v>
      </c>
      <c r="C2992" s="9">
        <v>63.0</v>
      </c>
      <c r="D2992" s="10">
        <v>115862.0</v>
      </c>
      <c r="E2992" s="9" t="s">
        <v>232</v>
      </c>
      <c r="F2992" s="9">
        <f t="shared" si="1"/>
        <v>2</v>
      </c>
      <c r="G2992" s="9" t="s">
        <v>4297</v>
      </c>
      <c r="H2992" s="11" t="str">
        <f>IFERROR(__xludf.DUMMYFUNCTION("REGEXREPLACE(G2992, ""[^0-9a-zA-Z .'Ã]"","""")"),"Jennifer Ehle")</f>
        <v>Jennifer Ehle</v>
      </c>
      <c r="I2992" s="11" t="s">
        <v>9489</v>
      </c>
      <c r="J2992" s="9">
        <v>7394.0</v>
      </c>
      <c r="K2992" s="9" t="s">
        <v>9490</v>
      </c>
      <c r="L2992" s="9">
        <v>50.0</v>
      </c>
      <c r="M2992" s="9" t="s">
        <v>24</v>
      </c>
      <c r="N2992" s="9" t="s">
        <v>25</v>
      </c>
      <c r="O2992" s="10">
        <v>6000000.0</v>
      </c>
      <c r="P2992" s="10">
        <f t="shared" si="2"/>
        <v>0</v>
      </c>
      <c r="Q2992" s="12">
        <f t="shared" si="3"/>
        <v>5884138</v>
      </c>
      <c r="R2992" s="9">
        <v>2009.0</v>
      </c>
      <c r="S2992" s="9">
        <v>6.7</v>
      </c>
    </row>
    <row r="2993" ht="15.75" customHeight="1">
      <c r="A2993" s="17" t="s">
        <v>723</v>
      </c>
      <c r="B2993" s="8" t="str">
        <f>IFERROR(__xludf.DUMMYFUNCTION("REGEXREPLACE(A2993, ""[^0-9a-zA-Z .'Ã]"","""")"),"Robert Rodriguez")</f>
        <v>Robert Rodriguez</v>
      </c>
      <c r="C2993" s="18">
        <v>103.0</v>
      </c>
      <c r="D2993" s="19">
        <v>8.5570368E7</v>
      </c>
      <c r="E2993" s="18" t="s">
        <v>3305</v>
      </c>
      <c r="F2993" s="9">
        <f t="shared" si="1"/>
        <v>5</v>
      </c>
      <c r="G2993" s="18" t="s">
        <v>453</v>
      </c>
      <c r="H2993" s="11" t="str">
        <f>IFERROR(__xludf.DUMMYFUNCTION("REGEXREPLACE(G2993, ""[^0-9a-zA-Z .'Ã]"","""")"),"Steve Buscemi")</f>
        <v>Steve Buscemi</v>
      </c>
      <c r="I2993" s="20" t="s">
        <v>9491</v>
      </c>
      <c r="J2993" s="18">
        <v>44885.0</v>
      </c>
      <c r="K2993" s="18" t="s">
        <v>9492</v>
      </c>
      <c r="L2993" s="18">
        <v>107.0</v>
      </c>
      <c r="M2993" s="18" t="s">
        <v>24</v>
      </c>
      <c r="N2993" s="18" t="s">
        <v>25</v>
      </c>
      <c r="O2993" s="19">
        <v>3.8E7</v>
      </c>
      <c r="P2993" s="10">
        <f t="shared" si="2"/>
        <v>47570368</v>
      </c>
      <c r="Q2993" s="12">
        <f t="shared" si="3"/>
        <v>0</v>
      </c>
      <c r="R2993" s="18">
        <v>2002.0</v>
      </c>
      <c r="S2993" s="18">
        <v>5.1</v>
      </c>
    </row>
    <row r="2994" ht="15.75" customHeight="1">
      <c r="A2994" s="17" t="s">
        <v>9493</v>
      </c>
      <c r="B2994" s="8" t="str">
        <f>IFERROR(__xludf.DUMMYFUNCTION("REGEXREPLACE(A2994, ""[^0-9a-zA-Z .'Ã]"","""")"),"Sterling Van Wagenen")</f>
        <v>Sterling Van Wagenen</v>
      </c>
      <c r="C2994" s="18">
        <v>4.0</v>
      </c>
      <c r="D2994" s="19">
        <v>2024854.0</v>
      </c>
      <c r="E2994" s="18" t="s">
        <v>3765</v>
      </c>
      <c r="F2994" s="9">
        <f t="shared" si="1"/>
        <v>2</v>
      </c>
      <c r="G2994" s="18" t="s">
        <v>9494</v>
      </c>
      <c r="H2994" s="11" t="str">
        <f>IFERROR(__xludf.DUMMYFUNCTION("REGEXREPLACE(G2994, ""[^0-9a-zA-Z .'Ã]"","""")"),"Emily Podleski")</f>
        <v>Emily Podleski</v>
      </c>
      <c r="I2994" s="20" t="s">
        <v>9495</v>
      </c>
      <c r="J2994" s="18">
        <v>564.0</v>
      </c>
      <c r="K2994" s="18" t="s">
        <v>9496</v>
      </c>
      <c r="L2994" s="18">
        <v>21.0</v>
      </c>
      <c r="M2994" s="18" t="s">
        <v>24</v>
      </c>
      <c r="N2994" s="18" t="s">
        <v>25</v>
      </c>
      <c r="O2994" s="19">
        <v>6500000.0</v>
      </c>
      <c r="P2994" s="10">
        <f t="shared" si="2"/>
        <v>0</v>
      </c>
      <c r="Q2994" s="12">
        <f t="shared" si="3"/>
        <v>4475146</v>
      </c>
      <c r="R2994" s="18">
        <v>2005.0</v>
      </c>
      <c r="S2994" s="18">
        <v>6.6</v>
      </c>
    </row>
    <row r="2995" ht="15.75" customHeight="1">
      <c r="A2995" s="25" t="s">
        <v>3832</v>
      </c>
      <c r="B2995" s="8" t="str">
        <f>IFERROR(__xludf.DUMMYFUNCTION("REGEXREPLACE(A2995, ""[^0-9a-zA-Z .'Ã]"","""")"),"Doug Liman")</f>
        <v>Doug Liman</v>
      </c>
      <c r="C2995" s="26">
        <v>77.0</v>
      </c>
      <c r="D2995" s="27">
        <v>4505922.0</v>
      </c>
      <c r="E2995" s="26" t="s">
        <v>454</v>
      </c>
      <c r="F2995" s="9">
        <f t="shared" si="1"/>
        <v>2</v>
      </c>
      <c r="G2995" s="26" t="s">
        <v>505</v>
      </c>
      <c r="H2995" s="11" t="str">
        <f>IFERROR(__xludf.DUMMYFUNCTION("REGEXREPLACE(G2995, ""[^0-9a-zA-Z .'Ã]"","""")"),"Jon Favreau")</f>
        <v>Jon Favreau</v>
      </c>
      <c r="I2995" s="28" t="s">
        <v>9497</v>
      </c>
      <c r="J2995" s="26">
        <v>63951.0</v>
      </c>
      <c r="K2995" s="26" t="s">
        <v>9498</v>
      </c>
      <c r="L2995" s="26">
        <v>252.0</v>
      </c>
      <c r="M2995" s="26" t="s">
        <v>24</v>
      </c>
      <c r="N2995" s="26" t="s">
        <v>25</v>
      </c>
      <c r="O2995" s="27">
        <v>200000.0</v>
      </c>
      <c r="P2995" s="10">
        <f t="shared" si="2"/>
        <v>4305922</v>
      </c>
      <c r="Q2995" s="12">
        <f t="shared" si="3"/>
        <v>0</v>
      </c>
      <c r="R2995" s="26">
        <v>1996.0</v>
      </c>
      <c r="S2995" s="26">
        <v>7.4</v>
      </c>
    </row>
    <row r="2996" ht="15.75" customHeight="1">
      <c r="A2996" s="29" t="s">
        <v>9499</v>
      </c>
      <c r="B2996" s="8" t="str">
        <f>IFERROR(__xludf.DUMMYFUNCTION("REGEXREPLACE(A2996, ""[^0-9a-zA-Z .'Ã]"","""")"),"Brian Klugman")</f>
        <v>Brian Klugman</v>
      </c>
      <c r="C2996" s="30">
        <v>216.0</v>
      </c>
      <c r="D2996" s="31">
        <v>1.1434867E7</v>
      </c>
      <c r="E2996" s="30" t="s">
        <v>1025</v>
      </c>
      <c r="F2996" s="9">
        <f t="shared" si="1"/>
        <v>4</v>
      </c>
      <c r="G2996" s="30" t="s">
        <v>878</v>
      </c>
      <c r="H2996" s="11" t="str">
        <f>IFERROR(__xludf.DUMMYFUNCTION("REGEXREPLACE(G2996, ""[^0-9a-zA-Z .'Ã]"","""")"),"J.K. Simmons")</f>
        <v>J.K. Simmons</v>
      </c>
      <c r="I2996" s="32" t="s">
        <v>9500</v>
      </c>
      <c r="J2996" s="30">
        <v>59637.0</v>
      </c>
      <c r="K2996" s="30" t="s">
        <v>9501</v>
      </c>
      <c r="L2996" s="30">
        <v>130.0</v>
      </c>
      <c r="M2996" s="30" t="s">
        <v>24</v>
      </c>
      <c r="N2996" s="30" t="s">
        <v>25</v>
      </c>
      <c r="O2996" s="31">
        <v>6000000.0</v>
      </c>
      <c r="P2996" s="10">
        <f t="shared" si="2"/>
        <v>5434867</v>
      </c>
      <c r="Q2996" s="12">
        <f t="shared" si="3"/>
        <v>0</v>
      </c>
      <c r="R2996" s="30">
        <v>2012.0</v>
      </c>
      <c r="S2996" s="30">
        <v>7.1</v>
      </c>
    </row>
    <row r="2997" ht="15.75" customHeight="1">
      <c r="A2997" s="7" t="s">
        <v>9502</v>
      </c>
      <c r="B2997" s="8" t="str">
        <f>IFERROR(__xludf.DUMMYFUNCTION("REGEXREPLACE(A2997, ""[^0-9a-zA-Z .'Ã]"","""")"),"Caroline Link")</f>
        <v>Caroline Link</v>
      </c>
      <c r="C2997" s="9">
        <v>73.0</v>
      </c>
      <c r="D2997" s="10">
        <v>6173485.0</v>
      </c>
      <c r="E2997" s="9" t="s">
        <v>359</v>
      </c>
      <c r="F2997" s="9">
        <f t="shared" si="1"/>
        <v>2</v>
      </c>
      <c r="G2997" s="9" t="s">
        <v>9503</v>
      </c>
      <c r="H2997" s="11" t="str">
        <f>IFERROR(__xludf.DUMMYFUNCTION("REGEXREPLACE(G2997, ""[^0-9a-zA-Z .'Ã]"","""")"),"Merab Ninidze")</f>
        <v>Merab Ninidze</v>
      </c>
      <c r="I2997" s="11" t="s">
        <v>9504</v>
      </c>
      <c r="J2997" s="9">
        <v>10672.0</v>
      </c>
      <c r="K2997" s="9" t="s">
        <v>9505</v>
      </c>
      <c r="L2997" s="9">
        <v>84.0</v>
      </c>
      <c r="M2997" s="9" t="s">
        <v>24</v>
      </c>
      <c r="N2997" s="9" t="s">
        <v>173</v>
      </c>
      <c r="O2997" s="10">
        <v>7000000.0</v>
      </c>
      <c r="P2997" s="10">
        <f t="shared" si="2"/>
        <v>0</v>
      </c>
      <c r="Q2997" s="12">
        <f t="shared" si="3"/>
        <v>826515</v>
      </c>
      <c r="R2997" s="9">
        <v>2001.0</v>
      </c>
      <c r="S2997" s="9">
        <v>7.7</v>
      </c>
    </row>
    <row r="2998" ht="15.75" customHeight="1">
      <c r="A2998" s="21" t="s">
        <v>9439</v>
      </c>
      <c r="B2998" s="8" t="str">
        <f>IFERROR(__xludf.DUMMYFUNCTION("REGEXREPLACE(A2998, ""[^0-9a-zA-Z .'Ã]"","""")"),"Adrian Lyne")</f>
        <v>Adrian Lyne</v>
      </c>
      <c r="C2998" s="22">
        <v>94.0</v>
      </c>
      <c r="D2998" s="23">
        <v>1.56645693E8</v>
      </c>
      <c r="E2998" s="22" t="s">
        <v>1854</v>
      </c>
      <c r="F2998" s="9">
        <f t="shared" si="1"/>
        <v>3</v>
      </c>
      <c r="G2998" s="22" t="s">
        <v>7736</v>
      </c>
      <c r="H2998" s="11" t="str">
        <f>IFERROR(__xludf.DUMMYFUNCTION("REGEXREPLACE(G2998, ""[^0-9a-zA-Z .'Ã]"","""")"),"Fred Gwynne")</f>
        <v>Fred Gwynne</v>
      </c>
      <c r="I2998" s="24" t="s">
        <v>9506</v>
      </c>
      <c r="J2998" s="22">
        <v>55101.0</v>
      </c>
      <c r="K2998" s="22" t="s">
        <v>9507</v>
      </c>
      <c r="L2998" s="22">
        <v>201.0</v>
      </c>
      <c r="M2998" s="22" t="s">
        <v>24</v>
      </c>
      <c r="N2998" s="22" t="s">
        <v>25</v>
      </c>
      <c r="O2998" s="23">
        <v>1.4E7</v>
      </c>
      <c r="P2998" s="10">
        <f t="shared" si="2"/>
        <v>142645693</v>
      </c>
      <c r="Q2998" s="12">
        <f t="shared" si="3"/>
        <v>0</v>
      </c>
      <c r="R2998" s="22">
        <v>1987.0</v>
      </c>
      <c r="S2998" s="22">
        <v>6.9</v>
      </c>
    </row>
    <row r="2999" ht="15.75" customHeight="1">
      <c r="A2999" s="17" t="s">
        <v>9508</v>
      </c>
      <c r="B2999" s="8" t="str">
        <f>IFERROR(__xludf.DUMMYFUNCTION("REGEXREPLACE(A2999, ""[^0-9a-zA-Z .'Ã]"","""")"),"Rob Schmidt")</f>
        <v>Rob Schmidt</v>
      </c>
      <c r="C2999" s="18">
        <v>191.0</v>
      </c>
      <c r="D2999" s="19">
        <v>1.5417771E7</v>
      </c>
      <c r="E2999" s="18" t="s">
        <v>306</v>
      </c>
      <c r="F2999" s="9">
        <f t="shared" si="1"/>
        <v>2</v>
      </c>
      <c r="G2999" s="18" t="s">
        <v>3449</v>
      </c>
      <c r="H2999" s="11" t="str">
        <f>IFERROR(__xludf.DUMMYFUNCTION("REGEXREPLACE(G2999, ""[^0-9a-zA-Z .'Ã]"","""")"),"Kevin Zegers")</f>
        <v>Kevin Zegers</v>
      </c>
      <c r="I2999" s="20" t="s">
        <v>9509</v>
      </c>
      <c r="J2999" s="18">
        <v>87494.0</v>
      </c>
      <c r="K2999" s="18" t="s">
        <v>9510</v>
      </c>
      <c r="L2999" s="18">
        <v>540.0</v>
      </c>
      <c r="M2999" s="18" t="s">
        <v>24</v>
      </c>
      <c r="N2999" s="18" t="s">
        <v>25</v>
      </c>
      <c r="O2999" s="19">
        <v>1.26E7</v>
      </c>
      <c r="P2999" s="10">
        <f t="shared" si="2"/>
        <v>2817771</v>
      </c>
      <c r="Q2999" s="12">
        <f t="shared" si="3"/>
        <v>0</v>
      </c>
      <c r="R2999" s="18">
        <v>2003.0</v>
      </c>
      <c r="S2999" s="18">
        <v>6.1</v>
      </c>
    </row>
    <row r="3000" ht="15.75" customHeight="1">
      <c r="A3000" s="21" t="s">
        <v>8831</v>
      </c>
      <c r="B3000" s="8" t="str">
        <f>IFERROR(__xludf.DUMMYFUNCTION("REGEXREPLACE(A3000, ""[^0-9a-zA-Z -.'Ã]"","""")"),"Hyung-rae Shim")</f>
        <v>Hyung-rae Shim</v>
      </c>
      <c r="C3000" s="22">
        <v>4.0</v>
      </c>
      <c r="D3000" s="23">
        <v>163591.0</v>
      </c>
      <c r="E3000" s="22" t="s">
        <v>137</v>
      </c>
      <c r="F3000" s="9">
        <f t="shared" si="1"/>
        <v>1</v>
      </c>
      <c r="G3000" s="22" t="s">
        <v>9471</v>
      </c>
      <c r="H3000" s="11" t="str">
        <f>IFERROR(__xludf.DUMMYFUNCTION("REGEXREPLACE(G3000, ""[^0-9a-zA-Z .'Ã]"","""")"),"Jason Mewes")</f>
        <v>Jason Mewes</v>
      </c>
      <c r="I3000" s="24" t="s">
        <v>9511</v>
      </c>
      <c r="J3000" s="22">
        <v>912.0</v>
      </c>
      <c r="K3000" s="22" t="s">
        <v>9512</v>
      </c>
      <c r="L3000" s="22">
        <v>17.0</v>
      </c>
      <c r="M3000" s="22" t="s">
        <v>24</v>
      </c>
      <c r="N3000" s="22" t="s">
        <v>1766</v>
      </c>
      <c r="O3000" s="23">
        <v>1.34E7</v>
      </c>
      <c r="P3000" s="10">
        <f t="shared" si="2"/>
        <v>0</v>
      </c>
      <c r="Q3000" s="12">
        <f t="shared" si="3"/>
        <v>13236409</v>
      </c>
      <c r="R3000" s="22">
        <v>2010.0</v>
      </c>
      <c r="S3000" s="22">
        <v>3.6</v>
      </c>
    </row>
    <row r="3001" ht="15.75" customHeight="1">
      <c r="A3001" s="7" t="s">
        <v>687</v>
      </c>
      <c r="B3001" s="8" t="str">
        <f>IFERROR(__xludf.DUMMYFUNCTION("REGEXREPLACE(A3001, ""[^0-9a-zA-Z .'Ã]"","""")"),"John Moore")</f>
        <v>John Moore</v>
      </c>
      <c r="C3001" s="9">
        <v>228.0</v>
      </c>
      <c r="D3001" s="10">
        <v>4.0687294E7</v>
      </c>
      <c r="E3001" s="9" t="s">
        <v>610</v>
      </c>
      <c r="F3001" s="9">
        <f t="shared" si="1"/>
        <v>5</v>
      </c>
      <c r="G3001" s="9" t="s">
        <v>4748</v>
      </c>
      <c r="H3001" s="11" t="str">
        <f>IFERROR(__xludf.DUMMYFUNCTION("REGEXREPLACE(G3001, ""[^0-9a-zA-Z .'Ã]"","""")"),"Mila Kunis")</f>
        <v>Mila Kunis</v>
      </c>
      <c r="I3001" s="11" t="s">
        <v>9513</v>
      </c>
      <c r="J3001" s="9">
        <v>107772.0</v>
      </c>
      <c r="K3001" s="9" t="s">
        <v>9514</v>
      </c>
      <c r="L3001" s="9">
        <v>398.0</v>
      </c>
      <c r="M3001" s="9" t="s">
        <v>24</v>
      </c>
      <c r="N3001" s="9" t="s">
        <v>624</v>
      </c>
      <c r="O3001" s="10">
        <v>3.5E7</v>
      </c>
      <c r="P3001" s="10">
        <f t="shared" si="2"/>
        <v>5687294</v>
      </c>
      <c r="Q3001" s="12">
        <f t="shared" si="3"/>
        <v>0</v>
      </c>
      <c r="R3001" s="9">
        <v>2008.0</v>
      </c>
      <c r="S3001" s="9">
        <v>5.4</v>
      </c>
    </row>
    <row r="3002" ht="15.75" customHeight="1">
      <c r="A3002" s="21" t="s">
        <v>4451</v>
      </c>
      <c r="B3002" s="8" t="str">
        <f>IFERROR(__xludf.DUMMYFUNCTION("REGEXREPLACE(A3002, ""[^0-9a-zA-Z .'Ã]"","""")"),"Nancy Meyers")</f>
        <v>Nancy Meyers</v>
      </c>
      <c r="C3002" s="22">
        <v>187.0</v>
      </c>
      <c r="D3002" s="23">
        <v>1.1270347E8</v>
      </c>
      <c r="E3002" s="22" t="s">
        <v>159</v>
      </c>
      <c r="F3002" s="9">
        <f t="shared" si="1"/>
        <v>3</v>
      </c>
      <c r="G3002" s="22" t="s">
        <v>1941</v>
      </c>
      <c r="H3002" s="11" t="str">
        <f>IFERROR(__xludf.DUMMYFUNCTION("REGEXREPLACE(G3002, ""[^0-9a-zA-Z .'Ã]"","""")"),"Meryl Streep")</f>
        <v>Meryl Streep</v>
      </c>
      <c r="I3002" s="24" t="s">
        <v>9515</v>
      </c>
      <c r="J3002" s="22">
        <v>69860.0</v>
      </c>
      <c r="K3002" s="22" t="s">
        <v>9516</v>
      </c>
      <c r="L3002" s="22">
        <v>214.0</v>
      </c>
      <c r="M3002" s="22" t="s">
        <v>24</v>
      </c>
      <c r="N3002" s="22" t="s">
        <v>25</v>
      </c>
      <c r="O3002" s="23">
        <v>8.5E7</v>
      </c>
      <c r="P3002" s="10">
        <f t="shared" si="2"/>
        <v>27703470</v>
      </c>
      <c r="Q3002" s="12">
        <f t="shared" si="3"/>
        <v>0</v>
      </c>
      <c r="R3002" s="22">
        <v>2009.0</v>
      </c>
      <c r="S3002" s="22">
        <v>6.6</v>
      </c>
    </row>
    <row r="3003" ht="15.75" customHeight="1">
      <c r="A3003" s="25" t="s">
        <v>1332</v>
      </c>
      <c r="B3003" s="8" t="str">
        <f>IFERROR(__xludf.DUMMYFUNCTION("REGEXREPLACE(A3003, ""[^0-9a-zA-Z .'Ã]"","""")"),"Kirk Jones")</f>
        <v>Kirk Jones</v>
      </c>
      <c r="C3003" s="26">
        <v>94.0</v>
      </c>
      <c r="D3003" s="27">
        <v>2.4788807E7</v>
      </c>
      <c r="E3003" s="26" t="s">
        <v>137</v>
      </c>
      <c r="F3003" s="9">
        <f t="shared" si="1"/>
        <v>1</v>
      </c>
      <c r="G3003" s="26" t="s">
        <v>1611</v>
      </c>
      <c r="H3003" s="11" t="str">
        <f>IFERROR(__xludf.DUMMYFUNCTION("REGEXREPLACE(G3003, ""[^0-9a-zA-Z .'Ã]"","""")"),"James Nesbitt")</f>
        <v>James Nesbitt</v>
      </c>
      <c r="I3003" s="28" t="s">
        <v>9517</v>
      </c>
      <c r="J3003" s="26">
        <v>21245.0</v>
      </c>
      <c r="K3003" s="26" t="s">
        <v>9518</v>
      </c>
      <c r="L3003" s="26">
        <v>213.0</v>
      </c>
      <c r="M3003" s="26" t="s">
        <v>24</v>
      </c>
      <c r="N3003" s="26" t="s">
        <v>130</v>
      </c>
      <c r="O3003" s="27">
        <v>3000000.0</v>
      </c>
      <c r="P3003" s="10">
        <f t="shared" si="2"/>
        <v>21788807</v>
      </c>
      <c r="Q3003" s="12">
        <f t="shared" si="3"/>
        <v>0</v>
      </c>
      <c r="R3003" s="26">
        <v>1998.0</v>
      </c>
      <c r="S3003" s="26">
        <v>7.4</v>
      </c>
    </row>
    <row r="3004" ht="15.75" customHeight="1">
      <c r="A3004" s="13" t="s">
        <v>426</v>
      </c>
      <c r="B3004" s="8" t="str">
        <f>IFERROR(__xludf.DUMMYFUNCTION("REGEXREPLACE(A3004, ""[^0-9a-zA-Z .'Ã]"","""")"),"Martin Campbell")</f>
        <v>Martin Campbell</v>
      </c>
      <c r="C3004" s="14">
        <v>137.0</v>
      </c>
      <c r="D3004" s="15">
        <v>4.5356386E7</v>
      </c>
      <c r="E3004" s="14" t="s">
        <v>4155</v>
      </c>
      <c r="F3004" s="9">
        <f t="shared" si="1"/>
        <v>3</v>
      </c>
      <c r="G3004" s="14" t="s">
        <v>7191</v>
      </c>
      <c r="H3004" s="11" t="str">
        <f>IFERROR(__xludf.DUMMYFUNCTION("REGEXREPLACE(G3004, ""[^0-9a-zA-Z .'Ã]"","""")"),"Michael Emerson")</f>
        <v>Michael Emerson</v>
      </c>
      <c r="I3004" s="16" t="s">
        <v>9519</v>
      </c>
      <c r="J3004" s="14">
        <v>71574.0</v>
      </c>
      <c r="K3004" s="14" t="s">
        <v>9520</v>
      </c>
      <c r="L3004" s="14">
        <v>244.0</v>
      </c>
      <c r="M3004" s="14" t="s">
        <v>1553</v>
      </c>
      <c r="N3004" s="14" t="s">
        <v>25</v>
      </c>
      <c r="O3004" s="15">
        <v>7.5E7</v>
      </c>
      <c r="P3004" s="10">
        <f t="shared" si="2"/>
        <v>0</v>
      </c>
      <c r="Q3004" s="12">
        <f t="shared" si="3"/>
        <v>29643614</v>
      </c>
      <c r="R3004" s="14">
        <v>2005.0</v>
      </c>
      <c r="S3004" s="14">
        <v>5.9</v>
      </c>
    </row>
    <row r="3005" ht="15.75" customHeight="1">
      <c r="A3005" s="25" t="s">
        <v>9521</v>
      </c>
      <c r="B3005" s="8" t="str">
        <f>IFERROR(__xludf.DUMMYFUNCTION("REGEXREPLACE(A3005, ""[^0-9a-zA-Z .'Ã]"","""")"),"Christian E. Christiansen")</f>
        <v>Christian E. Christiansen</v>
      </c>
      <c r="C3005" s="26">
        <v>138.0</v>
      </c>
      <c r="D3005" s="27">
        <v>3.7300107E7</v>
      </c>
      <c r="E3005" s="26" t="s">
        <v>1840</v>
      </c>
      <c r="F3005" s="9">
        <f t="shared" si="1"/>
        <v>3</v>
      </c>
      <c r="G3005" s="26" t="s">
        <v>7378</v>
      </c>
      <c r="H3005" s="11" t="str">
        <f>IFERROR(__xludf.DUMMYFUNCTION("REGEXREPLACE(G3005, ""[^0-9a-zA-Z .'Ã]"","""")"),"Leighton Meester")</f>
        <v>Leighton Meester</v>
      </c>
      <c r="I3005" s="28" t="s">
        <v>9522</v>
      </c>
      <c r="J3005" s="26">
        <v>29147.0</v>
      </c>
      <c r="K3005" s="26" t="s">
        <v>9523</v>
      </c>
      <c r="L3005" s="26">
        <v>115.0</v>
      </c>
      <c r="M3005" s="26" t="s">
        <v>24</v>
      </c>
      <c r="N3005" s="26" t="s">
        <v>25</v>
      </c>
      <c r="O3005" s="27">
        <v>1.6E7</v>
      </c>
      <c r="P3005" s="10">
        <f t="shared" si="2"/>
        <v>21300107</v>
      </c>
      <c r="Q3005" s="12">
        <f t="shared" si="3"/>
        <v>0</v>
      </c>
      <c r="R3005" s="26">
        <v>2011.0</v>
      </c>
      <c r="S3005" s="26">
        <v>4.8</v>
      </c>
    </row>
    <row r="3006" ht="15.75" customHeight="1">
      <c r="A3006" s="29" t="s">
        <v>1868</v>
      </c>
      <c r="B3006" s="8" t="str">
        <f>IFERROR(__xludf.DUMMYFUNCTION("REGEXREPLACE(A3006, ""[^0-9a-zA-Z .'Ã]"","""")"),"Brett Ratner")</f>
        <v>Brett Ratner</v>
      </c>
      <c r="C3006" s="30">
        <v>121.0</v>
      </c>
      <c r="D3006" s="31">
        <v>7.5764085E7</v>
      </c>
      <c r="E3006" s="30" t="s">
        <v>59</v>
      </c>
      <c r="F3006" s="9">
        <f t="shared" si="1"/>
        <v>4</v>
      </c>
      <c r="G3006" s="30" t="s">
        <v>458</v>
      </c>
      <c r="H3006" s="11" t="str">
        <f>IFERROR(__xludf.DUMMYFUNCTION("REGEXREPLACE(G3006, ""[^0-9a-zA-Z .'Ã]"","""")"),"Nicolas Cage")</f>
        <v>Nicolas Cage</v>
      </c>
      <c r="I3006" s="32" t="s">
        <v>9524</v>
      </c>
      <c r="J3006" s="30">
        <v>85844.0</v>
      </c>
      <c r="K3006" s="30" t="s">
        <v>9525</v>
      </c>
      <c r="L3006" s="30">
        <v>322.0</v>
      </c>
      <c r="M3006" s="30" t="s">
        <v>24</v>
      </c>
      <c r="N3006" s="30" t="s">
        <v>25</v>
      </c>
      <c r="O3006" s="31">
        <v>6.0E7</v>
      </c>
      <c r="P3006" s="10">
        <f t="shared" si="2"/>
        <v>15764085</v>
      </c>
      <c r="Q3006" s="12">
        <f t="shared" si="3"/>
        <v>0</v>
      </c>
      <c r="R3006" s="30">
        <v>2000.0</v>
      </c>
      <c r="S3006" s="30">
        <v>6.7</v>
      </c>
    </row>
    <row r="3007" ht="15.75" customHeight="1">
      <c r="A3007" s="7" t="s">
        <v>9526</v>
      </c>
      <c r="B3007" s="8" t="str">
        <f>IFERROR(__xludf.DUMMYFUNCTION("REGEXREPLACE(A3007, ""[^0-9a-zA-Z .'Ã]"","""")"),"Hans Petter Moland")</f>
        <v>Hans Petter Moland</v>
      </c>
      <c r="C3007" s="9">
        <v>28.0</v>
      </c>
      <c r="D3007" s="10">
        <v>64148.0</v>
      </c>
      <c r="E3007" s="9" t="s">
        <v>103</v>
      </c>
      <c r="F3007" s="9">
        <f t="shared" si="1"/>
        <v>1</v>
      </c>
      <c r="G3007" s="9" t="s">
        <v>5162</v>
      </c>
      <c r="H3007" s="11" t="str">
        <f>IFERROR(__xludf.DUMMYFUNCTION("REGEXREPLACE(G3007, ""[^0-9a-zA-Z .'Ã]"","""")"),"Charlotte Rampling")</f>
        <v>Charlotte Rampling</v>
      </c>
      <c r="I3007" s="11" t="s">
        <v>9527</v>
      </c>
      <c r="J3007" s="9">
        <v>2601.0</v>
      </c>
      <c r="K3007" s="9" t="s">
        <v>9528</v>
      </c>
      <c r="L3007" s="9">
        <v>35.0</v>
      </c>
      <c r="M3007" s="9" t="s">
        <v>24</v>
      </c>
      <c r="N3007" s="9" t="s">
        <v>130</v>
      </c>
      <c r="O3007" s="10">
        <v>6500000.0</v>
      </c>
      <c r="P3007" s="10">
        <f t="shared" si="2"/>
        <v>0</v>
      </c>
      <c r="Q3007" s="12">
        <f t="shared" si="3"/>
        <v>6435852</v>
      </c>
      <c r="R3007" s="9">
        <v>2000.0</v>
      </c>
      <c r="S3007" s="9">
        <v>7.3</v>
      </c>
    </row>
    <row r="3008" ht="15.75" customHeight="1">
      <c r="A3008" s="7" t="s">
        <v>1740</v>
      </c>
      <c r="B3008" s="8" t="str">
        <f>IFERROR(__xludf.DUMMYFUNCTION("REGEXREPLACE(A3008, ""[^0-9a-zA-Z .'Ã]"","""")"),"Woody Allen")</f>
        <v>Woody Allen</v>
      </c>
      <c r="C3008" s="9">
        <v>154.0</v>
      </c>
      <c r="D3008" s="10">
        <v>3.92E7</v>
      </c>
      <c r="E3008" s="9" t="s">
        <v>89</v>
      </c>
      <c r="F3008" s="9">
        <f t="shared" si="1"/>
        <v>2</v>
      </c>
      <c r="G3008" s="9" t="s">
        <v>1740</v>
      </c>
      <c r="H3008" s="11" t="str">
        <f>IFERROR(__xludf.DUMMYFUNCTION("REGEXREPLACE(G3008, ""[^0-9a-zA-Z .'Ã]"","""")"),"Woody Allen")</f>
        <v>Woody Allen</v>
      </c>
      <c r="I3008" s="11" t="s">
        <v>9529</v>
      </c>
      <c r="J3008" s="9">
        <v>192940.0</v>
      </c>
      <c r="K3008" s="9" t="s">
        <v>9530</v>
      </c>
      <c r="L3008" s="9">
        <v>491.0</v>
      </c>
      <c r="M3008" s="9" t="s">
        <v>24</v>
      </c>
      <c r="N3008" s="9" t="s">
        <v>25</v>
      </c>
      <c r="O3008" s="10">
        <v>4000000.0</v>
      </c>
      <c r="P3008" s="10">
        <f t="shared" si="2"/>
        <v>35200000</v>
      </c>
      <c r="Q3008" s="12">
        <f t="shared" si="3"/>
        <v>0</v>
      </c>
      <c r="R3008" s="9">
        <v>1977.0</v>
      </c>
      <c r="S3008" s="9">
        <v>8.1</v>
      </c>
    </row>
    <row r="3009" ht="15.75" customHeight="1">
      <c r="A3009" s="29" t="s">
        <v>2363</v>
      </c>
      <c r="B3009" s="8" t="str">
        <f>IFERROR(__xludf.DUMMYFUNCTION("REGEXREPLACE(A3009, ""[^0-9a-zA-Z .'Ã]"","""")"),"Stephen Sommers")</f>
        <v>Stephen Sommers</v>
      </c>
      <c r="C3009" s="30">
        <v>106.0</v>
      </c>
      <c r="D3009" s="31">
        <v>1.1146409E7</v>
      </c>
      <c r="E3009" s="30" t="s">
        <v>4528</v>
      </c>
      <c r="F3009" s="9">
        <f t="shared" si="1"/>
        <v>4</v>
      </c>
      <c r="G3009" s="30" t="s">
        <v>2785</v>
      </c>
      <c r="H3009" s="11" t="str">
        <f>IFERROR(__xludf.DUMMYFUNCTION("REGEXREPLACE(G3009, ""[^0-9a-zA-Z .'Ã]"","""")"),"Djimon Hounsou")</f>
        <v>Djimon Hounsou</v>
      </c>
      <c r="I3009" s="32" t="s">
        <v>9531</v>
      </c>
      <c r="J3009" s="30">
        <v>26551.0</v>
      </c>
      <c r="K3009" s="30" t="s">
        <v>9532</v>
      </c>
      <c r="L3009" s="30">
        <v>273.0</v>
      </c>
      <c r="M3009" s="30" t="s">
        <v>24</v>
      </c>
      <c r="N3009" s="30" t="s">
        <v>25</v>
      </c>
      <c r="O3009" s="31">
        <v>4.5E7</v>
      </c>
      <c r="P3009" s="10">
        <f t="shared" si="2"/>
        <v>0</v>
      </c>
      <c r="Q3009" s="12">
        <f t="shared" si="3"/>
        <v>33853591</v>
      </c>
      <c r="R3009" s="30">
        <v>1998.0</v>
      </c>
      <c r="S3009" s="30">
        <v>6.0</v>
      </c>
    </row>
    <row r="3010" ht="15.75" customHeight="1">
      <c r="A3010" s="29" t="s">
        <v>179</v>
      </c>
      <c r="B3010" s="8" t="str">
        <f>IFERROR(__xludf.DUMMYFUNCTION("REGEXREPLACE(A3010, ""[^0-9a-zA-Z .'Ã]"","""")"),"Tim Burton")</f>
        <v>Tim Burton</v>
      </c>
      <c r="C3010" s="30">
        <v>267.0</v>
      </c>
      <c r="D3010" s="31">
        <v>5.3337608E7</v>
      </c>
      <c r="E3010" s="30" t="s">
        <v>9533</v>
      </c>
      <c r="F3010" s="9">
        <f t="shared" si="1"/>
        <v>6</v>
      </c>
      <c r="G3010" s="30" t="s">
        <v>85</v>
      </c>
      <c r="H3010" s="11" t="str">
        <f>IFERROR(__xludf.DUMMYFUNCTION("REGEXREPLACE(G3010, ""[^0-9a-zA-Z .'Ã]"","""")"),"Johnny Depp")</f>
        <v>Johnny Depp</v>
      </c>
      <c r="I3010" s="32" t="s">
        <v>9534</v>
      </c>
      <c r="J3010" s="30">
        <v>188785.0</v>
      </c>
      <c r="K3010" s="30" t="s">
        <v>9535</v>
      </c>
      <c r="L3010" s="30">
        <v>467.0</v>
      </c>
      <c r="M3010" s="30" t="s">
        <v>24</v>
      </c>
      <c r="N3010" s="30" t="s">
        <v>25</v>
      </c>
      <c r="O3010" s="31">
        <v>4.0E7</v>
      </c>
      <c r="P3010" s="10">
        <f t="shared" si="2"/>
        <v>13337608</v>
      </c>
      <c r="Q3010" s="12">
        <f t="shared" si="3"/>
        <v>0</v>
      </c>
      <c r="R3010" s="30">
        <v>2005.0</v>
      </c>
      <c r="S3010" s="30">
        <v>7.4</v>
      </c>
    </row>
    <row r="3011" ht="15.75" customHeight="1">
      <c r="A3011" s="7" t="s">
        <v>1458</v>
      </c>
      <c r="B3011" s="8" t="str">
        <f>IFERROR(__xludf.DUMMYFUNCTION("REGEXREPLACE(A3011, ""[^0-9a-zA-Z .'Ã]"","""")"),"Bobby Farrelly")</f>
        <v>Bobby Farrelly</v>
      </c>
      <c r="C3011" s="9">
        <v>62.0</v>
      </c>
      <c r="D3011" s="10">
        <v>2.4944213E7</v>
      </c>
      <c r="E3011" s="9" t="s">
        <v>3398</v>
      </c>
      <c r="F3011" s="9">
        <f t="shared" si="1"/>
        <v>2</v>
      </c>
      <c r="G3011" s="9" t="s">
        <v>470</v>
      </c>
      <c r="H3011" s="11" t="str">
        <f>IFERROR(__xludf.DUMMYFUNCTION("REGEXREPLACE(G3011, ""[^0-9a-zA-Z .'Ã]"","""")"),"Bill Murray")</f>
        <v>Bill Murray</v>
      </c>
      <c r="I3011" s="11" t="s">
        <v>9536</v>
      </c>
      <c r="J3011" s="9">
        <v>63459.0</v>
      </c>
      <c r="K3011" s="9" t="s">
        <v>9537</v>
      </c>
      <c r="L3011" s="9">
        <v>185.0</v>
      </c>
      <c r="M3011" s="9" t="s">
        <v>24</v>
      </c>
      <c r="N3011" s="9" t="s">
        <v>25</v>
      </c>
      <c r="O3011" s="10">
        <v>2.7E7</v>
      </c>
      <c r="P3011" s="10">
        <f t="shared" si="2"/>
        <v>0</v>
      </c>
      <c r="Q3011" s="12">
        <f t="shared" si="3"/>
        <v>2055787</v>
      </c>
      <c r="R3011" s="9">
        <v>1996.0</v>
      </c>
      <c r="S3011" s="9">
        <v>6.9</v>
      </c>
    </row>
    <row r="3012" ht="15.75" customHeight="1">
      <c r="A3012" s="13" t="s">
        <v>9538</v>
      </c>
      <c r="B3012" s="8" t="str">
        <f>IFERROR(__xludf.DUMMYFUNCTION("REGEXREPLACE(A3012, ""[^0-9a-zA-Z .'Ã]"","""")"),"John Cameron Mitchell")</f>
        <v>John Cameron Mitchell</v>
      </c>
      <c r="C3012" s="14">
        <v>248.0</v>
      </c>
      <c r="D3012" s="15">
        <v>2221809.0</v>
      </c>
      <c r="E3012" s="14" t="s">
        <v>103</v>
      </c>
      <c r="F3012" s="9">
        <f t="shared" si="1"/>
        <v>1</v>
      </c>
      <c r="G3012" s="14" t="s">
        <v>2238</v>
      </c>
      <c r="H3012" s="11" t="str">
        <f>IFERROR(__xludf.DUMMYFUNCTION("REGEXREPLACE(G3012, ""[^0-9a-zA-Z .'Ã]"","""")"),"Dianne Wiest")</f>
        <v>Dianne Wiest</v>
      </c>
      <c r="I3012" s="16" t="s">
        <v>9539</v>
      </c>
      <c r="J3012" s="14">
        <v>40618.0</v>
      </c>
      <c r="K3012" s="14" t="s">
        <v>9540</v>
      </c>
      <c r="L3012" s="14">
        <v>144.0</v>
      </c>
      <c r="M3012" s="14" t="s">
        <v>24</v>
      </c>
      <c r="N3012" s="14" t="s">
        <v>25</v>
      </c>
      <c r="O3012" s="15">
        <v>5000000.0</v>
      </c>
      <c r="P3012" s="10">
        <f t="shared" si="2"/>
        <v>0</v>
      </c>
      <c r="Q3012" s="12">
        <f t="shared" si="3"/>
        <v>2778191</v>
      </c>
      <c r="R3012" s="14">
        <v>2010.0</v>
      </c>
      <c r="S3012" s="14">
        <v>7.0</v>
      </c>
    </row>
    <row r="3013" ht="15.75" customHeight="1">
      <c r="A3013" s="21" t="s">
        <v>1291</v>
      </c>
      <c r="B3013" s="8" t="str">
        <f>IFERROR(__xludf.DUMMYFUNCTION("REGEXREPLACE(A3013, ""[^0-9a-zA-Z .'Ã]"","""")"),"John Whitesell")</f>
        <v>John Whitesell</v>
      </c>
      <c r="C3013" s="22">
        <v>51.0</v>
      </c>
      <c r="D3013" s="23">
        <v>3.3357476E7</v>
      </c>
      <c r="E3013" s="22" t="s">
        <v>9541</v>
      </c>
      <c r="F3013" s="9">
        <f t="shared" si="1"/>
        <v>4</v>
      </c>
      <c r="G3013" s="22" t="s">
        <v>1661</v>
      </c>
      <c r="H3013" s="11" t="str">
        <f>IFERROR(__xludf.DUMMYFUNCTION("REGEXREPLACE(G3013, ""[^0-9a-zA-Z .'Ã]"","""")"),"Leslie Bibb")</f>
        <v>Leslie Bibb</v>
      </c>
      <c r="I3013" s="24" t="s">
        <v>9542</v>
      </c>
      <c r="J3013" s="22">
        <v>7392.0</v>
      </c>
      <c r="K3013" s="22" t="s">
        <v>9543</v>
      </c>
      <c r="L3013" s="22">
        <v>53.0</v>
      </c>
      <c r="M3013" s="22" t="s">
        <v>24</v>
      </c>
      <c r="N3013" s="22" t="s">
        <v>25</v>
      </c>
      <c r="O3013" s="23">
        <v>3.5E7</v>
      </c>
      <c r="P3013" s="10">
        <f t="shared" si="2"/>
        <v>0</v>
      </c>
      <c r="Q3013" s="12">
        <f t="shared" si="3"/>
        <v>1642524</v>
      </c>
      <c r="R3013" s="22">
        <v>2001.0</v>
      </c>
      <c r="S3013" s="22">
        <v>5.4</v>
      </c>
    </row>
    <row r="3014" ht="15.75" customHeight="1">
      <c r="A3014" s="17" t="s">
        <v>1123</v>
      </c>
      <c r="B3014" s="8" t="str">
        <f>IFERROR(__xludf.DUMMYFUNCTION("REGEXREPLACE(A3014, ""[^0-9a-zA-Z .'Ã]"","""")"),"Ron Howard")</f>
        <v>Ron Howard</v>
      </c>
      <c r="C3014" s="18">
        <v>79.0</v>
      </c>
      <c r="D3014" s="19">
        <v>1.36448821E8</v>
      </c>
      <c r="E3014" s="18" t="s">
        <v>316</v>
      </c>
      <c r="F3014" s="9">
        <f t="shared" si="1"/>
        <v>2</v>
      </c>
      <c r="G3014" s="18" t="s">
        <v>9544</v>
      </c>
      <c r="H3014" s="11" t="str">
        <f>IFERROR(__xludf.DUMMYFUNCTION("REGEXREPLACE(G3014, ""[^0-9a-zA-Z .'Ã]"","""")"),"Lili Taylor")</f>
        <v>Lili Taylor</v>
      </c>
      <c r="I3014" s="20" t="s">
        <v>9545</v>
      </c>
      <c r="J3014" s="18">
        <v>98989.0</v>
      </c>
      <c r="K3014" s="18" t="s">
        <v>9546</v>
      </c>
      <c r="L3014" s="18">
        <v>158.0</v>
      </c>
      <c r="M3014" s="18" t="s">
        <v>24</v>
      </c>
      <c r="N3014" s="18" t="s">
        <v>25</v>
      </c>
      <c r="O3014" s="19">
        <v>8.0E7</v>
      </c>
      <c r="P3014" s="10">
        <f t="shared" si="2"/>
        <v>56448821</v>
      </c>
      <c r="Q3014" s="12">
        <f t="shared" si="3"/>
        <v>0</v>
      </c>
      <c r="R3014" s="18">
        <v>1996.0</v>
      </c>
      <c r="S3014" s="18">
        <v>6.6</v>
      </c>
    </row>
    <row r="3015" ht="15.75" customHeight="1">
      <c r="A3015" s="7" t="s">
        <v>1537</v>
      </c>
      <c r="B3015" s="8" t="str">
        <f>IFERROR(__xludf.DUMMYFUNCTION("REGEXREPLACE(A3015, ""[^0-9a-zA-Z .'Ã]"","""")"),"Tim Blake Nelson")</f>
        <v>Tim Blake Nelson</v>
      </c>
      <c r="C3015" s="9">
        <v>92.0</v>
      </c>
      <c r="D3015" s="10">
        <v>1.6017403E7</v>
      </c>
      <c r="E3015" s="9" t="s">
        <v>1854</v>
      </c>
      <c r="F3015" s="9">
        <f t="shared" si="1"/>
        <v>3</v>
      </c>
      <c r="G3015" s="9" t="s">
        <v>3176</v>
      </c>
      <c r="H3015" s="11" t="str">
        <f>IFERROR(__xludf.DUMMYFUNCTION("REGEXREPLACE(G3015, ""[^0-9a-zA-Z .'Ã]"","""")"),"Mekhi Phifer")</f>
        <v>Mekhi Phifer</v>
      </c>
      <c r="I3015" s="11" t="s">
        <v>9547</v>
      </c>
      <c r="J3015" s="9">
        <v>17333.0</v>
      </c>
      <c r="K3015" s="9" t="s">
        <v>9548</v>
      </c>
      <c r="L3015" s="9">
        <v>153.0</v>
      </c>
      <c r="M3015" s="9" t="s">
        <v>24</v>
      </c>
      <c r="N3015" s="9" t="s">
        <v>25</v>
      </c>
      <c r="O3015" s="10">
        <v>5000000.0</v>
      </c>
      <c r="P3015" s="10">
        <f t="shared" si="2"/>
        <v>11017403</v>
      </c>
      <c r="Q3015" s="12">
        <f t="shared" si="3"/>
        <v>0</v>
      </c>
      <c r="R3015" s="9">
        <v>2001.0</v>
      </c>
      <c r="S3015" s="9">
        <v>6.2</v>
      </c>
    </row>
    <row r="3016" ht="15.75" customHeight="1">
      <c r="A3016" s="13" t="s">
        <v>9549</v>
      </c>
      <c r="B3016" s="8" t="str">
        <f>IFERROR(__xludf.DUMMYFUNCTION("REGEXREPLACE(A3016, ""[^0-9a-zA-Z .'Ã]"","""")"),"Robert Towne")</f>
        <v>Robert Towne</v>
      </c>
      <c r="C3016" s="14">
        <v>28.0</v>
      </c>
      <c r="D3016" s="15">
        <v>777423.0</v>
      </c>
      <c r="E3016" s="14" t="s">
        <v>1124</v>
      </c>
      <c r="F3016" s="9">
        <f t="shared" si="1"/>
        <v>3</v>
      </c>
      <c r="G3016" s="14" t="s">
        <v>1360</v>
      </c>
      <c r="H3016" s="11" t="str">
        <f>IFERROR(__xludf.DUMMYFUNCTION("REGEXREPLACE(G3016, ""[^0-9a-zA-Z .'Ã]"","""")"),"Billy Burke")</f>
        <v>Billy Burke</v>
      </c>
      <c r="I3016" s="16" t="s">
        <v>9550</v>
      </c>
      <c r="J3016" s="14">
        <v>5841.0</v>
      </c>
      <c r="K3016" s="14" t="s">
        <v>9551</v>
      </c>
      <c r="L3016" s="14">
        <v>57.0</v>
      </c>
      <c r="M3016" s="14" t="s">
        <v>24</v>
      </c>
      <c r="N3016" s="14" t="s">
        <v>25</v>
      </c>
      <c r="O3016" s="15">
        <v>2.5E7</v>
      </c>
      <c r="P3016" s="10">
        <f t="shared" si="2"/>
        <v>0</v>
      </c>
      <c r="Q3016" s="12">
        <f t="shared" si="3"/>
        <v>24222577</v>
      </c>
      <c r="R3016" s="14">
        <v>1998.0</v>
      </c>
      <c r="S3016" s="14">
        <v>7.2</v>
      </c>
    </row>
    <row r="3017" ht="15.75" customHeight="1">
      <c r="A3017" s="7" t="s">
        <v>1314</v>
      </c>
      <c r="B3017" s="8" t="str">
        <f>IFERROR(__xludf.DUMMYFUNCTION("REGEXREPLACE(A3017, ""[^0-9a-zA-Z .'Ã]"","""")"),"Bryan Singer")</f>
        <v>Bryan Singer</v>
      </c>
      <c r="C3017" s="9">
        <v>434.0</v>
      </c>
      <c r="D3017" s="10">
        <v>2.00069408E8</v>
      </c>
      <c r="E3017" s="9" t="s">
        <v>185</v>
      </c>
      <c r="F3017" s="9">
        <f t="shared" si="1"/>
        <v>3</v>
      </c>
      <c r="G3017" s="9" t="s">
        <v>483</v>
      </c>
      <c r="H3017" s="11" t="str">
        <f>IFERROR(__xludf.DUMMYFUNCTION("REGEXREPLACE(G3017, ""[^0-9a-zA-Z .'Ã]"","""")"),"Kevin Spacey")</f>
        <v>Kevin Spacey</v>
      </c>
      <c r="I3017" s="11" t="s">
        <v>9552</v>
      </c>
      <c r="J3017" s="9">
        <v>240396.0</v>
      </c>
      <c r="K3017" s="9" t="s">
        <v>9553</v>
      </c>
      <c r="L3017" s="9">
        <v>2367.0</v>
      </c>
      <c r="M3017" s="9" t="s">
        <v>24</v>
      </c>
      <c r="N3017" s="9" t="s">
        <v>25</v>
      </c>
      <c r="O3017" s="10">
        <v>2.09E8</v>
      </c>
      <c r="P3017" s="10">
        <f t="shared" si="2"/>
        <v>0</v>
      </c>
      <c r="Q3017" s="12">
        <f t="shared" si="3"/>
        <v>8930592</v>
      </c>
      <c r="R3017" s="9">
        <v>2006.0</v>
      </c>
      <c r="S3017" s="9">
        <v>6.1</v>
      </c>
    </row>
    <row r="3018" ht="15.75" customHeight="1">
      <c r="A3018" s="21" t="s">
        <v>9554</v>
      </c>
      <c r="B3018" s="8" t="str">
        <f>IFERROR(__xludf.DUMMYFUNCTION("REGEXREPLACE(A3018, ""[^0-9a-zA-Z .'Ã]"","""")"),"Bernardo Bertolucci")</f>
        <v>Bernardo Bertolucci</v>
      </c>
      <c r="C3018" s="22">
        <v>75.0</v>
      </c>
      <c r="D3018" s="23">
        <v>4.398423E7</v>
      </c>
      <c r="E3018" s="22" t="s">
        <v>620</v>
      </c>
      <c r="F3018" s="9">
        <f t="shared" si="1"/>
        <v>3</v>
      </c>
      <c r="G3018" s="22" t="s">
        <v>143</v>
      </c>
      <c r="H3018" s="11" t="str">
        <f>IFERROR(__xludf.DUMMYFUNCTION("REGEXREPLACE(G3018, ""[^0-9a-zA-Z .'Ã]"","""")"),"CaryHiroyuki Tagawa")</f>
        <v>CaryHiroyuki Tagawa</v>
      </c>
      <c r="I3018" s="24" t="s">
        <v>9555</v>
      </c>
      <c r="J3018" s="22">
        <v>70274.0</v>
      </c>
      <c r="K3018" s="22" t="s">
        <v>9556</v>
      </c>
      <c r="L3018" s="22">
        <v>133.0</v>
      </c>
      <c r="M3018" s="22" t="s">
        <v>24</v>
      </c>
      <c r="N3018" s="22" t="s">
        <v>217</v>
      </c>
      <c r="O3018" s="23">
        <v>2.3E7</v>
      </c>
      <c r="P3018" s="10">
        <f t="shared" si="2"/>
        <v>20984230</v>
      </c>
      <c r="Q3018" s="12">
        <f t="shared" si="3"/>
        <v>0</v>
      </c>
      <c r="R3018" s="22">
        <v>1987.0</v>
      </c>
      <c r="S3018" s="22">
        <v>7.8</v>
      </c>
    </row>
    <row r="3019" ht="15.75" customHeight="1">
      <c r="A3019" s="7" t="s">
        <v>9557</v>
      </c>
      <c r="B3019" s="8" t="str">
        <f>IFERROR(__xludf.DUMMYFUNCTION("REGEXREPLACE(A3019, ""[^0-9a-zA-Z -.'Ã]"","""")"),"Gilles Paquet-Brenner")</f>
        <v>Gilles Paquet-Brenner</v>
      </c>
      <c r="C3019" s="9">
        <v>136.0</v>
      </c>
      <c r="D3019" s="10">
        <v>7691700.0</v>
      </c>
      <c r="E3019" s="9" t="s">
        <v>679</v>
      </c>
      <c r="F3019" s="9">
        <f t="shared" si="1"/>
        <v>2</v>
      </c>
      <c r="G3019" s="9" t="s">
        <v>1416</v>
      </c>
      <c r="H3019" s="11" t="str">
        <f>IFERROR(__xludf.DUMMYFUNCTION("REGEXREPLACE(G3019, ""[^0-9a-zA-Z .'Ã]"","""")"),"Kristin Scott Thomas")</f>
        <v>Kristin Scott Thomas</v>
      </c>
      <c r="I3019" s="11" t="s">
        <v>9558</v>
      </c>
      <c r="J3019" s="9">
        <v>12937.0</v>
      </c>
      <c r="K3019" s="9" t="s">
        <v>9559</v>
      </c>
      <c r="L3019" s="9">
        <v>73.0</v>
      </c>
      <c r="M3019" s="9" t="s">
        <v>658</v>
      </c>
      <c r="N3019" s="9" t="s">
        <v>608</v>
      </c>
      <c r="O3019" s="10">
        <v>1.0E7</v>
      </c>
      <c r="P3019" s="10">
        <f t="shared" si="2"/>
        <v>0</v>
      </c>
      <c r="Q3019" s="12">
        <f t="shared" si="3"/>
        <v>2308300</v>
      </c>
      <c r="R3019" s="9">
        <v>2010.0</v>
      </c>
      <c r="S3019" s="9">
        <v>7.5</v>
      </c>
    </row>
    <row r="3020" ht="15.75" customHeight="1">
      <c r="A3020" s="25" t="s">
        <v>9560</v>
      </c>
      <c r="B3020" s="8" t="str">
        <f>IFERROR(__xludf.DUMMYFUNCTION("REGEXREPLACE(A3020, ""[^0-9a-zA-Z .'Ã]"","""")"),"Walt Becker")</f>
        <v>Walt Becker</v>
      </c>
      <c r="C3020" s="26">
        <v>70.0</v>
      </c>
      <c r="D3020" s="27">
        <v>8.5884815E7</v>
      </c>
      <c r="E3020" s="26" t="s">
        <v>7501</v>
      </c>
      <c r="F3020" s="9">
        <f t="shared" si="1"/>
        <v>6</v>
      </c>
      <c r="G3020" s="26" t="s">
        <v>2548</v>
      </c>
      <c r="H3020" s="11" t="str">
        <f>IFERROR(__xludf.DUMMYFUNCTION("REGEXREPLACE(G3020, ""[^0-9a-zA-Z .'Ã]"","""")"),"Bella Thorne")</f>
        <v>Bella Thorne</v>
      </c>
      <c r="I3020" s="28" t="s">
        <v>9561</v>
      </c>
      <c r="J3020" s="26">
        <v>9418.0</v>
      </c>
      <c r="K3020" s="26" t="s">
        <v>9562</v>
      </c>
      <c r="L3020" s="26">
        <v>53.0</v>
      </c>
      <c r="M3020" s="26" t="s">
        <v>24</v>
      </c>
      <c r="N3020" s="26" t="s">
        <v>25</v>
      </c>
      <c r="O3020" s="27">
        <v>9.0E7</v>
      </c>
      <c r="P3020" s="10">
        <f t="shared" si="2"/>
        <v>0</v>
      </c>
      <c r="Q3020" s="12">
        <f t="shared" si="3"/>
        <v>4115185</v>
      </c>
      <c r="R3020" s="26">
        <v>2015.0</v>
      </c>
      <c r="S3020" s="26">
        <v>5.0</v>
      </c>
    </row>
    <row r="3021" ht="15.75" customHeight="1">
      <c r="A3021" s="29" t="s">
        <v>2312</v>
      </c>
      <c r="B3021" s="8" t="str">
        <f>IFERROR(__xludf.DUMMYFUNCTION("REGEXREPLACE(A3021, ""[^0-9a-zA-Z .'Ã]"","""")"),"John Singleton")</f>
        <v>John Singleton</v>
      </c>
      <c r="C3021" s="30">
        <v>64.0</v>
      </c>
      <c r="D3021" s="31">
        <v>5.7504069E7</v>
      </c>
      <c r="E3021" s="30" t="s">
        <v>54</v>
      </c>
      <c r="F3021" s="9">
        <f t="shared" si="1"/>
        <v>2</v>
      </c>
      <c r="G3021" s="30" t="s">
        <v>9563</v>
      </c>
      <c r="H3021" s="11" t="str">
        <f>IFERROR(__xludf.DUMMYFUNCTION("REGEXREPLACE(G3021, ""[^0-9a-zA-Z .'Ã]"","""")"),"John Cothran")</f>
        <v>John Cothran</v>
      </c>
      <c r="I3021" s="32" t="s">
        <v>9564</v>
      </c>
      <c r="J3021" s="30">
        <v>94139.0</v>
      </c>
      <c r="K3021" s="30" t="s">
        <v>9565</v>
      </c>
      <c r="L3021" s="30">
        <v>183.0</v>
      </c>
      <c r="M3021" s="30" t="s">
        <v>24</v>
      </c>
      <c r="N3021" s="30" t="s">
        <v>25</v>
      </c>
      <c r="O3021" s="31">
        <v>6000000.0</v>
      </c>
      <c r="P3021" s="10">
        <f t="shared" si="2"/>
        <v>51504069</v>
      </c>
      <c r="Q3021" s="12">
        <f t="shared" si="3"/>
        <v>0</v>
      </c>
      <c r="R3021" s="30">
        <v>1991.0</v>
      </c>
      <c r="S3021" s="30">
        <v>7.8</v>
      </c>
    </row>
    <row r="3022" ht="15.75" customHeight="1">
      <c r="A3022" s="7" t="s">
        <v>1454</v>
      </c>
      <c r="B3022" s="8" t="str">
        <f>IFERROR(__xludf.DUMMYFUNCTION("REGEXREPLACE(A3022, ""[^0-9a-zA-Z .'Ã]"","""")"),"Tom Shadyac")</f>
        <v>Tom Shadyac</v>
      </c>
      <c r="C3022" s="9">
        <v>191.0</v>
      </c>
      <c r="D3022" s="10">
        <v>2.4258958E8</v>
      </c>
      <c r="E3022" s="9" t="s">
        <v>454</v>
      </c>
      <c r="F3022" s="9">
        <f t="shared" si="1"/>
        <v>2</v>
      </c>
      <c r="G3022" s="9" t="s">
        <v>170</v>
      </c>
      <c r="H3022" s="11" t="str">
        <f>IFERROR(__xludf.DUMMYFUNCTION("REGEXREPLACE(G3022, ""[^0-9a-zA-Z .'Ã]"","""")"),"Morgan Freeman")</f>
        <v>Morgan Freeman</v>
      </c>
      <c r="I3022" s="11" t="s">
        <v>9566</v>
      </c>
      <c r="J3022" s="9">
        <v>296904.0</v>
      </c>
      <c r="K3022" s="9" t="s">
        <v>9567</v>
      </c>
      <c r="L3022" s="9">
        <v>604.0</v>
      </c>
      <c r="M3022" s="9" t="s">
        <v>24</v>
      </c>
      <c r="N3022" s="9" t="s">
        <v>25</v>
      </c>
      <c r="O3022" s="10">
        <v>8.1E7</v>
      </c>
      <c r="P3022" s="10">
        <f t="shared" si="2"/>
        <v>161589580</v>
      </c>
      <c r="Q3022" s="12">
        <f t="shared" si="3"/>
        <v>0</v>
      </c>
      <c r="R3022" s="9">
        <v>2003.0</v>
      </c>
      <c r="S3022" s="9">
        <v>6.7</v>
      </c>
    </row>
    <row r="3023" ht="15.75" customHeight="1">
      <c r="A3023" s="7" t="s">
        <v>583</v>
      </c>
      <c r="B3023" s="8" t="str">
        <f>IFERROR(__xludf.DUMMYFUNCTION("REGEXREPLACE(A3023, ""[^0-9a-zA-Z .'Ã]"","""")"),"Gus Van Sant")</f>
        <v>Gus Van Sant</v>
      </c>
      <c r="C3023" s="9">
        <v>324.0</v>
      </c>
      <c r="D3023" s="10">
        <v>3.1838002E7</v>
      </c>
      <c r="E3023" s="9" t="s">
        <v>620</v>
      </c>
      <c r="F3023" s="9">
        <f t="shared" si="1"/>
        <v>3</v>
      </c>
      <c r="G3023" s="9" t="s">
        <v>404</v>
      </c>
      <c r="H3023" s="11" t="str">
        <f>IFERROR(__xludf.DUMMYFUNCTION("REGEXREPLACE(G3023, ""[^0-9a-zA-Z .'Ã]"","""")"),"James Franco")</f>
        <v>James Franco</v>
      </c>
      <c r="I3023" s="11" t="s">
        <v>9568</v>
      </c>
      <c r="J3023" s="9">
        <v>136673.0</v>
      </c>
      <c r="K3023" s="9" t="s">
        <v>9569</v>
      </c>
      <c r="L3023" s="9">
        <v>281.0</v>
      </c>
      <c r="M3023" s="9" t="s">
        <v>24</v>
      </c>
      <c r="N3023" s="9" t="s">
        <v>25</v>
      </c>
      <c r="O3023" s="10">
        <v>2.0E7</v>
      </c>
      <c r="P3023" s="10">
        <f t="shared" si="2"/>
        <v>11838002</v>
      </c>
      <c r="Q3023" s="12">
        <f t="shared" si="3"/>
        <v>0</v>
      </c>
      <c r="R3023" s="9">
        <v>2008.0</v>
      </c>
      <c r="S3023" s="9">
        <v>7.6</v>
      </c>
    </row>
    <row r="3024" ht="15.75" customHeight="1">
      <c r="A3024" s="21" t="s">
        <v>924</v>
      </c>
      <c r="B3024" s="8" t="str">
        <f>IFERROR(__xludf.DUMMYFUNCTION("REGEXREPLACE(A3024, ""[^0-9a-zA-Z .'Ã]"","""")"),"Wolfgang Petersen")</f>
        <v>Wolfgang Petersen</v>
      </c>
      <c r="C3024" s="22">
        <v>96.0</v>
      </c>
      <c r="D3024" s="23">
        <v>1.1433134E7</v>
      </c>
      <c r="E3024" s="22" t="s">
        <v>9570</v>
      </c>
      <c r="F3024" s="9">
        <f t="shared" si="1"/>
        <v>4</v>
      </c>
      <c r="G3024" s="22" t="s">
        <v>9571</v>
      </c>
      <c r="H3024" s="11" t="str">
        <f>IFERROR(__xludf.DUMMYFUNCTION("REGEXREPLACE(G3024, ""[^0-9a-zA-Z .'Ã]"","""")"),"JÃrgen Prochnow")</f>
        <v>JÃrgen Prochnow</v>
      </c>
      <c r="I3024" s="24" t="s">
        <v>9572</v>
      </c>
      <c r="J3024" s="22">
        <v>168203.0</v>
      </c>
      <c r="K3024" s="22" t="s">
        <v>9573</v>
      </c>
      <c r="L3024" s="22">
        <v>426.0</v>
      </c>
      <c r="M3024" s="22" t="s">
        <v>1042</v>
      </c>
      <c r="N3024" s="22" t="s">
        <v>9574</v>
      </c>
      <c r="O3024" s="23">
        <v>1.4E7</v>
      </c>
      <c r="P3024" s="10">
        <f t="shared" si="2"/>
        <v>0</v>
      </c>
      <c r="Q3024" s="12">
        <f t="shared" si="3"/>
        <v>2566866</v>
      </c>
      <c r="R3024" s="22">
        <v>1981.0</v>
      </c>
      <c r="S3024" s="22">
        <v>8.4</v>
      </c>
    </row>
    <row r="3025" ht="15.75" customHeight="1">
      <c r="A3025" s="7" t="s">
        <v>4691</v>
      </c>
      <c r="B3025" s="8" t="str">
        <f>IFERROR(__xludf.DUMMYFUNCTION("REGEXREPLACE(A3025, ""[^0-9a-zA-Z .'Ã]"","""")"),"Richard Attenborough")</f>
        <v>Richard Attenborough</v>
      </c>
      <c r="C3025" s="9">
        <v>56.0</v>
      </c>
      <c r="D3025" s="10">
        <v>5.08E7</v>
      </c>
      <c r="E3025" s="9" t="s">
        <v>74</v>
      </c>
      <c r="F3025" s="9">
        <f t="shared" si="1"/>
        <v>3</v>
      </c>
      <c r="G3025" s="9" t="s">
        <v>9575</v>
      </c>
      <c r="H3025" s="11" t="str">
        <f>IFERROR(__xludf.DUMMYFUNCTION("REGEXREPLACE(G3025, ""[^0-9a-zA-Z .'Ã]"","""")"),"Ryan O'Neal")</f>
        <v>Ryan O'Neal</v>
      </c>
      <c r="I3025" s="11" t="s">
        <v>9576</v>
      </c>
      <c r="J3025" s="9">
        <v>40277.0</v>
      </c>
      <c r="K3025" s="9" t="s">
        <v>9577</v>
      </c>
      <c r="L3025" s="9">
        <v>210.0</v>
      </c>
      <c r="M3025" s="9" t="s">
        <v>24</v>
      </c>
      <c r="N3025" s="9" t="s">
        <v>25</v>
      </c>
      <c r="O3025" s="10">
        <v>2.6E7</v>
      </c>
      <c r="P3025" s="10">
        <f t="shared" si="2"/>
        <v>24800000</v>
      </c>
      <c r="Q3025" s="12">
        <f t="shared" si="3"/>
        <v>0</v>
      </c>
      <c r="R3025" s="9">
        <v>1977.0</v>
      </c>
      <c r="S3025" s="9">
        <v>7.4</v>
      </c>
    </row>
    <row r="3026" ht="15.75" customHeight="1">
      <c r="A3026" s="21" t="s">
        <v>9578</v>
      </c>
      <c r="B3026" s="8" t="str">
        <f>IFERROR(__xludf.DUMMYFUNCTION("REGEXREPLACE(A3026, ""[^0-9a-zA-Z .'Ã]"","""")"),"Paul Hunter")</f>
        <v>Paul Hunter</v>
      </c>
      <c r="C3026" s="22">
        <v>127.0</v>
      </c>
      <c r="D3026" s="23">
        <v>2.3020488E7</v>
      </c>
      <c r="E3026" s="22" t="s">
        <v>2450</v>
      </c>
      <c r="F3026" s="9">
        <f t="shared" si="1"/>
        <v>3</v>
      </c>
      <c r="G3026" s="22" t="s">
        <v>4851</v>
      </c>
      <c r="H3026" s="11" t="str">
        <f>IFERROR(__xludf.DUMMYFUNCTION("REGEXREPLACE(G3026, ""[^0-9a-zA-Z .'Ã]"","""")"),"Jaime King")</f>
        <v>Jaime King</v>
      </c>
      <c r="I3026" s="24" t="s">
        <v>9579</v>
      </c>
      <c r="J3026" s="22">
        <v>42324.0</v>
      </c>
      <c r="K3026" s="22" t="s">
        <v>9580</v>
      </c>
      <c r="L3026" s="22">
        <v>180.0</v>
      </c>
      <c r="M3026" s="22" t="s">
        <v>24</v>
      </c>
      <c r="N3026" s="22" t="s">
        <v>25</v>
      </c>
      <c r="O3026" s="23">
        <v>5.2E7</v>
      </c>
      <c r="P3026" s="10">
        <f t="shared" si="2"/>
        <v>0</v>
      </c>
      <c r="Q3026" s="12">
        <f t="shared" si="3"/>
        <v>28979512</v>
      </c>
      <c r="R3026" s="22">
        <v>2003.0</v>
      </c>
      <c r="S3026" s="22">
        <v>5.5</v>
      </c>
    </row>
    <row r="3027" ht="15.75" customHeight="1">
      <c r="A3027" s="29" t="s">
        <v>1591</v>
      </c>
      <c r="B3027" s="8" t="str">
        <f>IFERROR(__xludf.DUMMYFUNCTION("REGEXREPLACE(A3027, ""[^0-9a-zA-Z .'Ã]"","""")"),"Gary Fleder")</f>
        <v>Gary Fleder</v>
      </c>
      <c r="C3027" s="30">
        <v>86.0</v>
      </c>
      <c r="D3027" s="31">
        <v>9589875.0</v>
      </c>
      <c r="E3027" s="30" t="s">
        <v>1124</v>
      </c>
      <c r="F3027" s="9">
        <f t="shared" si="1"/>
        <v>3</v>
      </c>
      <c r="G3027" s="30" t="s">
        <v>45</v>
      </c>
      <c r="H3027" s="11" t="str">
        <f>IFERROR(__xludf.DUMMYFUNCTION("REGEXREPLACE(G3027, ""[^0-9a-zA-Z .'Ã]"","""")"),"Dennis Quaid")</f>
        <v>Dennis Quaid</v>
      </c>
      <c r="I3027" s="32" t="s">
        <v>9581</v>
      </c>
      <c r="J3027" s="30">
        <v>16673.0</v>
      </c>
      <c r="K3027" s="30" t="s">
        <v>9582</v>
      </c>
      <c r="L3027" s="30">
        <v>45.0</v>
      </c>
      <c r="M3027" s="30" t="s">
        <v>24</v>
      </c>
      <c r="N3027" s="30" t="s">
        <v>25</v>
      </c>
      <c r="O3027" s="31">
        <v>4.0E7</v>
      </c>
      <c r="P3027" s="10">
        <f t="shared" si="2"/>
        <v>0</v>
      </c>
      <c r="Q3027" s="12">
        <f t="shared" si="3"/>
        <v>30410125</v>
      </c>
      <c r="R3027" s="30">
        <v>2008.0</v>
      </c>
      <c r="S3027" s="30">
        <v>7.3</v>
      </c>
    </row>
    <row r="3028" ht="15.75" customHeight="1">
      <c r="A3028" s="21" t="s">
        <v>496</v>
      </c>
      <c r="B3028" s="8" t="str">
        <f>IFERROR(__xludf.DUMMYFUNCTION("REGEXREPLACE(A3028, ""[^0-9a-zA-Z .'Ã]"","""")"),"Fred Wolf")</f>
        <v>Fred Wolf</v>
      </c>
      <c r="C3028" s="22">
        <v>58.0</v>
      </c>
      <c r="D3028" s="23">
        <v>6563357.0</v>
      </c>
      <c r="E3028" s="22" t="s">
        <v>693</v>
      </c>
      <c r="F3028" s="9">
        <f t="shared" si="1"/>
        <v>2</v>
      </c>
      <c r="G3028" s="22" t="s">
        <v>9583</v>
      </c>
      <c r="H3028" s="11" t="str">
        <f>IFERROR(__xludf.DUMMYFUNCTION("REGEXREPLACE(G3028, ""[^0-9a-zA-Z .'Ã]"","""")"),"Kevin Alejandro")</f>
        <v>Kevin Alejandro</v>
      </c>
      <c r="I3028" s="24" t="s">
        <v>9584</v>
      </c>
      <c r="J3028" s="22">
        <v>18571.0</v>
      </c>
      <c r="K3028" s="22" t="s">
        <v>9585</v>
      </c>
      <c r="L3028" s="22">
        <v>120.0</v>
      </c>
      <c r="M3028" s="22" t="s">
        <v>24</v>
      </c>
      <c r="N3028" s="22" t="s">
        <v>25</v>
      </c>
      <c r="O3028" s="23">
        <v>2.0E7</v>
      </c>
      <c r="P3028" s="10">
        <f t="shared" si="2"/>
        <v>0</v>
      </c>
      <c r="Q3028" s="12">
        <f t="shared" si="3"/>
        <v>13436643</v>
      </c>
      <c r="R3028" s="22">
        <v>2008.0</v>
      </c>
      <c r="S3028" s="22">
        <v>5.3</v>
      </c>
    </row>
    <row r="3029" ht="15.75" customHeight="1">
      <c r="A3029" s="17" t="s">
        <v>6832</v>
      </c>
      <c r="B3029" s="8" t="str">
        <f>IFERROR(__xludf.DUMMYFUNCTION("REGEXREPLACE(A3029, ""[^0-9a-zA-Z .'Ã]"","""")"),"Tim Story")</f>
        <v>Tim Story</v>
      </c>
      <c r="C3029" s="18">
        <v>52.0</v>
      </c>
      <c r="D3029" s="19">
        <v>6.5182182E7</v>
      </c>
      <c r="E3029" s="18" t="s">
        <v>89</v>
      </c>
      <c r="F3029" s="9">
        <f t="shared" si="1"/>
        <v>2</v>
      </c>
      <c r="G3029" s="18" t="s">
        <v>3731</v>
      </c>
      <c r="H3029" s="11" t="str">
        <f>IFERROR(__xludf.DUMMYFUNCTION("REGEXREPLACE(G3029, ""[^0-9a-zA-Z .'Ã]"","""")"),"Romany Malco")</f>
        <v>Romany Malco</v>
      </c>
      <c r="I3029" s="20" t="s">
        <v>9586</v>
      </c>
      <c r="J3029" s="18">
        <v>15310.0</v>
      </c>
      <c r="K3029" s="18" t="s">
        <v>9587</v>
      </c>
      <c r="L3029" s="18">
        <v>38.0</v>
      </c>
      <c r="M3029" s="18" t="s">
        <v>24</v>
      </c>
      <c r="N3029" s="18" t="s">
        <v>25</v>
      </c>
      <c r="O3029" s="19">
        <v>2.4E7</v>
      </c>
      <c r="P3029" s="10">
        <f t="shared" si="2"/>
        <v>41182182</v>
      </c>
      <c r="Q3029" s="12">
        <f t="shared" si="3"/>
        <v>0</v>
      </c>
      <c r="R3029" s="18">
        <v>2014.0</v>
      </c>
      <c r="S3029" s="18">
        <v>5.7</v>
      </c>
    </row>
    <row r="3030" ht="15.75" customHeight="1">
      <c r="A3030" s="25" t="s">
        <v>9588</v>
      </c>
      <c r="B3030" s="8" t="str">
        <f>IFERROR(__xludf.DUMMYFUNCTION("REGEXREPLACE(A3030, ""[^0-9a-zA-Z .'Ã]"","""")"),"Nacho Vigalondo")</f>
        <v>Nacho Vigalondo</v>
      </c>
      <c r="C3030" s="26">
        <v>173.0</v>
      </c>
      <c r="D3030" s="27">
        <v>38108.0</v>
      </c>
      <c r="E3030" s="26" t="s">
        <v>1907</v>
      </c>
      <c r="F3030" s="9">
        <f t="shared" si="1"/>
        <v>4</v>
      </c>
      <c r="G3030" s="26" t="s">
        <v>9589</v>
      </c>
      <c r="H3030" s="11" t="str">
        <f>IFERROR(__xludf.DUMMYFUNCTION("REGEXREPLACE(G3030, ""[^0-9a-zA-Z .'Ã]"","""")"),"Karra Elejalde")</f>
        <v>Karra Elejalde</v>
      </c>
      <c r="I3030" s="28" t="s">
        <v>9590</v>
      </c>
      <c r="J3030" s="26">
        <v>40878.0</v>
      </c>
      <c r="K3030" s="26" t="s">
        <v>9591</v>
      </c>
      <c r="L3030" s="26">
        <v>124.0</v>
      </c>
      <c r="M3030" s="26" t="s">
        <v>1553</v>
      </c>
      <c r="N3030" s="26" t="s">
        <v>1108</v>
      </c>
      <c r="O3030" s="27">
        <v>2600000.0</v>
      </c>
      <c r="P3030" s="10">
        <f t="shared" si="2"/>
        <v>0</v>
      </c>
      <c r="Q3030" s="12">
        <f t="shared" si="3"/>
        <v>2561892</v>
      </c>
      <c r="R3030" s="26">
        <v>2007.0</v>
      </c>
      <c r="S3030" s="26">
        <v>7.2</v>
      </c>
    </row>
    <row r="3031" ht="15.75" customHeight="1">
      <c r="A3031" s="7" t="s">
        <v>3924</v>
      </c>
      <c r="B3031" s="8" t="str">
        <f>IFERROR(__xludf.DUMMYFUNCTION("REGEXREPLACE(A3031, ""[^0-9a-zA-Z .'Ã]"","""")"),"Chris Wedge")</f>
        <v>Chris Wedge</v>
      </c>
      <c r="C3031" s="9">
        <v>163.0</v>
      </c>
      <c r="D3031" s="10">
        <v>1.28200012E8</v>
      </c>
      <c r="E3031" s="9" t="s">
        <v>20</v>
      </c>
      <c r="F3031" s="9">
        <f t="shared" si="1"/>
        <v>5</v>
      </c>
      <c r="G3031" s="9" t="s">
        <v>1846</v>
      </c>
      <c r="H3031" s="11" t="str">
        <f>IFERROR(__xludf.DUMMYFUNCTION("REGEXREPLACE(G3031, ""[^0-9a-zA-Z .'Ã]"","""")"),"Jim Broadbent")</f>
        <v>Jim Broadbent</v>
      </c>
      <c r="I3031" s="11" t="s">
        <v>9592</v>
      </c>
      <c r="J3031" s="9">
        <v>103022.0</v>
      </c>
      <c r="K3031" s="9" t="s">
        <v>9593</v>
      </c>
      <c r="L3031" s="9">
        <v>269.0</v>
      </c>
      <c r="M3031" s="9" t="s">
        <v>24</v>
      </c>
      <c r="N3031" s="9" t="s">
        <v>25</v>
      </c>
      <c r="O3031" s="10">
        <v>7.5E7</v>
      </c>
      <c r="P3031" s="10">
        <f t="shared" si="2"/>
        <v>53200012</v>
      </c>
      <c r="Q3031" s="12">
        <f t="shared" si="3"/>
        <v>0</v>
      </c>
      <c r="R3031" s="9">
        <v>2005.0</v>
      </c>
      <c r="S3031" s="9">
        <v>6.3</v>
      </c>
    </row>
    <row r="3032" ht="15.75" customHeight="1">
      <c r="A3032" s="21" t="s">
        <v>9594</v>
      </c>
      <c r="B3032" s="8" t="str">
        <f>IFERROR(__xludf.DUMMYFUNCTION("REGEXREPLACE(A3032, ""[^0-9a-zA-Z .'Ã]"","""")"),"Dwight H. Little")</f>
        <v>Dwight H. Little</v>
      </c>
      <c r="C3032" s="22">
        <v>144.0</v>
      </c>
      <c r="D3032" s="23">
        <v>1.7768E7</v>
      </c>
      <c r="E3032" s="22" t="s">
        <v>306</v>
      </c>
      <c r="F3032" s="9">
        <f t="shared" si="1"/>
        <v>2</v>
      </c>
      <c r="G3032" s="22" t="s">
        <v>1616</v>
      </c>
      <c r="H3032" s="11" t="str">
        <f>IFERROR(__xludf.DUMMYFUNCTION("REGEXREPLACE(G3032, ""[^0-9a-zA-Z .'Ã]"","""")"),"Donald Pleasence")</f>
        <v>Donald Pleasence</v>
      </c>
      <c r="I3032" s="24" t="s">
        <v>9595</v>
      </c>
      <c r="J3032" s="22">
        <v>29629.0</v>
      </c>
      <c r="K3032" s="22" t="s">
        <v>9596</v>
      </c>
      <c r="L3032" s="22">
        <v>374.0</v>
      </c>
      <c r="M3032" s="22" t="s">
        <v>24</v>
      </c>
      <c r="N3032" s="22" t="s">
        <v>25</v>
      </c>
      <c r="O3032" s="23">
        <v>5000000.0</v>
      </c>
      <c r="P3032" s="10">
        <f t="shared" si="2"/>
        <v>12768000</v>
      </c>
      <c r="Q3032" s="12">
        <f t="shared" si="3"/>
        <v>0</v>
      </c>
      <c r="R3032" s="22">
        <v>1988.0</v>
      </c>
      <c r="S3032" s="22">
        <v>5.9</v>
      </c>
    </row>
    <row r="3033" ht="15.75" customHeight="1">
      <c r="A3033" s="17" t="s">
        <v>9597</v>
      </c>
      <c r="B3033" s="8" t="str">
        <f>IFERROR(__xludf.DUMMYFUNCTION("REGEXREPLACE(A3033, ""[^0-9a-zA-Z .'Ã]"","""")"),"Meiert Avis")</f>
        <v>Meiert Avis</v>
      </c>
      <c r="C3033" s="18">
        <v>41.0</v>
      </c>
      <c r="D3033" s="19">
        <v>1046166.0</v>
      </c>
      <c r="E3033" s="18" t="s">
        <v>2047</v>
      </c>
      <c r="F3033" s="9">
        <f t="shared" si="1"/>
        <v>3</v>
      </c>
      <c r="G3033" s="18" t="s">
        <v>1303</v>
      </c>
      <c r="H3033" s="11" t="str">
        <f>IFERROR(__xludf.DUMMYFUNCTION("REGEXREPLACE(G3033, ""[^0-9a-zA-Z .'Ã]"","""")"),"Fisher Stevens")</f>
        <v>Fisher Stevens</v>
      </c>
      <c r="I3033" s="20" t="s">
        <v>9598</v>
      </c>
      <c r="J3033" s="18">
        <v>2599.0</v>
      </c>
      <c r="K3033" s="18" t="s">
        <v>9599</v>
      </c>
      <c r="L3033" s="18">
        <v>45.0</v>
      </c>
      <c r="M3033" s="18" t="s">
        <v>24</v>
      </c>
      <c r="N3033" s="18" t="s">
        <v>173</v>
      </c>
      <c r="O3033" s="19">
        <v>9000000.0</v>
      </c>
      <c r="P3033" s="10">
        <f t="shared" si="2"/>
        <v>0</v>
      </c>
      <c r="Q3033" s="12">
        <f t="shared" si="3"/>
        <v>7953834</v>
      </c>
      <c r="R3033" s="18">
        <v>2005.0</v>
      </c>
      <c r="S3033" s="18">
        <v>4.2</v>
      </c>
    </row>
    <row r="3034" ht="15.75" customHeight="1">
      <c r="A3034" s="17" t="s">
        <v>4151</v>
      </c>
      <c r="B3034" s="8" t="str">
        <f>IFERROR(__xludf.DUMMYFUNCTION("REGEXREPLACE(A3034, ""[^0-9a-zA-Z .'Ã]"","""")"),"Frank Coraci")</f>
        <v>Frank Coraci</v>
      </c>
      <c r="C3034" s="18">
        <v>188.0</v>
      </c>
      <c r="D3034" s="19">
        <v>2.4004159E7</v>
      </c>
      <c r="E3034" s="18" t="s">
        <v>1879</v>
      </c>
      <c r="F3034" s="9">
        <f t="shared" si="1"/>
        <v>3</v>
      </c>
      <c r="G3034" s="18" t="s">
        <v>1846</v>
      </c>
      <c r="H3034" s="11" t="str">
        <f>IFERROR(__xludf.DUMMYFUNCTION("REGEXREPLACE(G3034, ""[^0-9a-zA-Z .'Ã]"","""")"),"Jim Broadbent")</f>
        <v>Jim Broadbent</v>
      </c>
      <c r="I3034" s="20" t="s">
        <v>9600</v>
      </c>
      <c r="J3034" s="18">
        <v>68720.0</v>
      </c>
      <c r="K3034" s="18" t="s">
        <v>9601</v>
      </c>
      <c r="L3034" s="18">
        <v>191.0</v>
      </c>
      <c r="M3034" s="18" t="s">
        <v>24</v>
      </c>
      <c r="N3034" s="18" t="s">
        <v>25</v>
      </c>
      <c r="O3034" s="19">
        <v>1.1E8</v>
      </c>
      <c r="P3034" s="10">
        <f t="shared" si="2"/>
        <v>0</v>
      </c>
      <c r="Q3034" s="12">
        <f t="shared" si="3"/>
        <v>85995841</v>
      </c>
      <c r="R3034" s="18">
        <v>2004.0</v>
      </c>
      <c r="S3034" s="18">
        <v>5.8</v>
      </c>
    </row>
    <row r="3035" ht="15.75" customHeight="1">
      <c r="A3035" s="7" t="s">
        <v>9602</v>
      </c>
      <c r="B3035" s="8" t="str">
        <f>IFERROR(__xludf.DUMMYFUNCTION("REGEXREPLACE(A3035, ""[^0-9a-zA-Z .'Ã]"","""")"),"Jody Hill")</f>
        <v>Jody Hill</v>
      </c>
      <c r="C3035" s="9">
        <v>190.0</v>
      </c>
      <c r="D3035" s="10">
        <v>2.3993605E7</v>
      </c>
      <c r="E3035" s="9" t="s">
        <v>169</v>
      </c>
      <c r="F3035" s="9">
        <f t="shared" si="1"/>
        <v>3</v>
      </c>
      <c r="G3035" s="9" t="s">
        <v>9603</v>
      </c>
      <c r="H3035" s="11" t="str">
        <f>IFERROR(__xludf.DUMMYFUNCTION("REGEXREPLACE(G3035, ""[^0-9a-zA-Z .'Ã]"","""")"),"Collette Wolfe")</f>
        <v>Collette Wolfe</v>
      </c>
      <c r="I3035" s="11" t="s">
        <v>9604</v>
      </c>
      <c r="J3035" s="9">
        <v>52467.0</v>
      </c>
      <c r="K3035" s="9" t="s">
        <v>9605</v>
      </c>
      <c r="L3035" s="9">
        <v>248.0</v>
      </c>
      <c r="M3035" s="9" t="s">
        <v>24</v>
      </c>
      <c r="N3035" s="9" t="s">
        <v>25</v>
      </c>
      <c r="O3035" s="10">
        <v>1.8E7</v>
      </c>
      <c r="P3035" s="10">
        <f t="shared" si="2"/>
        <v>5993605</v>
      </c>
      <c r="Q3035" s="12">
        <f t="shared" si="3"/>
        <v>0</v>
      </c>
      <c r="R3035" s="9">
        <v>2009.0</v>
      </c>
      <c r="S3035" s="9">
        <v>5.8</v>
      </c>
    </row>
    <row r="3036" ht="15.75" customHeight="1">
      <c r="A3036" s="7" t="s">
        <v>9606</v>
      </c>
      <c r="B3036" s="8" t="str">
        <f>IFERROR(__xludf.DUMMYFUNCTION("REGEXREPLACE(A3036, ""[^0-9a-zA-Z .'Ã]"","""")"),"Charles T. Kanganis")</f>
        <v>Charles T. Kanganis</v>
      </c>
      <c r="C3036" s="9">
        <v>5.0</v>
      </c>
      <c r="D3036" s="10">
        <v>1.1784E7</v>
      </c>
      <c r="E3036" s="9" t="s">
        <v>4865</v>
      </c>
      <c r="F3036" s="9">
        <f t="shared" si="1"/>
        <v>3</v>
      </c>
      <c r="G3036" s="9" t="s">
        <v>3374</v>
      </c>
      <c r="H3036" s="11" t="str">
        <f>IFERROR(__xludf.DUMMYFUNCTION("REGEXREPLACE(G3036, ""[^0-9a-zA-Z .'Ã]"","""")"),"Victor Wong")</f>
        <v>Victor Wong</v>
      </c>
      <c r="I3036" s="11" t="s">
        <v>9607</v>
      </c>
      <c r="J3036" s="9">
        <v>6701.0</v>
      </c>
      <c r="K3036" s="9" t="s">
        <v>9608</v>
      </c>
      <c r="L3036" s="9">
        <v>26.0</v>
      </c>
      <c r="M3036" s="9" t="s">
        <v>24</v>
      </c>
      <c r="N3036" s="9" t="s">
        <v>25</v>
      </c>
      <c r="O3036" s="10">
        <v>2.0E7</v>
      </c>
      <c r="P3036" s="10">
        <f t="shared" si="2"/>
        <v>0</v>
      </c>
      <c r="Q3036" s="12">
        <f t="shared" si="3"/>
        <v>8216000</v>
      </c>
      <c r="R3036" s="9">
        <v>1994.0</v>
      </c>
      <c r="S3036" s="9">
        <v>4.3</v>
      </c>
    </row>
    <row r="3037" ht="15.75" customHeight="1">
      <c r="A3037" s="7" t="s">
        <v>998</v>
      </c>
      <c r="B3037" s="8" t="str">
        <f>IFERROR(__xludf.DUMMYFUNCTION("REGEXREPLACE(A3037, ""[^0-9a-zA-Z .'Ã]"","""")"),"Peter Jackson")</f>
        <v>Peter Jackson</v>
      </c>
      <c r="C3037" s="9">
        <v>93.0</v>
      </c>
      <c r="D3037" s="10">
        <v>3049135.0</v>
      </c>
      <c r="E3037" s="9" t="s">
        <v>9609</v>
      </c>
      <c r="F3037" s="9">
        <f t="shared" si="1"/>
        <v>5</v>
      </c>
      <c r="G3037" s="9" t="s">
        <v>777</v>
      </c>
      <c r="H3037" s="11" t="str">
        <f>IFERROR(__xludf.DUMMYFUNCTION("REGEXREPLACE(G3037, ""[^0-9a-zA-Z .'Ã]"","""")"),"Kate Winslet")</f>
        <v>Kate Winslet</v>
      </c>
      <c r="I3037" s="11" t="s">
        <v>9610</v>
      </c>
      <c r="J3037" s="9">
        <v>50197.0</v>
      </c>
      <c r="K3037" s="9" t="s">
        <v>9611</v>
      </c>
      <c r="L3037" s="9">
        <v>265.0</v>
      </c>
      <c r="M3037" s="9" t="s">
        <v>24</v>
      </c>
      <c r="N3037" s="9" t="s">
        <v>1002</v>
      </c>
      <c r="O3037" s="10">
        <v>5000000.0</v>
      </c>
      <c r="P3037" s="10">
        <f t="shared" si="2"/>
        <v>0</v>
      </c>
      <c r="Q3037" s="12">
        <f t="shared" si="3"/>
        <v>1950865</v>
      </c>
      <c r="R3037" s="9">
        <v>1994.0</v>
      </c>
      <c r="S3037" s="9">
        <v>7.4</v>
      </c>
    </row>
    <row r="3038" ht="15.75" customHeight="1">
      <c r="A3038" s="7" t="s">
        <v>1242</v>
      </c>
      <c r="B3038" s="8" t="str">
        <f>IFERROR(__xludf.DUMMYFUNCTION("REGEXREPLACE(A3038, ""[^0-9a-zA-Z -.'Ã]"","""")"),"Charles Herman-Wurmfeld")</f>
        <v>Charles Herman-Wurmfeld</v>
      </c>
      <c r="C3038" s="9">
        <v>110.0</v>
      </c>
      <c r="D3038" s="10">
        <v>7022940.0</v>
      </c>
      <c r="E3038" s="9" t="s">
        <v>159</v>
      </c>
      <c r="F3038" s="9">
        <f t="shared" si="1"/>
        <v>3</v>
      </c>
      <c r="G3038" s="9" t="s">
        <v>9612</v>
      </c>
      <c r="H3038" s="11" t="str">
        <f>IFERROR(__xludf.DUMMYFUNCTION("REGEXREPLACE(G3038, ""[^0-9a-zA-Z .'Ã]"","""")"),"Scott Cohen")</f>
        <v>Scott Cohen</v>
      </c>
      <c r="I3038" s="11" t="s">
        <v>9613</v>
      </c>
      <c r="J3038" s="9">
        <v>14018.0</v>
      </c>
      <c r="K3038" s="9" t="s">
        <v>9614</v>
      </c>
      <c r="L3038" s="9">
        <v>190.0</v>
      </c>
      <c r="M3038" s="9" t="s">
        <v>24</v>
      </c>
      <c r="N3038" s="9" t="s">
        <v>25</v>
      </c>
      <c r="O3038" s="10">
        <v>1000000.0</v>
      </c>
      <c r="P3038" s="10">
        <f t="shared" si="2"/>
        <v>6022940</v>
      </c>
      <c r="Q3038" s="12">
        <f t="shared" si="3"/>
        <v>0</v>
      </c>
      <c r="R3038" s="9">
        <v>2001.0</v>
      </c>
      <c r="S3038" s="9">
        <v>6.7</v>
      </c>
    </row>
    <row r="3039" ht="15.75" customHeight="1">
      <c r="A3039" s="7" t="s">
        <v>4196</v>
      </c>
      <c r="B3039" s="8" t="str">
        <f>IFERROR(__xludf.DUMMYFUNCTION("REGEXREPLACE(A3039, ""[^0-9a-zA-Z .'Ã]"","""")"),"Andrew Davis")</f>
        <v>Andrew Davis</v>
      </c>
      <c r="C3039" s="9">
        <v>47.0</v>
      </c>
      <c r="D3039" s="10">
        <v>2.0550712E7</v>
      </c>
      <c r="E3039" s="9" t="s">
        <v>1546</v>
      </c>
      <c r="F3039" s="9">
        <f t="shared" si="1"/>
        <v>4</v>
      </c>
      <c r="G3039" s="9" t="s">
        <v>1170</v>
      </c>
      <c r="H3039" s="11" t="str">
        <f>IFERROR(__xludf.DUMMYFUNCTION("REGEXREPLACE(G3039, ""[^0-9a-zA-Z .'Ã]"","""")"),"Keanu Reeves")</f>
        <v>Keanu Reeves</v>
      </c>
      <c r="I3039" s="11" t="s">
        <v>9615</v>
      </c>
      <c r="J3039" s="9">
        <v>40346.0</v>
      </c>
      <c r="K3039" s="9" t="s">
        <v>9616</v>
      </c>
      <c r="L3039" s="9">
        <v>95.0</v>
      </c>
      <c r="M3039" s="9" t="s">
        <v>24</v>
      </c>
      <c r="N3039" s="9" t="s">
        <v>25</v>
      </c>
      <c r="O3039" s="10">
        <v>5.0E7</v>
      </c>
      <c r="P3039" s="10">
        <f t="shared" si="2"/>
        <v>0</v>
      </c>
      <c r="Q3039" s="12">
        <f t="shared" si="3"/>
        <v>29449288</v>
      </c>
      <c r="R3039" s="9">
        <v>1996.0</v>
      </c>
      <c r="S3039" s="9">
        <v>5.6</v>
      </c>
    </row>
    <row r="3040" ht="15.75" customHeight="1">
      <c r="A3040" s="17" t="s">
        <v>381</v>
      </c>
      <c r="B3040" s="8" t="str">
        <f>IFERROR(__xludf.DUMMYFUNCTION("REGEXREPLACE(A3040, ""[^0-9a-zA-Z .'Ã]"","""")"),"Brian De Palma")</f>
        <v>Brian De Palma</v>
      </c>
      <c r="C3040" s="18">
        <v>154.0</v>
      </c>
      <c r="D3040" s="19">
        <v>1.80965237E8</v>
      </c>
      <c r="E3040" s="18" t="s">
        <v>474</v>
      </c>
      <c r="F3040" s="9">
        <f t="shared" si="1"/>
        <v>3</v>
      </c>
      <c r="G3040" s="18" t="s">
        <v>220</v>
      </c>
      <c r="H3040" s="11" t="str">
        <f>IFERROR(__xludf.DUMMYFUNCTION("REGEXREPLACE(G3040, ""[^0-9a-zA-Z .'Ã]"","""")"),"Tom Cruise")</f>
        <v>Tom Cruise</v>
      </c>
      <c r="I3040" s="20" t="s">
        <v>9617</v>
      </c>
      <c r="J3040" s="18">
        <v>300542.0</v>
      </c>
      <c r="K3040" s="18" t="s">
        <v>9618</v>
      </c>
      <c r="L3040" s="18">
        <v>378.0</v>
      </c>
      <c r="M3040" s="18" t="s">
        <v>24</v>
      </c>
      <c r="N3040" s="18" t="s">
        <v>25</v>
      </c>
      <c r="O3040" s="19">
        <v>8.0E7</v>
      </c>
      <c r="P3040" s="10">
        <f t="shared" si="2"/>
        <v>100965237</v>
      </c>
      <c r="Q3040" s="12">
        <f t="shared" si="3"/>
        <v>0</v>
      </c>
      <c r="R3040" s="18">
        <v>1996.0</v>
      </c>
      <c r="S3040" s="18">
        <v>7.1</v>
      </c>
    </row>
    <row r="3041" ht="15.75" customHeight="1">
      <c r="A3041" s="25" t="s">
        <v>1095</v>
      </c>
      <c r="B3041" s="8" t="str">
        <f>IFERROR(__xludf.DUMMYFUNCTION("REGEXREPLACE(A3041, ""[^0-9a-zA-Z .'Ã]"","""")"),"Renny Harlin")</f>
        <v>Renny Harlin</v>
      </c>
      <c r="C3041" s="26">
        <v>61.0</v>
      </c>
      <c r="D3041" s="27">
        <v>1.1E7</v>
      </c>
      <c r="E3041" s="26" t="s">
        <v>1879</v>
      </c>
      <c r="F3041" s="9">
        <f t="shared" si="1"/>
        <v>3</v>
      </c>
      <c r="G3041" s="26" t="s">
        <v>9619</v>
      </c>
      <c r="H3041" s="11" t="str">
        <f>IFERROR(__xludf.DUMMYFUNCTION("REGEXREPLACE(G3041, ""[^0-9a-zA-Z .'Ã]"","""")"),"Christopher Masterson")</f>
        <v>Christopher Masterson</v>
      </c>
      <c r="I3041" s="28" t="s">
        <v>9620</v>
      </c>
      <c r="J3041" s="26">
        <v>21102.0</v>
      </c>
      <c r="K3041" s="26" t="s">
        <v>9621</v>
      </c>
      <c r="L3041" s="26">
        <v>169.0</v>
      </c>
      <c r="M3041" s="26" t="s">
        <v>24</v>
      </c>
      <c r="N3041" s="26" t="s">
        <v>25</v>
      </c>
      <c r="O3041" s="27">
        <v>9.8E7</v>
      </c>
      <c r="P3041" s="10">
        <f t="shared" si="2"/>
        <v>0</v>
      </c>
      <c r="Q3041" s="12">
        <f t="shared" si="3"/>
        <v>87000000</v>
      </c>
      <c r="R3041" s="26">
        <v>1995.0</v>
      </c>
      <c r="S3041" s="26">
        <v>5.6</v>
      </c>
    </row>
    <row r="3042" ht="15.75" customHeight="1">
      <c r="A3042" s="17" t="s">
        <v>7901</v>
      </c>
      <c r="B3042" s="8" t="str">
        <f>IFERROR(__xludf.DUMMYFUNCTION("REGEXREPLACE(A3042, ""[^0-9a-zA-Z .'Ã]"","""")"),"Luis Llosa")</f>
        <v>Luis Llosa</v>
      </c>
      <c r="C3042" s="18">
        <v>119.0</v>
      </c>
      <c r="D3042" s="19">
        <v>6.5557989E7</v>
      </c>
      <c r="E3042" s="18" t="s">
        <v>9622</v>
      </c>
      <c r="F3042" s="9">
        <f t="shared" si="1"/>
        <v>4</v>
      </c>
      <c r="G3042" s="18" t="s">
        <v>3504</v>
      </c>
      <c r="H3042" s="11" t="str">
        <f>IFERROR(__xludf.DUMMYFUNCTION("REGEXREPLACE(G3042, ""[^0-9a-zA-Z .'Ã]"","""")"),"Frank Welker")</f>
        <v>Frank Welker</v>
      </c>
      <c r="I3042" s="20" t="s">
        <v>9623</v>
      </c>
      <c r="J3042" s="18">
        <v>73539.0</v>
      </c>
      <c r="K3042" s="18" t="s">
        <v>9624</v>
      </c>
      <c r="L3042" s="18">
        <v>271.0</v>
      </c>
      <c r="M3042" s="18" t="s">
        <v>24</v>
      </c>
      <c r="N3042" s="18" t="s">
        <v>25</v>
      </c>
      <c r="O3042" s="19">
        <v>4.5E7</v>
      </c>
      <c r="P3042" s="10">
        <f t="shared" si="2"/>
        <v>20557989</v>
      </c>
      <c r="Q3042" s="12">
        <f t="shared" si="3"/>
        <v>0</v>
      </c>
      <c r="R3042" s="18">
        <v>1997.0</v>
      </c>
      <c r="S3042" s="18">
        <v>4.6</v>
      </c>
    </row>
    <row r="3043" ht="15.75" customHeight="1">
      <c r="A3043" s="25" t="s">
        <v>9625</v>
      </c>
      <c r="B3043" s="8" t="str">
        <f>IFERROR(__xludf.DUMMYFUNCTION("REGEXREPLACE(A3043, ""[^0-9a-zA-Z .'Ã]"","""")"),"Eric Valette")</f>
        <v>Eric Valette</v>
      </c>
      <c r="C3043" s="26">
        <v>141.0</v>
      </c>
      <c r="D3043" s="27">
        <v>2.6876529E7</v>
      </c>
      <c r="E3043" s="26" t="s">
        <v>565</v>
      </c>
      <c r="F3043" s="9">
        <f t="shared" si="1"/>
        <v>2</v>
      </c>
      <c r="G3043" s="26" t="s">
        <v>9626</v>
      </c>
      <c r="H3043" s="11" t="str">
        <f>IFERROR(__xludf.DUMMYFUNCTION("REGEXREPLACE(G3043, ""[^0-9a-zA-Z .'Ã]"","""")"),"Johnny Lewis")</f>
        <v>Johnny Lewis</v>
      </c>
      <c r="I3043" s="28" t="s">
        <v>9627</v>
      </c>
      <c r="J3043" s="26">
        <v>26624.0</v>
      </c>
      <c r="K3043" s="26" t="s">
        <v>9628</v>
      </c>
      <c r="L3043" s="26">
        <v>189.0</v>
      </c>
      <c r="M3043" s="26" t="s">
        <v>24</v>
      </c>
      <c r="N3043" s="26" t="s">
        <v>1535</v>
      </c>
      <c r="O3043" s="27">
        <v>2.7E7</v>
      </c>
      <c r="P3043" s="10">
        <f t="shared" si="2"/>
        <v>0</v>
      </c>
      <c r="Q3043" s="12">
        <f t="shared" si="3"/>
        <v>123471</v>
      </c>
      <c r="R3043" s="26">
        <v>2008.0</v>
      </c>
      <c r="S3043" s="26">
        <v>3.9</v>
      </c>
    </row>
    <row r="3044" ht="15.75" customHeight="1">
      <c r="A3044" s="21" t="s">
        <v>9629</v>
      </c>
      <c r="B3044" s="8" t="str">
        <f>IFERROR(__xludf.DUMMYFUNCTION("REGEXREPLACE(A3044, ""[^0-9a-zA-Z .'Ã]"","""")"),"Zak Penn")</f>
        <v>Zak Penn</v>
      </c>
      <c r="C3044" s="22">
        <v>60.0</v>
      </c>
      <c r="D3044" s="23">
        <v>36830.0</v>
      </c>
      <c r="E3044" s="22" t="s">
        <v>9630</v>
      </c>
      <c r="F3044" s="9">
        <f t="shared" si="1"/>
        <v>3</v>
      </c>
      <c r="G3044" s="22" t="s">
        <v>9629</v>
      </c>
      <c r="H3044" s="11" t="str">
        <f>IFERROR(__xludf.DUMMYFUNCTION("REGEXREPLACE(G3044, ""[^0-9a-zA-Z .'Ã]"","""")"),"Zak Penn")</f>
        <v>Zak Penn</v>
      </c>
      <c r="I3044" s="24" t="s">
        <v>9631</v>
      </c>
      <c r="J3044" s="22">
        <v>3291.0</v>
      </c>
      <c r="K3044" s="22" t="s">
        <v>9632</v>
      </c>
      <c r="L3044" s="22">
        <v>63.0</v>
      </c>
      <c r="M3044" s="22" t="s">
        <v>24</v>
      </c>
      <c r="N3044" s="22" t="s">
        <v>130</v>
      </c>
      <c r="O3044" s="23">
        <v>1400000.0</v>
      </c>
      <c r="P3044" s="10">
        <f t="shared" si="2"/>
        <v>0</v>
      </c>
      <c r="Q3044" s="12">
        <f t="shared" si="3"/>
        <v>1363170</v>
      </c>
      <c r="R3044" s="22">
        <v>2004.0</v>
      </c>
      <c r="S3044" s="22">
        <v>6.6</v>
      </c>
    </row>
    <row r="3045" ht="15.75" customHeight="1">
      <c r="A3045" s="25" t="s">
        <v>320</v>
      </c>
      <c r="B3045" s="8" t="str">
        <f>IFERROR(__xludf.DUMMYFUNCTION("REGEXREPLACE(A3045, ""[^0-9a-zA-Z .'Ã]"","""")"),"Andrew Fleming")</f>
        <v>Andrew Fleming</v>
      </c>
      <c r="C3045" s="26">
        <v>81.0</v>
      </c>
      <c r="D3045" s="27">
        <v>6241697.0</v>
      </c>
      <c r="E3045" s="26" t="s">
        <v>137</v>
      </c>
      <c r="F3045" s="9">
        <f t="shared" si="1"/>
        <v>1</v>
      </c>
      <c r="G3045" s="26" t="s">
        <v>2451</v>
      </c>
      <c r="H3045" s="11" t="str">
        <f>IFERROR(__xludf.DUMMYFUNCTION("REGEXREPLACE(G3045, ""[^0-9a-zA-Z .'Ã]"","""")"),"Ryan Reynolds")</f>
        <v>Ryan Reynolds</v>
      </c>
      <c r="I3045" s="28" t="s">
        <v>9633</v>
      </c>
      <c r="J3045" s="26">
        <v>16059.0</v>
      </c>
      <c r="K3045" s="26" t="s">
        <v>9634</v>
      </c>
      <c r="L3045" s="26">
        <v>210.0</v>
      </c>
      <c r="M3045" s="26" t="s">
        <v>24</v>
      </c>
      <c r="N3045" s="26" t="s">
        <v>608</v>
      </c>
      <c r="O3045" s="27">
        <v>1.3E7</v>
      </c>
      <c r="P3045" s="10">
        <f t="shared" si="2"/>
        <v>0</v>
      </c>
      <c r="Q3045" s="12">
        <f t="shared" si="3"/>
        <v>6758303</v>
      </c>
      <c r="R3045" s="26">
        <v>1999.0</v>
      </c>
      <c r="S3045" s="26">
        <v>6.1</v>
      </c>
    </row>
    <row r="3046" ht="15.75" customHeight="1">
      <c r="A3046" s="7" t="s">
        <v>2618</v>
      </c>
      <c r="B3046" s="8" t="str">
        <f>IFERROR(__xludf.DUMMYFUNCTION("REGEXREPLACE(A3046, ""[^0-9a-zA-Z .'Ã]"","""")"),"Jonathan Demme")</f>
        <v>Jonathan Demme</v>
      </c>
      <c r="C3046" s="9">
        <v>78.0</v>
      </c>
      <c r="D3046" s="10">
        <v>2.2843047E7</v>
      </c>
      <c r="E3046" s="9" t="s">
        <v>9635</v>
      </c>
      <c r="F3046" s="9">
        <f t="shared" si="1"/>
        <v>3</v>
      </c>
      <c r="G3046" s="9" t="s">
        <v>2805</v>
      </c>
      <c r="H3046" s="11" t="str">
        <f>IFERROR(__xludf.DUMMYFUNCTION("REGEXREPLACE(G3046, ""[^0-9a-zA-Z .'Ã]"","""")"),"Oprah Winfrey")</f>
        <v>Oprah Winfrey</v>
      </c>
      <c r="I3046" s="11" t="s">
        <v>9636</v>
      </c>
      <c r="J3046" s="9">
        <v>6082.0</v>
      </c>
      <c r="K3046" s="9" t="s">
        <v>9637</v>
      </c>
      <c r="L3046" s="9">
        <v>207.0</v>
      </c>
      <c r="M3046" s="9" t="s">
        <v>24</v>
      </c>
      <c r="N3046" s="9" t="s">
        <v>25</v>
      </c>
      <c r="O3046" s="10">
        <v>5.5E7</v>
      </c>
      <c r="P3046" s="10">
        <f t="shared" si="2"/>
        <v>0</v>
      </c>
      <c r="Q3046" s="12">
        <f t="shared" si="3"/>
        <v>32156953</v>
      </c>
      <c r="R3046" s="9">
        <v>1998.0</v>
      </c>
      <c r="S3046" s="9">
        <v>5.9</v>
      </c>
    </row>
    <row r="3047" ht="15.75" customHeight="1">
      <c r="A3047" s="13" t="s">
        <v>9638</v>
      </c>
      <c r="B3047" s="8" t="str">
        <f>IFERROR(__xludf.DUMMYFUNCTION("REGEXREPLACE(A3047, ""[^0-9a-zA-Z .'Ã]"","""")"),"Miguel Sapochnik")</f>
        <v>Miguel Sapochnik</v>
      </c>
      <c r="C3047" s="14">
        <v>197.0</v>
      </c>
      <c r="D3047" s="15">
        <v>1.376313E7</v>
      </c>
      <c r="E3047" s="14" t="s">
        <v>771</v>
      </c>
      <c r="F3047" s="9">
        <f t="shared" si="1"/>
        <v>4</v>
      </c>
      <c r="G3047" s="14" t="s">
        <v>2985</v>
      </c>
      <c r="H3047" s="11" t="str">
        <f>IFERROR(__xludf.DUMMYFUNCTION("REGEXREPLACE(G3047, ""[^0-9a-zA-Z .'Ã]"","""")"),"Alice Braga")</f>
        <v>Alice Braga</v>
      </c>
      <c r="I3047" s="16" t="s">
        <v>9639</v>
      </c>
      <c r="J3047" s="14">
        <v>87768.0</v>
      </c>
      <c r="K3047" s="14" t="s">
        <v>9640</v>
      </c>
      <c r="L3047" s="14">
        <v>187.0</v>
      </c>
      <c r="M3047" s="14" t="s">
        <v>24</v>
      </c>
      <c r="N3047" s="14" t="s">
        <v>25</v>
      </c>
      <c r="O3047" s="15">
        <v>3.2E7</v>
      </c>
      <c r="P3047" s="10">
        <f t="shared" si="2"/>
        <v>0</v>
      </c>
      <c r="Q3047" s="12">
        <f t="shared" si="3"/>
        <v>18236870</v>
      </c>
      <c r="R3047" s="14">
        <v>2010.0</v>
      </c>
      <c r="S3047" s="14">
        <v>6.3</v>
      </c>
    </row>
    <row r="3048" ht="15.75" customHeight="1">
      <c r="A3048" s="17" t="s">
        <v>9641</v>
      </c>
      <c r="B3048" s="8" t="str">
        <f>IFERROR(__xludf.DUMMYFUNCTION("REGEXREPLACE(A3048, ""[^0-9a-zA-Z .'Ã]"","""")"),"Peter Webber")</f>
        <v>Peter Webber</v>
      </c>
      <c r="C3048" s="18">
        <v>209.0</v>
      </c>
      <c r="D3048" s="19">
        <v>2.7667947E7</v>
      </c>
      <c r="E3048" s="18" t="s">
        <v>113</v>
      </c>
      <c r="F3048" s="9">
        <f t="shared" si="1"/>
        <v>3</v>
      </c>
      <c r="G3048" s="18" t="s">
        <v>3959</v>
      </c>
      <c r="H3048" s="11" t="str">
        <f>IFERROR(__xludf.DUMMYFUNCTION("REGEXREPLACE(G3048, ""[^0-9a-zA-Z .'Ã]"","""")"),"Li Gong")</f>
        <v>Li Gong</v>
      </c>
      <c r="I3048" s="20" t="s">
        <v>9642</v>
      </c>
      <c r="J3048" s="18">
        <v>86374.0</v>
      </c>
      <c r="K3048" s="18" t="s">
        <v>9643</v>
      </c>
      <c r="L3048" s="18">
        <v>392.0</v>
      </c>
      <c r="M3048" s="18" t="s">
        <v>24</v>
      </c>
      <c r="N3048" s="18" t="s">
        <v>130</v>
      </c>
      <c r="O3048" s="19">
        <v>5.0E7</v>
      </c>
      <c r="P3048" s="10">
        <f t="shared" si="2"/>
        <v>0</v>
      </c>
      <c r="Q3048" s="12">
        <f t="shared" si="3"/>
        <v>22332053</v>
      </c>
      <c r="R3048" s="18">
        <v>2007.0</v>
      </c>
      <c r="S3048" s="18">
        <v>6.2</v>
      </c>
    </row>
    <row r="3049" ht="15.75" customHeight="1">
      <c r="A3049" s="21" t="s">
        <v>7075</v>
      </c>
      <c r="B3049" s="8" t="str">
        <f>IFERROR(__xludf.DUMMYFUNCTION("REGEXREPLACE(A3049, ""[^0-9a-zA-Z .'Ã]"","""")"),"Ron Shelton")</f>
        <v>Ron Shelton</v>
      </c>
      <c r="C3049" s="22">
        <v>48.0</v>
      </c>
      <c r="D3049" s="23">
        <v>5.3854588E7</v>
      </c>
      <c r="E3049" s="22" t="s">
        <v>1038</v>
      </c>
      <c r="F3049" s="9">
        <f t="shared" si="1"/>
        <v>4</v>
      </c>
      <c r="G3049" s="22" t="s">
        <v>2360</v>
      </c>
      <c r="H3049" s="11" t="str">
        <f>IFERROR(__xludf.DUMMYFUNCTION("REGEXREPLACE(G3049, ""[^0-9a-zA-Z .'Ã]"","""")"),"Don Johnson")</f>
        <v>Don Johnson</v>
      </c>
      <c r="I3049" s="24" t="s">
        <v>9644</v>
      </c>
      <c r="J3049" s="22">
        <v>37911.0</v>
      </c>
      <c r="K3049" s="22" t="s">
        <v>9645</v>
      </c>
      <c r="L3049" s="22">
        <v>73.0</v>
      </c>
      <c r="M3049" s="22" t="s">
        <v>24</v>
      </c>
      <c r="N3049" s="22" t="s">
        <v>25</v>
      </c>
      <c r="O3049" s="23">
        <v>4.5E7</v>
      </c>
      <c r="P3049" s="10">
        <f t="shared" si="2"/>
        <v>8854588</v>
      </c>
      <c r="Q3049" s="12">
        <f t="shared" si="3"/>
        <v>0</v>
      </c>
      <c r="R3049" s="22">
        <v>1996.0</v>
      </c>
      <c r="S3049" s="22">
        <v>6.3</v>
      </c>
    </row>
    <row r="3050" ht="15.75" customHeight="1">
      <c r="A3050" s="21" t="s">
        <v>1675</v>
      </c>
      <c r="B3050" s="8" t="str">
        <f>IFERROR(__xludf.DUMMYFUNCTION("REGEXREPLACE(A3050, ""[^0-9a-zA-Z .'Ã]"","""")"),"Frank Marshall")</f>
        <v>Frank Marshall</v>
      </c>
      <c r="C3050" s="22">
        <v>55.0</v>
      </c>
      <c r="D3050" s="23">
        <v>8.1022333E7</v>
      </c>
      <c r="E3050" s="22" t="s">
        <v>9646</v>
      </c>
      <c r="F3050" s="9">
        <f t="shared" si="1"/>
        <v>4</v>
      </c>
      <c r="G3050" s="22" t="s">
        <v>9647</v>
      </c>
      <c r="H3050" s="11" t="str">
        <f>IFERROR(__xludf.DUMMYFUNCTION("REGEXREPLACE(G3050, ""[^0-9a-zA-Z .'Ã]"","""")"),"Dylan Walsh")</f>
        <v>Dylan Walsh</v>
      </c>
      <c r="I3050" s="24" t="s">
        <v>9648</v>
      </c>
      <c r="J3050" s="22">
        <v>34471.0</v>
      </c>
      <c r="K3050" s="22" t="s">
        <v>9649</v>
      </c>
      <c r="L3050" s="22">
        <v>147.0</v>
      </c>
      <c r="M3050" s="22" t="s">
        <v>24</v>
      </c>
      <c r="N3050" s="22" t="s">
        <v>25</v>
      </c>
      <c r="O3050" s="23">
        <v>5.0E7</v>
      </c>
      <c r="P3050" s="10">
        <f t="shared" si="2"/>
        <v>31022333</v>
      </c>
      <c r="Q3050" s="12">
        <f t="shared" si="3"/>
        <v>0</v>
      </c>
      <c r="R3050" s="22">
        <v>1995.0</v>
      </c>
      <c r="S3050" s="22">
        <v>5.0</v>
      </c>
    </row>
    <row r="3051" ht="15.75" customHeight="1">
      <c r="A3051" s="7" t="s">
        <v>3411</v>
      </c>
      <c r="B3051" s="8" t="str">
        <f>IFERROR(__xludf.DUMMYFUNCTION("REGEXREPLACE(A3051, ""[^0-9a-zA-Z .'Ã]"","""")"),"Kevin Lima")</f>
        <v>Kevin Lima</v>
      </c>
      <c r="C3051" s="9">
        <v>222.0</v>
      </c>
      <c r="D3051" s="10">
        <v>1.27706877E8</v>
      </c>
      <c r="E3051" s="9" t="s">
        <v>9650</v>
      </c>
      <c r="F3051" s="9">
        <f t="shared" si="1"/>
        <v>6</v>
      </c>
      <c r="G3051" s="9" t="s">
        <v>9651</v>
      </c>
      <c r="H3051" s="11" t="str">
        <f>IFERROR(__xludf.DUMMYFUNCTION("REGEXREPLACE(G3051, ""[^0-9a-zA-Z .'Ã]"","""")"),"Jeff Bennett")</f>
        <v>Jeff Bennett</v>
      </c>
      <c r="I3051" s="11" t="s">
        <v>9652</v>
      </c>
      <c r="J3051" s="9">
        <v>142496.0</v>
      </c>
      <c r="K3051" s="9" t="s">
        <v>9653</v>
      </c>
      <c r="L3051" s="9">
        <v>399.0</v>
      </c>
      <c r="M3051" s="9" t="s">
        <v>24</v>
      </c>
      <c r="N3051" s="9" t="s">
        <v>25</v>
      </c>
      <c r="O3051" s="10">
        <v>8.5E7</v>
      </c>
      <c r="P3051" s="10">
        <f t="shared" si="2"/>
        <v>42706877</v>
      </c>
      <c r="Q3051" s="12">
        <f t="shared" si="3"/>
        <v>0</v>
      </c>
      <c r="R3051" s="9">
        <v>2007.0</v>
      </c>
      <c r="S3051" s="9">
        <v>7.1</v>
      </c>
    </row>
    <row r="3052" ht="15.75" customHeight="1">
      <c r="A3052" s="21" t="s">
        <v>4712</v>
      </c>
      <c r="B3052" s="8" t="str">
        <f>IFERROR(__xludf.DUMMYFUNCTION("REGEXREPLACE(A3052, ""[^0-9a-zA-Z .'Ã]"","""")"),"J.C. Chandor")</f>
        <v>J.C. Chandor</v>
      </c>
      <c r="C3052" s="22">
        <v>350.0</v>
      </c>
      <c r="D3052" s="23">
        <v>5749134.0</v>
      </c>
      <c r="E3052" s="22" t="s">
        <v>501</v>
      </c>
      <c r="F3052" s="9">
        <f t="shared" si="1"/>
        <v>4</v>
      </c>
      <c r="G3052" s="22" t="s">
        <v>3250</v>
      </c>
      <c r="H3052" s="11" t="str">
        <f>IFERROR(__xludf.DUMMYFUNCTION("REGEXREPLACE(G3052, ""[^0-9a-zA-Z .'Ã]"","""")"),"David Oyelowo")</f>
        <v>David Oyelowo</v>
      </c>
      <c r="I3052" s="24" t="s">
        <v>9654</v>
      </c>
      <c r="J3052" s="22">
        <v>45799.0</v>
      </c>
      <c r="K3052" s="22" t="s">
        <v>9655</v>
      </c>
      <c r="L3052" s="22">
        <v>180.0</v>
      </c>
      <c r="M3052" s="22" t="s">
        <v>24</v>
      </c>
      <c r="N3052" s="22" t="s">
        <v>25</v>
      </c>
      <c r="O3052" s="23">
        <v>2.0E7</v>
      </c>
      <c r="P3052" s="10">
        <f t="shared" si="2"/>
        <v>0</v>
      </c>
      <c r="Q3052" s="12">
        <f t="shared" si="3"/>
        <v>14250866</v>
      </c>
      <c r="R3052" s="22">
        <v>2014.0</v>
      </c>
      <c r="S3052" s="22">
        <v>7.0</v>
      </c>
    </row>
    <row r="3053" ht="15.75" customHeight="1">
      <c r="A3053" s="7" t="s">
        <v>1458</v>
      </c>
      <c r="B3053" s="8" t="str">
        <f>IFERROR(__xludf.DUMMYFUNCTION("REGEXREPLACE(A3053, ""[^0-9a-zA-Z .'Ã]"","""")"),"Bobby Farrelly")</f>
        <v>Bobby Farrelly</v>
      </c>
      <c r="C3053" s="9">
        <v>124.0</v>
      </c>
      <c r="D3053" s="10">
        <v>4.2071069E7</v>
      </c>
      <c r="E3053" s="9" t="s">
        <v>1038</v>
      </c>
      <c r="F3053" s="9">
        <f t="shared" si="1"/>
        <v>4</v>
      </c>
      <c r="G3053" s="9" t="s">
        <v>2245</v>
      </c>
      <c r="H3053" s="11" t="str">
        <f>IFERROR(__xludf.DUMMYFUNCTION("REGEXREPLACE(G3053, ""[^0-9a-zA-Z .'Ã]"","""")"),"Jimmy Fallon")</f>
        <v>Jimmy Fallon</v>
      </c>
      <c r="I3053" s="11" t="s">
        <v>9656</v>
      </c>
      <c r="J3053" s="9">
        <v>36223.0</v>
      </c>
      <c r="K3053" s="9" t="s">
        <v>9657</v>
      </c>
      <c r="L3053" s="9">
        <v>208.0</v>
      </c>
      <c r="M3053" s="9" t="s">
        <v>24</v>
      </c>
      <c r="N3053" s="9" t="s">
        <v>25</v>
      </c>
      <c r="O3053" s="10">
        <v>3.0E7</v>
      </c>
      <c r="P3053" s="10">
        <f t="shared" si="2"/>
        <v>12071069</v>
      </c>
      <c r="Q3053" s="12">
        <f t="shared" si="3"/>
        <v>0</v>
      </c>
      <c r="R3053" s="9">
        <v>2005.0</v>
      </c>
      <c r="S3053" s="9">
        <v>6.2</v>
      </c>
    </row>
    <row r="3054" ht="15.75" customHeight="1">
      <c r="A3054" s="17" t="s">
        <v>9658</v>
      </c>
      <c r="B3054" s="8" t="str">
        <f>IFERROR(__xludf.DUMMYFUNCTION("REGEXREPLACE(A3054, ""[^0-9a-zA-Z .'Ã]"","""")"),"Siddharth Anand")</f>
        <v>Siddharth Anand</v>
      </c>
      <c r="C3054" s="18">
        <v>16.0</v>
      </c>
      <c r="D3054" s="19">
        <v>872643.0</v>
      </c>
      <c r="E3054" s="18" t="s">
        <v>289</v>
      </c>
      <c r="F3054" s="9">
        <f t="shared" si="1"/>
        <v>3</v>
      </c>
      <c r="G3054" s="18" t="s">
        <v>9659</v>
      </c>
      <c r="H3054" s="11" t="str">
        <f>IFERROR(__xludf.DUMMYFUNCTION("REGEXREPLACE(G3054, ""[^0-9a-zA-Z .'Ã]"","""")"),"Saif Ali Khan")</f>
        <v>Saif Ali Khan</v>
      </c>
      <c r="I3054" s="20" t="s">
        <v>9660</v>
      </c>
      <c r="J3054" s="18">
        <v>2909.0</v>
      </c>
      <c r="K3054" s="18" t="s">
        <v>9661</v>
      </c>
      <c r="L3054" s="18">
        <v>37.0</v>
      </c>
      <c r="M3054" s="18" t="s">
        <v>670</v>
      </c>
      <c r="N3054" s="18" t="s">
        <v>25</v>
      </c>
      <c r="O3054" s="19">
        <v>6000000.0</v>
      </c>
      <c r="P3054" s="10">
        <f t="shared" si="2"/>
        <v>0</v>
      </c>
      <c r="Q3054" s="12">
        <f t="shared" si="3"/>
        <v>5127357</v>
      </c>
      <c r="R3054" s="18">
        <v>2007.0</v>
      </c>
      <c r="S3054" s="18">
        <v>5.4</v>
      </c>
    </row>
    <row r="3055" ht="15.75" customHeight="1">
      <c r="A3055" s="25" t="s">
        <v>1668</v>
      </c>
      <c r="B3055" s="8" t="str">
        <f>IFERROR(__xludf.DUMMYFUNCTION("REGEXREPLACE(A3055, ""[^0-9a-zA-Z .'Ã]"","""")"),"George A. Romero")</f>
        <v>George A. Romero</v>
      </c>
      <c r="C3055" s="26">
        <v>252.0</v>
      </c>
      <c r="D3055" s="27">
        <v>2.043394E7</v>
      </c>
      <c r="E3055" s="26" t="s">
        <v>148</v>
      </c>
      <c r="F3055" s="9">
        <f t="shared" si="1"/>
        <v>1</v>
      </c>
      <c r="G3055" s="26" t="s">
        <v>9662</v>
      </c>
      <c r="H3055" s="11" t="str">
        <f>IFERROR(__xludf.DUMMYFUNCTION("REGEXREPLACE(G3055, ""[^0-9a-zA-Z .'Ã]"","""")"),"Tony Nappo")</f>
        <v>Tony Nappo</v>
      </c>
      <c r="I3055" s="28" t="s">
        <v>9663</v>
      </c>
      <c r="J3055" s="26">
        <v>78883.0</v>
      </c>
      <c r="K3055" s="26" t="s">
        <v>9664</v>
      </c>
      <c r="L3055" s="26">
        <v>662.0</v>
      </c>
      <c r="M3055" s="26" t="s">
        <v>24</v>
      </c>
      <c r="N3055" s="26" t="s">
        <v>624</v>
      </c>
      <c r="O3055" s="27">
        <v>1.5E7</v>
      </c>
      <c r="P3055" s="10">
        <f t="shared" si="2"/>
        <v>5433940</v>
      </c>
      <c r="Q3055" s="12">
        <f t="shared" si="3"/>
        <v>0</v>
      </c>
      <c r="R3055" s="26">
        <v>2005.0</v>
      </c>
      <c r="S3055" s="26">
        <v>6.2</v>
      </c>
    </row>
    <row r="3056" ht="15.75" customHeight="1">
      <c r="A3056" s="25" t="s">
        <v>886</v>
      </c>
      <c r="B3056" s="8" t="str">
        <f>IFERROR(__xludf.DUMMYFUNCTION("REGEXREPLACE(A3056, ""[^0-9a-zA-Z .'Ã]"","""")"),"Michael Hoffman")</f>
        <v>Michael Hoffman</v>
      </c>
      <c r="C3056" s="26">
        <v>83.0</v>
      </c>
      <c r="D3056" s="27">
        <v>1.406095E7</v>
      </c>
      <c r="E3056" s="26" t="s">
        <v>103</v>
      </c>
      <c r="F3056" s="9">
        <f t="shared" si="1"/>
        <v>1</v>
      </c>
      <c r="G3056" s="26" t="s">
        <v>9665</v>
      </c>
      <c r="H3056" s="11" t="str">
        <f>IFERROR(__xludf.DUMMYFUNCTION("REGEXREPLACE(G3056, ""[^0-9a-zA-Z .'Ã]"","""")"),"Gabriel Millman")</f>
        <v>Gabriel Millman</v>
      </c>
      <c r="I3056" s="28" t="s">
        <v>9666</v>
      </c>
      <c r="J3056" s="26">
        <v>14354.0</v>
      </c>
      <c r="K3056" s="26" t="s">
        <v>9667</v>
      </c>
      <c r="L3056" s="26">
        <v>139.0</v>
      </c>
      <c r="M3056" s="26" t="s">
        <v>24</v>
      </c>
      <c r="N3056" s="26" t="s">
        <v>25</v>
      </c>
      <c r="O3056" s="27">
        <v>1.25E7</v>
      </c>
      <c r="P3056" s="10">
        <f t="shared" si="2"/>
        <v>1560950</v>
      </c>
      <c r="Q3056" s="12">
        <f t="shared" si="3"/>
        <v>0</v>
      </c>
      <c r="R3056" s="26">
        <v>2002.0</v>
      </c>
      <c r="S3056" s="26">
        <v>6.9</v>
      </c>
    </row>
    <row r="3057" ht="15.75" customHeight="1">
      <c r="A3057" s="7" t="s">
        <v>1868</v>
      </c>
      <c r="B3057" s="8" t="str">
        <f>IFERROR(__xludf.DUMMYFUNCTION("REGEXREPLACE(A3057, ""[^0-9a-zA-Z .'Ã]"","""")"),"Brett Ratner")</f>
        <v>Brett Ratner</v>
      </c>
      <c r="C3057" s="9">
        <v>334.0</v>
      </c>
      <c r="D3057" s="10">
        <v>2.34360014E8</v>
      </c>
      <c r="E3057" s="9" t="s">
        <v>449</v>
      </c>
      <c r="F3057" s="9">
        <f t="shared" si="1"/>
        <v>5</v>
      </c>
      <c r="G3057" s="9" t="s">
        <v>974</v>
      </c>
      <c r="H3057" s="11" t="str">
        <f>IFERROR(__xludf.DUMMYFUNCTION("REGEXREPLACE(G3057, ""[^0-9a-zA-Z .'Ã]"","""")"),"Hugh Jackman")</f>
        <v>Hugh Jackman</v>
      </c>
      <c r="I3057" s="11" t="s">
        <v>9668</v>
      </c>
      <c r="J3057" s="9">
        <v>383427.0</v>
      </c>
      <c r="K3057" s="9" t="s">
        <v>9669</v>
      </c>
      <c r="L3057" s="9">
        <v>1912.0</v>
      </c>
      <c r="M3057" s="9" t="s">
        <v>24</v>
      </c>
      <c r="N3057" s="9" t="s">
        <v>624</v>
      </c>
      <c r="O3057" s="10">
        <v>2.1E8</v>
      </c>
      <c r="P3057" s="10">
        <f t="shared" si="2"/>
        <v>24360014</v>
      </c>
      <c r="Q3057" s="12">
        <f t="shared" si="3"/>
        <v>0</v>
      </c>
      <c r="R3057" s="9">
        <v>2006.0</v>
      </c>
      <c r="S3057" s="9">
        <v>6.8</v>
      </c>
    </row>
    <row r="3058" ht="15.75" customHeight="1">
      <c r="A3058" s="7" t="s">
        <v>3826</v>
      </c>
      <c r="B3058" s="8" t="str">
        <f>IFERROR(__xludf.DUMMYFUNCTION("REGEXREPLACE(A3058, ""[^0-9a-zA-Z .'Ã]"","""")"),"Alan J. Pakula")</f>
        <v>Alan J. Pakula</v>
      </c>
      <c r="C3058" s="9">
        <v>66.0</v>
      </c>
      <c r="D3058" s="10">
        <v>4.2877165E7</v>
      </c>
      <c r="E3058" s="9" t="s">
        <v>501</v>
      </c>
      <c r="F3058" s="9">
        <f t="shared" si="1"/>
        <v>4</v>
      </c>
      <c r="G3058" s="9" t="s">
        <v>637</v>
      </c>
      <c r="H3058" s="11" t="str">
        <f>IFERROR(__xludf.DUMMYFUNCTION("REGEXREPLACE(G3058, ""[^0-9a-zA-Z .'Ã]"","""")"),"Harrison Ford")</f>
        <v>Harrison Ford</v>
      </c>
      <c r="I3058" s="11" t="s">
        <v>9670</v>
      </c>
      <c r="J3058" s="9">
        <v>45602.0</v>
      </c>
      <c r="K3058" s="9" t="s">
        <v>9671</v>
      </c>
      <c r="L3058" s="9">
        <v>114.0</v>
      </c>
      <c r="M3058" s="9" t="s">
        <v>24</v>
      </c>
      <c r="N3058" s="9" t="s">
        <v>25</v>
      </c>
      <c r="O3058" s="10">
        <v>8.6E7</v>
      </c>
      <c r="P3058" s="10">
        <f t="shared" si="2"/>
        <v>0</v>
      </c>
      <c r="Q3058" s="12">
        <f t="shared" si="3"/>
        <v>43122835</v>
      </c>
      <c r="R3058" s="9">
        <v>1997.0</v>
      </c>
      <c r="S3058" s="9">
        <v>6.1</v>
      </c>
    </row>
    <row r="3059" ht="15.75" customHeight="1">
      <c r="A3059" s="13" t="s">
        <v>513</v>
      </c>
      <c r="B3059" s="8" t="str">
        <f>IFERROR(__xludf.DUMMYFUNCTION("REGEXREPLACE(A3059, ""[^0-9a-zA-Z .'Ã]"","""")"),"Mark Waters")</f>
        <v>Mark Waters</v>
      </c>
      <c r="C3059" s="14">
        <v>142.0</v>
      </c>
      <c r="D3059" s="15">
        <v>4.8291624E7</v>
      </c>
      <c r="E3059" s="14" t="s">
        <v>1741</v>
      </c>
      <c r="F3059" s="9">
        <f t="shared" si="1"/>
        <v>3</v>
      </c>
      <c r="G3059" s="14" t="s">
        <v>3068</v>
      </c>
      <c r="H3059" s="11" t="str">
        <f>IFERROR(__xludf.DUMMYFUNCTION("REGEXREPLACE(G3059, ""[^0-9a-zA-Z .'Ã]"","""")"),"Jon Heder")</f>
        <v>Jon Heder</v>
      </c>
      <c r="I3059" s="16" t="s">
        <v>9672</v>
      </c>
      <c r="J3059" s="14">
        <v>82819.0</v>
      </c>
      <c r="K3059" s="14" t="s">
        <v>9673</v>
      </c>
      <c r="L3059" s="14">
        <v>263.0</v>
      </c>
      <c r="M3059" s="14" t="s">
        <v>24</v>
      </c>
      <c r="N3059" s="14" t="s">
        <v>25</v>
      </c>
      <c r="O3059" s="15">
        <v>5.8E7</v>
      </c>
      <c r="P3059" s="10">
        <f t="shared" si="2"/>
        <v>0</v>
      </c>
      <c r="Q3059" s="12">
        <f t="shared" si="3"/>
        <v>9708376</v>
      </c>
      <c r="R3059" s="14">
        <v>2005.0</v>
      </c>
      <c r="S3059" s="14">
        <v>6.7</v>
      </c>
    </row>
    <row r="3060" ht="15.75" customHeight="1">
      <c r="A3060" s="17" t="s">
        <v>2097</v>
      </c>
      <c r="B3060" s="8" t="str">
        <f>IFERROR(__xludf.DUMMYFUNCTION("REGEXREPLACE(A3060, ""[^0-9a-zA-Z .'Ã]"","""")"),"Dennis Dugan")</f>
        <v>Dennis Dugan</v>
      </c>
      <c r="C3060" s="18">
        <v>204.0</v>
      </c>
      <c r="D3060" s="19">
        <v>1.03028109E8</v>
      </c>
      <c r="E3060" s="18" t="s">
        <v>89</v>
      </c>
      <c r="F3060" s="9">
        <f t="shared" si="1"/>
        <v>2</v>
      </c>
      <c r="G3060" s="18" t="s">
        <v>616</v>
      </c>
      <c r="H3060" s="11" t="str">
        <f>IFERROR(__xludf.DUMMYFUNCTION("REGEXREPLACE(G3060, ""[^0-9a-zA-Z .'Ã]"","""")"),"Adam Sandler")</f>
        <v>Adam Sandler</v>
      </c>
      <c r="I3060" s="20" t="s">
        <v>9674</v>
      </c>
      <c r="J3060" s="18">
        <v>172878.0</v>
      </c>
      <c r="K3060" s="18" t="s">
        <v>9675</v>
      </c>
      <c r="L3060" s="18">
        <v>203.0</v>
      </c>
      <c r="M3060" s="18" t="s">
        <v>24</v>
      </c>
      <c r="N3060" s="18" t="s">
        <v>25</v>
      </c>
      <c r="O3060" s="19">
        <v>8.0E7</v>
      </c>
      <c r="P3060" s="10">
        <f t="shared" si="2"/>
        <v>23028109</v>
      </c>
      <c r="Q3060" s="12">
        <f t="shared" si="3"/>
        <v>0</v>
      </c>
      <c r="R3060" s="18">
        <v>2011.0</v>
      </c>
      <c r="S3060" s="18">
        <v>6.4</v>
      </c>
    </row>
    <row r="3061" ht="15.75" customHeight="1">
      <c r="A3061" s="13" t="s">
        <v>5976</v>
      </c>
      <c r="B3061" s="8" t="str">
        <f>IFERROR(__xludf.DUMMYFUNCTION("REGEXREPLACE(A3061, ""[^0-9a-zA-Z .'Ã]"","""")"),"Mike Judge")</f>
        <v>Mike Judge</v>
      </c>
      <c r="C3061" s="14">
        <v>144.0</v>
      </c>
      <c r="D3061" s="15">
        <v>1.0824921E7</v>
      </c>
      <c r="E3061" s="14" t="s">
        <v>137</v>
      </c>
      <c r="F3061" s="9">
        <f t="shared" si="1"/>
        <v>1</v>
      </c>
      <c r="G3061" s="14" t="s">
        <v>3688</v>
      </c>
      <c r="H3061" s="11" t="str">
        <f>IFERROR(__xludf.DUMMYFUNCTION("REGEXREPLACE(G3061, ""[^0-9a-zA-Z .'Ã]"","""")"),"Gary Cole")</f>
        <v>Gary Cole</v>
      </c>
      <c r="I3061" s="16" t="s">
        <v>9676</v>
      </c>
      <c r="J3061" s="14">
        <v>200293.0</v>
      </c>
      <c r="K3061" s="14" t="s">
        <v>9677</v>
      </c>
      <c r="L3061" s="14">
        <v>621.0</v>
      </c>
      <c r="M3061" s="14" t="s">
        <v>24</v>
      </c>
      <c r="N3061" s="14" t="s">
        <v>25</v>
      </c>
      <c r="O3061" s="15">
        <v>1.0E7</v>
      </c>
      <c r="P3061" s="10">
        <f t="shared" si="2"/>
        <v>824921</v>
      </c>
      <c r="Q3061" s="12">
        <f t="shared" si="3"/>
        <v>0</v>
      </c>
      <c r="R3061" s="14">
        <v>1999.0</v>
      </c>
      <c r="S3061" s="14">
        <v>7.8</v>
      </c>
    </row>
    <row r="3062" ht="15.75" customHeight="1">
      <c r="A3062" s="7" t="s">
        <v>9678</v>
      </c>
      <c r="B3062" s="8" t="str">
        <f>IFERROR(__xludf.DUMMYFUNCTION("REGEXREPLACE(A3062, ""[^0-9a-zA-Z .'Ã]"","""")"),"Craig Brewer")</f>
        <v>Craig Brewer</v>
      </c>
      <c r="C3062" s="9">
        <v>159.0</v>
      </c>
      <c r="D3062" s="10">
        <v>2.2201636E7</v>
      </c>
      <c r="E3062" s="9" t="s">
        <v>9679</v>
      </c>
      <c r="F3062" s="9">
        <f t="shared" si="1"/>
        <v>3</v>
      </c>
      <c r="G3062" s="9" t="s">
        <v>9680</v>
      </c>
      <c r="H3062" s="11" t="str">
        <f>IFERROR(__xludf.DUMMYFUNCTION("REGEXREPLACE(G3062, ""[^0-9a-zA-Z .'Ã]"","""")"),"Isaac Hayes")</f>
        <v>Isaac Hayes</v>
      </c>
      <c r="I3062" s="11" t="s">
        <v>9681</v>
      </c>
      <c r="J3062" s="9">
        <v>33567.0</v>
      </c>
      <c r="K3062" s="9" t="s">
        <v>9682</v>
      </c>
      <c r="L3062" s="9">
        <v>206.0</v>
      </c>
      <c r="M3062" s="9" t="s">
        <v>24</v>
      </c>
      <c r="N3062" s="9" t="s">
        <v>25</v>
      </c>
      <c r="O3062" s="10">
        <v>8000000.0</v>
      </c>
      <c r="P3062" s="10">
        <f t="shared" si="2"/>
        <v>14201636</v>
      </c>
      <c r="Q3062" s="12">
        <f t="shared" si="3"/>
        <v>0</v>
      </c>
      <c r="R3062" s="9">
        <v>2005.0</v>
      </c>
      <c r="S3062" s="9">
        <v>7.4</v>
      </c>
    </row>
    <row r="3063" ht="15.75" customHeight="1">
      <c r="A3063" s="7" t="s">
        <v>9683</v>
      </c>
      <c r="B3063" s="8" t="str">
        <f>IFERROR(__xludf.DUMMYFUNCTION("REGEXREPLACE(A3063, ""[^0-9a-zA-Z .'Ã]"","""")"),"Steve Gomer")</f>
        <v>Steve Gomer</v>
      </c>
      <c r="C3063" s="9">
        <v>24.0</v>
      </c>
      <c r="D3063" s="10">
        <v>1.1144518E7</v>
      </c>
      <c r="E3063" s="9" t="s">
        <v>5679</v>
      </c>
      <c r="F3063" s="9">
        <f t="shared" si="1"/>
        <v>2</v>
      </c>
      <c r="G3063" s="9" t="s">
        <v>9684</v>
      </c>
      <c r="H3063" s="11" t="str">
        <f>IFERROR(__xludf.DUMMYFUNCTION("REGEXREPLACE(G3063, ""[^0-9a-zA-Z .'Ã]"","""")"),"Trevor Morgan")</f>
        <v>Trevor Morgan</v>
      </c>
      <c r="I3063" s="11" t="s">
        <v>9685</v>
      </c>
      <c r="J3063" s="9">
        <v>2724.0</v>
      </c>
      <c r="K3063" s="9" t="s">
        <v>9686</v>
      </c>
      <c r="L3063" s="9">
        <v>53.0</v>
      </c>
      <c r="M3063" s="9" t="s">
        <v>24</v>
      </c>
      <c r="N3063" s="9" t="s">
        <v>624</v>
      </c>
      <c r="O3063" s="10">
        <v>1.5E7</v>
      </c>
      <c r="P3063" s="10">
        <f t="shared" si="2"/>
        <v>0</v>
      </c>
      <c r="Q3063" s="12">
        <f t="shared" si="3"/>
        <v>3855482</v>
      </c>
      <c r="R3063" s="9">
        <v>1998.0</v>
      </c>
      <c r="S3063" s="9">
        <v>2.8</v>
      </c>
    </row>
    <row r="3064" ht="15.75" customHeight="1">
      <c r="A3064" s="21" t="s">
        <v>9687</v>
      </c>
      <c r="B3064" s="8" t="str">
        <f>IFERROR(__xludf.DUMMYFUNCTION("REGEXREPLACE(A3064, ""[^0-9a-zA-Z .'Ã]"","""")"),"Mikael Salomon")</f>
        <v>Mikael Salomon</v>
      </c>
      <c r="C3064" s="22">
        <v>79.0</v>
      </c>
      <c r="D3064" s="23">
        <v>1.9819494E7</v>
      </c>
      <c r="E3064" s="22" t="s">
        <v>501</v>
      </c>
      <c r="F3064" s="9">
        <f t="shared" si="1"/>
        <v>4</v>
      </c>
      <c r="G3064" s="22" t="s">
        <v>170</v>
      </c>
      <c r="H3064" s="11" t="str">
        <f>IFERROR(__xludf.DUMMYFUNCTION("REGEXREPLACE(G3064, ""[^0-9a-zA-Z .'Ã]"","""")"),"Morgan Freeman")</f>
        <v>Morgan Freeman</v>
      </c>
      <c r="I3064" s="24" t="s">
        <v>9688</v>
      </c>
      <c r="J3064" s="22">
        <v>26893.0</v>
      </c>
      <c r="K3064" s="22" t="s">
        <v>9689</v>
      </c>
      <c r="L3064" s="22">
        <v>126.0</v>
      </c>
      <c r="M3064" s="22" t="s">
        <v>24</v>
      </c>
      <c r="N3064" s="22" t="s">
        <v>25</v>
      </c>
      <c r="O3064" s="23">
        <v>7.0E7</v>
      </c>
      <c r="P3064" s="10">
        <f t="shared" si="2"/>
        <v>0</v>
      </c>
      <c r="Q3064" s="12">
        <f t="shared" si="3"/>
        <v>50180506</v>
      </c>
      <c r="R3064" s="22">
        <v>1998.0</v>
      </c>
      <c r="S3064" s="22">
        <v>5.8</v>
      </c>
    </row>
    <row r="3065" ht="15.75" customHeight="1">
      <c r="A3065" s="17" t="s">
        <v>860</v>
      </c>
      <c r="B3065" s="8" t="str">
        <f>IFERROR(__xludf.DUMMYFUNCTION("REGEXREPLACE(A3065, ""[^0-9a-zA-Z .'Ã]"","""")"),"Michael Bay")</f>
        <v>Michael Bay</v>
      </c>
      <c r="C3065" s="18">
        <v>335.0</v>
      </c>
      <c r="D3065" s="19">
        <v>4.9874933E7</v>
      </c>
      <c r="E3065" s="18" t="s">
        <v>169</v>
      </c>
      <c r="F3065" s="9">
        <f t="shared" si="1"/>
        <v>3</v>
      </c>
      <c r="G3065" s="18" t="s">
        <v>50</v>
      </c>
      <c r="H3065" s="11" t="str">
        <f>IFERROR(__xludf.DUMMYFUNCTION("REGEXREPLACE(G3065, ""[^0-9a-zA-Z .'Ã]"","""")"),"Dwayne Johnson")</f>
        <v>Dwayne Johnson</v>
      </c>
      <c r="I3065" s="20" t="s">
        <v>9690</v>
      </c>
      <c r="J3065" s="18">
        <v>161168.0</v>
      </c>
      <c r="K3065" s="18" t="s">
        <v>9691</v>
      </c>
      <c r="L3065" s="18">
        <v>287.0</v>
      </c>
      <c r="M3065" s="18" t="s">
        <v>24</v>
      </c>
      <c r="N3065" s="18" t="s">
        <v>25</v>
      </c>
      <c r="O3065" s="19">
        <v>2.6E7</v>
      </c>
      <c r="P3065" s="10">
        <f t="shared" si="2"/>
        <v>23874933</v>
      </c>
      <c r="Q3065" s="12">
        <f t="shared" si="3"/>
        <v>0</v>
      </c>
      <c r="R3065" s="18">
        <v>2013.0</v>
      </c>
      <c r="S3065" s="18">
        <v>6.5</v>
      </c>
    </row>
    <row r="3066" ht="15.75" customHeight="1">
      <c r="A3066" s="7" t="s">
        <v>2472</v>
      </c>
      <c r="B3066" s="8" t="str">
        <f>IFERROR(__xludf.DUMMYFUNCTION("REGEXREPLACE(A3066, ""[^0-9a-zA-Z .'Ã]"","""")"),"Dennie Gordon")</f>
        <v>Dennie Gordon</v>
      </c>
      <c r="C3066" s="9">
        <v>66.0</v>
      </c>
      <c r="D3066" s="10">
        <v>3.5990505E7</v>
      </c>
      <c r="E3066" s="9" t="s">
        <v>2079</v>
      </c>
      <c r="F3066" s="9">
        <f t="shared" si="1"/>
        <v>4</v>
      </c>
      <c r="G3066" s="9" t="s">
        <v>542</v>
      </c>
      <c r="H3066" s="11" t="str">
        <f>IFERROR(__xludf.DUMMYFUNCTION("REGEXREPLACE(G3066, ""[^0-9a-zA-Z .'Ã]"","""")"),"Colin Firth")</f>
        <v>Colin Firth</v>
      </c>
      <c r="I3066" s="11" t="s">
        <v>9692</v>
      </c>
      <c r="J3066" s="9">
        <v>48095.0</v>
      </c>
      <c r="K3066" s="9" t="s">
        <v>9693</v>
      </c>
      <c r="L3066" s="9">
        <v>194.0</v>
      </c>
      <c r="M3066" s="9" t="s">
        <v>24</v>
      </c>
      <c r="N3066" s="9" t="s">
        <v>25</v>
      </c>
      <c r="O3066" s="10">
        <v>2.0E7</v>
      </c>
      <c r="P3066" s="10">
        <f t="shared" si="2"/>
        <v>15990505</v>
      </c>
      <c r="Q3066" s="12">
        <f t="shared" si="3"/>
        <v>0</v>
      </c>
      <c r="R3066" s="9">
        <v>2003.0</v>
      </c>
      <c r="S3066" s="9">
        <v>5.8</v>
      </c>
    </row>
    <row r="3067" ht="15.75" customHeight="1">
      <c r="A3067" s="13" t="s">
        <v>9694</v>
      </c>
      <c r="B3067" s="8" t="str">
        <f>IFERROR(__xludf.DUMMYFUNCTION("REGEXREPLACE(A3067, ""[^0-9a-zA-Z .'Ã]"","""")"),"Todd Field")</f>
        <v>Todd Field</v>
      </c>
      <c r="C3067" s="14">
        <v>179.0</v>
      </c>
      <c r="D3067" s="15">
        <v>3.5918429E7</v>
      </c>
      <c r="E3067" s="14" t="s">
        <v>54</v>
      </c>
      <c r="F3067" s="9">
        <f t="shared" si="1"/>
        <v>2</v>
      </c>
      <c r="G3067" s="14" t="s">
        <v>1490</v>
      </c>
      <c r="H3067" s="11" t="str">
        <f>IFERROR(__xludf.DUMMYFUNCTION("REGEXREPLACE(G3067, ""[^0-9a-zA-Z .'Ã]"","""")"),"Tom Wilkinson")</f>
        <v>Tom Wilkinson</v>
      </c>
      <c r="I3067" s="16" t="s">
        <v>9695</v>
      </c>
      <c r="J3067" s="14">
        <v>32415.0</v>
      </c>
      <c r="K3067" s="14" t="s">
        <v>9696</v>
      </c>
      <c r="L3067" s="14">
        <v>510.0</v>
      </c>
      <c r="M3067" s="14" t="s">
        <v>24</v>
      </c>
      <c r="N3067" s="14" t="s">
        <v>25</v>
      </c>
      <c r="O3067" s="15">
        <v>1700000.0</v>
      </c>
      <c r="P3067" s="10">
        <f t="shared" si="2"/>
        <v>34218429</v>
      </c>
      <c r="Q3067" s="12">
        <f t="shared" si="3"/>
        <v>0</v>
      </c>
      <c r="R3067" s="14">
        <v>2001.0</v>
      </c>
      <c r="S3067" s="14">
        <v>7.5</v>
      </c>
    </row>
    <row r="3068" ht="15.75" customHeight="1">
      <c r="A3068" s="21" t="s">
        <v>5717</v>
      </c>
      <c r="B3068" s="8" t="str">
        <f>IFERROR(__xludf.DUMMYFUNCTION("REGEXREPLACE(A3068, ""[^0-9a-zA-Z .'Ã]"","""")"),"Steve Beck")</f>
        <v>Steve Beck</v>
      </c>
      <c r="C3068" s="22">
        <v>149.0</v>
      </c>
      <c r="D3068" s="23">
        <v>4.186796E7</v>
      </c>
      <c r="E3068" s="22" t="s">
        <v>148</v>
      </c>
      <c r="F3068" s="9">
        <f t="shared" si="1"/>
        <v>1</v>
      </c>
      <c r="G3068" s="22" t="s">
        <v>4601</v>
      </c>
      <c r="H3068" s="11" t="str">
        <f>IFERROR(__xludf.DUMMYFUNCTION("REGEXREPLACE(G3068, ""[^0-9a-zA-Z .'Ã]"","""")"),"Shannon Elizabeth")</f>
        <v>Shannon Elizabeth</v>
      </c>
      <c r="I3068" s="24" t="s">
        <v>9697</v>
      </c>
      <c r="J3068" s="22">
        <v>65512.0</v>
      </c>
      <c r="K3068" s="22" t="s">
        <v>9698</v>
      </c>
      <c r="L3068" s="22">
        <v>478.0</v>
      </c>
      <c r="M3068" s="22" t="s">
        <v>24</v>
      </c>
      <c r="N3068" s="22" t="s">
        <v>25</v>
      </c>
      <c r="O3068" s="23">
        <v>2.0E7</v>
      </c>
      <c r="P3068" s="10">
        <f t="shared" si="2"/>
        <v>21867960</v>
      </c>
      <c r="Q3068" s="12">
        <f t="shared" si="3"/>
        <v>0</v>
      </c>
      <c r="R3068" s="22">
        <v>2001.0</v>
      </c>
      <c r="S3068" s="22">
        <v>5.5</v>
      </c>
    </row>
    <row r="3069" ht="15.75" customHeight="1">
      <c r="A3069" s="25" t="s">
        <v>4068</v>
      </c>
      <c r="B3069" s="8" t="str">
        <f>IFERROR(__xludf.DUMMYFUNCTION("REGEXREPLACE(A3069, ""[^0-9a-zA-Z .'Ã]"","""")"),"Mel Gibson")</f>
        <v>Mel Gibson</v>
      </c>
      <c r="C3069" s="26">
        <v>283.0</v>
      </c>
      <c r="D3069" s="27">
        <v>5.0859889E7</v>
      </c>
      <c r="E3069" s="26" t="s">
        <v>925</v>
      </c>
      <c r="F3069" s="9">
        <f t="shared" si="1"/>
        <v>4</v>
      </c>
      <c r="G3069" s="26" t="s">
        <v>9699</v>
      </c>
      <c r="H3069" s="11" t="str">
        <f>IFERROR(__xludf.DUMMYFUNCTION("REGEXREPLACE(G3069, ""[^0-9a-zA-Z .'Ã]"","""")"),"Rudy Youngblood")</f>
        <v>Rudy Youngblood</v>
      </c>
      <c r="I3069" s="28" t="s">
        <v>9700</v>
      </c>
      <c r="J3069" s="26">
        <v>236000.0</v>
      </c>
      <c r="K3069" s="26" t="s">
        <v>9701</v>
      </c>
      <c r="L3069" s="26">
        <v>1043.0</v>
      </c>
      <c r="M3069" s="26" t="s">
        <v>9702</v>
      </c>
      <c r="N3069" s="26" t="s">
        <v>25</v>
      </c>
      <c r="O3069" s="27">
        <v>4.0E7</v>
      </c>
      <c r="P3069" s="10">
        <f t="shared" si="2"/>
        <v>10859889</v>
      </c>
      <c r="Q3069" s="12">
        <f t="shared" si="3"/>
        <v>0</v>
      </c>
      <c r="R3069" s="26">
        <v>2006.0</v>
      </c>
      <c r="S3069" s="26">
        <v>7.8</v>
      </c>
    </row>
    <row r="3070" ht="15.75" customHeight="1">
      <c r="A3070" s="7" t="s">
        <v>7012</v>
      </c>
      <c r="B3070" s="8" t="str">
        <f>IFERROR(__xludf.DUMMYFUNCTION("REGEXREPLACE(A3070, ""[^0-9a-zA-Z .'Ã]"","""")"),"Clare Kilner")</f>
        <v>Clare Kilner</v>
      </c>
      <c r="C3070" s="9">
        <v>46.0</v>
      </c>
      <c r="D3070" s="10">
        <v>1.4108518E7</v>
      </c>
      <c r="E3070" s="9" t="s">
        <v>159</v>
      </c>
      <c r="F3070" s="9">
        <f t="shared" si="1"/>
        <v>3</v>
      </c>
      <c r="G3070" s="9" t="s">
        <v>9703</v>
      </c>
      <c r="H3070" s="11" t="str">
        <f>IFERROR(__xludf.DUMMYFUNCTION("REGEXREPLACE(G3070, ""[^0-9a-zA-Z .'Ã]"","""")"),"Dylan Baker")</f>
        <v>Dylan Baker</v>
      </c>
      <c r="I3070" s="11" t="s">
        <v>9704</v>
      </c>
      <c r="J3070" s="9">
        <v>8215.0</v>
      </c>
      <c r="K3070" s="9" t="s">
        <v>9705</v>
      </c>
      <c r="L3070" s="9">
        <v>95.0</v>
      </c>
      <c r="M3070" s="9" t="s">
        <v>24</v>
      </c>
      <c r="N3070" s="9" t="s">
        <v>25</v>
      </c>
      <c r="O3070" s="10">
        <v>1.6E7</v>
      </c>
      <c r="P3070" s="10">
        <f t="shared" si="2"/>
        <v>0</v>
      </c>
      <c r="Q3070" s="12">
        <f t="shared" si="3"/>
        <v>1891482</v>
      </c>
      <c r="R3070" s="9">
        <v>2003.0</v>
      </c>
      <c r="S3070" s="9">
        <v>5.7</v>
      </c>
    </row>
    <row r="3071" ht="15.75" customHeight="1">
      <c r="A3071" s="13" t="s">
        <v>9706</v>
      </c>
      <c r="B3071" s="8" t="str">
        <f>IFERROR(__xludf.DUMMYFUNCTION("REGEXREPLACE(A3071, ""[^0-9a-zA-Z .'Ã]"","""")"),"Li Zhang")</f>
        <v>Li Zhang</v>
      </c>
      <c r="C3071" s="14">
        <v>63.0</v>
      </c>
      <c r="D3071" s="15">
        <v>127437.0</v>
      </c>
      <c r="E3071" s="14" t="s">
        <v>1479</v>
      </c>
      <c r="F3071" s="9">
        <f t="shared" si="1"/>
        <v>5</v>
      </c>
      <c r="G3071" s="14" t="s">
        <v>214</v>
      </c>
      <c r="H3071" s="11" t="str">
        <f>IFERROR(__xludf.DUMMYFUNCTION("REGEXREPLACE(G3071, ""[^0-9a-zA-Z .'Ã]"","""")"),"Bingbing Li")</f>
        <v>Bingbing Li</v>
      </c>
      <c r="I3071" s="16" t="s">
        <v>9707</v>
      </c>
      <c r="J3071" s="14">
        <v>4670.0</v>
      </c>
      <c r="K3071" s="14" t="s">
        <v>9708</v>
      </c>
      <c r="L3071" s="14">
        <v>27.0</v>
      </c>
      <c r="M3071" s="14" t="s">
        <v>3260</v>
      </c>
      <c r="N3071" s="14" t="s">
        <v>217</v>
      </c>
      <c r="O3071" s="15">
        <v>1.8E7</v>
      </c>
      <c r="P3071" s="10">
        <f t="shared" si="2"/>
        <v>0</v>
      </c>
      <c r="Q3071" s="12">
        <f t="shared" si="3"/>
        <v>17872563</v>
      </c>
      <c r="R3071" s="14">
        <v>2011.0</v>
      </c>
      <c r="S3071" s="14">
        <v>6.0</v>
      </c>
    </row>
    <row r="3072" ht="15.75" customHeight="1">
      <c r="A3072" s="7" t="s">
        <v>9709</v>
      </c>
      <c r="B3072" s="8" t="str">
        <f>IFERROR(__xludf.DUMMYFUNCTION("REGEXREPLACE(A3072, ""[^0-9a-zA-Z .'Ã]"","""")"),"Peter M. Cohen")</f>
        <v>Peter M. Cohen</v>
      </c>
      <c r="C3072" s="9">
        <v>48.0</v>
      </c>
      <c r="D3072" s="10">
        <v>4142507.0</v>
      </c>
      <c r="E3072" s="9" t="s">
        <v>89</v>
      </c>
      <c r="F3072" s="9">
        <f t="shared" si="1"/>
        <v>2</v>
      </c>
      <c r="G3072" s="9" t="s">
        <v>9710</v>
      </c>
      <c r="H3072" s="11" t="str">
        <f>IFERROR(__xludf.DUMMYFUNCTION("REGEXREPLACE(G3072, ""[^0-9a-zA-Z .'Ã]"","""")"),"Callie Thorne")</f>
        <v>Callie Thorne</v>
      </c>
      <c r="I3072" s="11" t="s">
        <v>9711</v>
      </c>
      <c r="J3072" s="9">
        <v>3665.0</v>
      </c>
      <c r="K3072" s="9" t="s">
        <v>9712</v>
      </c>
      <c r="L3072" s="9">
        <v>81.0</v>
      </c>
      <c r="M3072" s="9" t="s">
        <v>24</v>
      </c>
      <c r="N3072" s="9" t="s">
        <v>25</v>
      </c>
      <c r="O3072" s="10">
        <v>3000000.0</v>
      </c>
      <c r="P3072" s="10">
        <f t="shared" si="2"/>
        <v>1142507</v>
      </c>
      <c r="Q3072" s="12">
        <f t="shared" si="3"/>
        <v>0</v>
      </c>
      <c r="R3072" s="9">
        <v>2000.0</v>
      </c>
      <c r="S3072" s="9">
        <v>4.4</v>
      </c>
    </row>
    <row r="3073" ht="15.75" customHeight="1">
      <c r="A3073" s="7" t="s">
        <v>9713</v>
      </c>
      <c r="B3073" s="8" t="str">
        <f>IFERROR(__xludf.DUMMYFUNCTION("REGEXREPLACE(A3073, ""[^0-9a-zA-Z .'Ã]"","""")"),"Kirk Wong")</f>
        <v>Kirk Wong</v>
      </c>
      <c r="C3073" s="9">
        <v>57.0</v>
      </c>
      <c r="D3073" s="10">
        <v>2.7052167E7</v>
      </c>
      <c r="E3073" s="9" t="s">
        <v>790</v>
      </c>
      <c r="F3073" s="9">
        <f t="shared" si="1"/>
        <v>4</v>
      </c>
      <c r="G3073" s="9" t="s">
        <v>5464</v>
      </c>
      <c r="H3073" s="11" t="str">
        <f>IFERROR(__xludf.DUMMYFUNCTION("REGEXREPLACE(G3073, ""[^0-9a-zA-Z .'Ã]"","""")"),"Bokeem Woodbine")</f>
        <v>Bokeem Woodbine</v>
      </c>
      <c r="I3073" s="11" t="s">
        <v>9714</v>
      </c>
      <c r="J3073" s="9">
        <v>24834.0</v>
      </c>
      <c r="K3073" s="9" t="s">
        <v>9715</v>
      </c>
      <c r="L3073" s="9">
        <v>168.0</v>
      </c>
      <c r="M3073" s="9" t="s">
        <v>24</v>
      </c>
      <c r="N3073" s="9" t="s">
        <v>25</v>
      </c>
      <c r="O3073" s="10">
        <v>1.3E7</v>
      </c>
      <c r="P3073" s="10">
        <f t="shared" si="2"/>
        <v>14052167</v>
      </c>
      <c r="Q3073" s="12">
        <f t="shared" si="3"/>
        <v>0</v>
      </c>
      <c r="R3073" s="9">
        <v>1998.0</v>
      </c>
      <c r="S3073" s="9">
        <v>6.1</v>
      </c>
    </row>
    <row r="3074" ht="15.75" customHeight="1">
      <c r="A3074" s="7" t="s">
        <v>9716</v>
      </c>
      <c r="B3074" s="8" t="str">
        <f>IFERROR(__xludf.DUMMYFUNCTION("REGEXREPLACE(A3074, ""[^0-9a-zA-Z .'Ã]"","""")"),"Ricky Gervais")</f>
        <v>Ricky Gervais</v>
      </c>
      <c r="C3074" s="9">
        <v>192.0</v>
      </c>
      <c r="D3074" s="10">
        <v>1.8439082E7</v>
      </c>
      <c r="E3074" s="9" t="s">
        <v>1741</v>
      </c>
      <c r="F3074" s="9">
        <f t="shared" si="1"/>
        <v>3</v>
      </c>
      <c r="G3074" s="9" t="s">
        <v>862</v>
      </c>
      <c r="H3074" s="11" t="str">
        <f>IFERROR(__xludf.DUMMYFUNCTION("REGEXREPLACE(G3074, ""[^0-9a-zA-Z .'Ã]"","""")"),"Jennifer Garner")</f>
        <v>Jennifer Garner</v>
      </c>
      <c r="I3074" s="11" t="s">
        <v>9717</v>
      </c>
      <c r="J3074" s="9">
        <v>94292.0</v>
      </c>
      <c r="K3074" s="9" t="s">
        <v>9718</v>
      </c>
      <c r="L3074" s="9">
        <v>287.0</v>
      </c>
      <c r="M3074" s="9" t="s">
        <v>24</v>
      </c>
      <c r="N3074" s="9" t="s">
        <v>25</v>
      </c>
      <c r="O3074" s="10">
        <v>1.85E7</v>
      </c>
      <c r="P3074" s="10">
        <f t="shared" si="2"/>
        <v>0</v>
      </c>
      <c r="Q3074" s="12">
        <f t="shared" si="3"/>
        <v>60918</v>
      </c>
      <c r="R3074" s="9">
        <v>2009.0</v>
      </c>
      <c r="S3074" s="9">
        <v>6.4</v>
      </c>
    </row>
    <row r="3075" ht="15.75" customHeight="1">
      <c r="A3075" s="13" t="s">
        <v>1079</v>
      </c>
      <c r="B3075" s="8" t="str">
        <f>IFERROR(__xludf.DUMMYFUNCTION("REGEXREPLACE(A3075, ""[^0-9a-zA-Z .'Ã]"","""")"),"Peter Sollett")</f>
        <v>Peter Sollett</v>
      </c>
      <c r="C3075" s="14">
        <v>166.0</v>
      </c>
      <c r="D3075" s="15">
        <v>3.1487293E7</v>
      </c>
      <c r="E3075" s="14" t="s">
        <v>1009</v>
      </c>
      <c r="F3075" s="9">
        <f t="shared" si="1"/>
        <v>4</v>
      </c>
      <c r="G3075" s="14" t="s">
        <v>9719</v>
      </c>
      <c r="H3075" s="11" t="str">
        <f>IFERROR(__xludf.DUMMYFUNCTION("REGEXREPLACE(G3075, ""[^0-9a-zA-Z .'Ã]"","""")"),"Ari Graynor")</f>
        <v>Ari Graynor</v>
      </c>
      <c r="I3075" s="16" t="s">
        <v>9720</v>
      </c>
      <c r="J3075" s="14">
        <v>74887.0</v>
      </c>
      <c r="K3075" s="14" t="s">
        <v>9721</v>
      </c>
      <c r="L3075" s="14">
        <v>129.0</v>
      </c>
      <c r="M3075" s="14" t="s">
        <v>24</v>
      </c>
      <c r="N3075" s="14" t="s">
        <v>25</v>
      </c>
      <c r="O3075" s="15">
        <v>9000000.0</v>
      </c>
      <c r="P3075" s="10">
        <f t="shared" si="2"/>
        <v>22487293</v>
      </c>
      <c r="Q3075" s="12">
        <f t="shared" si="3"/>
        <v>0</v>
      </c>
      <c r="R3075" s="14">
        <v>2008.0</v>
      </c>
      <c r="S3075" s="14">
        <v>6.7</v>
      </c>
    </row>
    <row r="3076" ht="15.75" customHeight="1">
      <c r="A3076" s="21" t="s">
        <v>4100</v>
      </c>
      <c r="B3076" s="8" t="str">
        <f>IFERROR(__xludf.DUMMYFUNCTION("REGEXREPLACE(A3076, ""[^0-9a-zA-Z .'Ã]"","""")"),"John Polson")</f>
        <v>John Polson</v>
      </c>
      <c r="C3076" s="22">
        <v>86.0</v>
      </c>
      <c r="D3076" s="23">
        <v>2.8563926E7</v>
      </c>
      <c r="E3076" s="22" t="s">
        <v>369</v>
      </c>
      <c r="F3076" s="9">
        <f t="shared" si="1"/>
        <v>2</v>
      </c>
      <c r="G3076" s="22" t="s">
        <v>3084</v>
      </c>
      <c r="H3076" s="11" t="str">
        <f>IFERROR(__xludf.DUMMYFUNCTION("REGEXREPLACE(G3076, ""[^0-9a-zA-Z .'Ã]"","""")"),"Erika Christensen")</f>
        <v>Erika Christensen</v>
      </c>
      <c r="I3076" s="24" t="s">
        <v>9722</v>
      </c>
      <c r="J3076" s="22">
        <v>16300.0</v>
      </c>
      <c r="K3076" s="22" t="s">
        <v>9723</v>
      </c>
      <c r="L3076" s="22">
        <v>217.0</v>
      </c>
      <c r="M3076" s="22" t="s">
        <v>24</v>
      </c>
      <c r="N3076" s="22" t="s">
        <v>25</v>
      </c>
      <c r="O3076" s="23">
        <v>8500000.0</v>
      </c>
      <c r="P3076" s="10">
        <f t="shared" si="2"/>
        <v>20063926</v>
      </c>
      <c r="Q3076" s="12">
        <f t="shared" si="3"/>
        <v>0</v>
      </c>
      <c r="R3076" s="22">
        <v>2002.0</v>
      </c>
      <c r="S3076" s="22">
        <v>5.0</v>
      </c>
    </row>
    <row r="3077" ht="15.75" customHeight="1">
      <c r="A3077" s="17" t="s">
        <v>5537</v>
      </c>
      <c r="B3077" s="8" t="str">
        <f>IFERROR(__xludf.DUMMYFUNCTION("REGEXREPLACE(A3077, ""[^0-9a-zA-Z .'Ã]"","""")"),"Harald Zwart")</f>
        <v>Harald Zwart</v>
      </c>
      <c r="C3077" s="18">
        <v>212.0</v>
      </c>
      <c r="D3077" s="19">
        <v>3.1165421E7</v>
      </c>
      <c r="E3077" s="18" t="s">
        <v>9724</v>
      </c>
      <c r="F3077" s="9">
        <f t="shared" si="1"/>
        <v>4</v>
      </c>
      <c r="G3077" s="18" t="s">
        <v>6458</v>
      </c>
      <c r="H3077" s="11" t="str">
        <f>IFERROR(__xludf.DUMMYFUNCTION("REGEXREPLACE(G3077, ""[^0-9a-zA-Z .'Ã]"","""")"),"Aidan Turner")</f>
        <v>Aidan Turner</v>
      </c>
      <c r="I3077" s="20" t="s">
        <v>9725</v>
      </c>
      <c r="J3077" s="18">
        <v>107028.0</v>
      </c>
      <c r="K3077" s="18" t="s">
        <v>9726</v>
      </c>
      <c r="L3077" s="18">
        <v>457.0</v>
      </c>
      <c r="M3077" s="18" t="s">
        <v>24</v>
      </c>
      <c r="N3077" s="18" t="s">
        <v>25</v>
      </c>
      <c r="O3077" s="19">
        <v>6.0E7</v>
      </c>
      <c r="P3077" s="10">
        <f t="shared" si="2"/>
        <v>0</v>
      </c>
      <c r="Q3077" s="12">
        <f t="shared" si="3"/>
        <v>28834579</v>
      </c>
      <c r="R3077" s="18">
        <v>2013.0</v>
      </c>
      <c r="S3077" s="18">
        <v>6.0</v>
      </c>
    </row>
    <row r="3078" ht="15.75" customHeight="1">
      <c r="A3078" s="25" t="s">
        <v>7079</v>
      </c>
      <c r="B3078" s="8" t="str">
        <f>IFERROR(__xludf.DUMMYFUNCTION("REGEXREPLACE(A3078, ""[^0-9a-zA-Z .'Ã]"","""")"),"Jay Chandrasekhar")</f>
        <v>Jay Chandrasekhar</v>
      </c>
      <c r="C3078" s="26">
        <v>91.0</v>
      </c>
      <c r="D3078" s="27">
        <v>1.9179969E7</v>
      </c>
      <c r="E3078" s="26" t="s">
        <v>137</v>
      </c>
      <c r="F3078" s="9">
        <f t="shared" si="1"/>
        <v>1</v>
      </c>
      <c r="G3078" s="26" t="s">
        <v>9727</v>
      </c>
      <c r="H3078" s="11" t="str">
        <f>IFERROR(__xludf.DUMMYFUNCTION("REGEXREPLACE(G3078, ""[^0-9a-zA-Z .'Ã]"","""")"),"Chris Moss")</f>
        <v>Chris Moss</v>
      </c>
      <c r="I3078" s="28" t="s">
        <v>9728</v>
      </c>
      <c r="J3078" s="26">
        <v>54710.0</v>
      </c>
      <c r="K3078" s="26" t="s">
        <v>9729</v>
      </c>
      <c r="L3078" s="26">
        <v>177.0</v>
      </c>
      <c r="M3078" s="26" t="s">
        <v>24</v>
      </c>
      <c r="N3078" s="26" t="s">
        <v>25</v>
      </c>
      <c r="O3078" s="27">
        <v>1.75E7</v>
      </c>
      <c r="P3078" s="10">
        <f t="shared" si="2"/>
        <v>1679969</v>
      </c>
      <c r="Q3078" s="12">
        <f t="shared" si="3"/>
        <v>0</v>
      </c>
      <c r="R3078" s="26">
        <v>2006.0</v>
      </c>
      <c r="S3078" s="26">
        <v>6.3</v>
      </c>
    </row>
    <row r="3079" ht="15.75" customHeight="1">
      <c r="A3079" s="17" t="s">
        <v>68</v>
      </c>
      <c r="B3079" s="8" t="str">
        <f>IFERROR(__xludf.DUMMYFUNCTION("REGEXREPLACE(A3079, ""[^0-9a-zA-Z .'Ã]"","""")"),"Spike Lee")</f>
        <v>Spike Lee</v>
      </c>
      <c r="C3079" s="18">
        <v>103.0</v>
      </c>
      <c r="D3079" s="19">
        <v>2.7545445E7</v>
      </c>
      <c r="E3079" s="18" t="s">
        <v>103</v>
      </c>
      <c r="F3079" s="9">
        <f t="shared" si="1"/>
        <v>1</v>
      </c>
      <c r="G3079" s="18" t="s">
        <v>9730</v>
      </c>
      <c r="H3079" s="11" t="str">
        <f>IFERROR(__xludf.DUMMYFUNCTION("REGEXREPLACE(G3079, ""[^0-9a-zA-Z .'Ã]"","""")"),"Ruby Dee")</f>
        <v>Ruby Dee</v>
      </c>
      <c r="I3079" s="20" t="s">
        <v>9731</v>
      </c>
      <c r="J3079" s="18">
        <v>59524.0</v>
      </c>
      <c r="K3079" s="18" t="s">
        <v>9732</v>
      </c>
      <c r="L3079" s="18">
        <v>418.0</v>
      </c>
      <c r="M3079" s="18" t="s">
        <v>24</v>
      </c>
      <c r="N3079" s="18" t="s">
        <v>25</v>
      </c>
      <c r="O3079" s="19">
        <v>6500000.0</v>
      </c>
      <c r="P3079" s="10">
        <f t="shared" si="2"/>
        <v>21045445</v>
      </c>
      <c r="Q3079" s="12">
        <f t="shared" si="3"/>
        <v>0</v>
      </c>
      <c r="R3079" s="18">
        <v>1989.0</v>
      </c>
      <c r="S3079" s="18">
        <v>7.9</v>
      </c>
    </row>
    <row r="3080" ht="15.75" customHeight="1">
      <c r="A3080" s="21" t="s">
        <v>1278</v>
      </c>
      <c r="B3080" s="8" t="str">
        <f>IFERROR(__xludf.DUMMYFUNCTION("REGEXREPLACE(A3080, ""[^0-9a-zA-Z .'Ã]"","""")"),"Guy Hamilton")</f>
        <v>Guy Hamilton</v>
      </c>
      <c r="C3080" s="22">
        <v>136.0</v>
      </c>
      <c r="D3080" s="23">
        <v>3.54E7</v>
      </c>
      <c r="E3080" s="22" t="s">
        <v>474</v>
      </c>
      <c r="F3080" s="9">
        <f t="shared" si="1"/>
        <v>3</v>
      </c>
      <c r="G3080" s="22" t="s">
        <v>9733</v>
      </c>
      <c r="H3080" s="11" t="str">
        <f>IFERROR(__xludf.DUMMYFUNCTION("REGEXREPLACE(G3080, ""[^0-9a-zA-Z .'Ã]"","""")"),"Yaphet Kotto")</f>
        <v>Yaphet Kotto</v>
      </c>
      <c r="I3080" s="24" t="s">
        <v>9734</v>
      </c>
      <c r="J3080" s="22">
        <v>74957.0</v>
      </c>
      <c r="K3080" s="22" t="s">
        <v>9735</v>
      </c>
      <c r="L3080" s="22">
        <v>251.0</v>
      </c>
      <c r="M3080" s="22" t="s">
        <v>24</v>
      </c>
      <c r="N3080" s="22" t="s">
        <v>130</v>
      </c>
      <c r="O3080" s="23">
        <v>7000000.0</v>
      </c>
      <c r="P3080" s="10">
        <f t="shared" si="2"/>
        <v>28400000</v>
      </c>
      <c r="Q3080" s="12">
        <f t="shared" si="3"/>
        <v>0</v>
      </c>
      <c r="R3080" s="22">
        <v>1973.0</v>
      </c>
      <c r="S3080" s="22">
        <v>6.8</v>
      </c>
    </row>
    <row r="3081" ht="15.75" customHeight="1">
      <c r="A3081" s="17" t="s">
        <v>4235</v>
      </c>
      <c r="B3081" s="8" t="str">
        <f>IFERROR(__xludf.DUMMYFUNCTION("REGEXREPLACE(A3081, ""[^0-9a-zA-Z .'Ã]"","""")"),"James Algar")</f>
        <v>James Algar</v>
      </c>
      <c r="C3081" s="18">
        <v>99.0</v>
      </c>
      <c r="D3081" s="19">
        <v>7.64E7</v>
      </c>
      <c r="E3081" s="18" t="s">
        <v>4236</v>
      </c>
      <c r="F3081" s="9">
        <f t="shared" si="1"/>
        <v>4</v>
      </c>
      <c r="G3081" s="18" t="s">
        <v>9736</v>
      </c>
      <c r="H3081" s="11" t="str">
        <f>IFERROR(__xludf.DUMMYFUNCTION("REGEXREPLACE(G3081, ""[^0-9a-zA-Z .'Ã]"","""")"),"Leopold Stokowski")</f>
        <v>Leopold Stokowski</v>
      </c>
      <c r="I3081" s="20" t="s">
        <v>9737</v>
      </c>
      <c r="J3081" s="18">
        <v>71321.0</v>
      </c>
      <c r="K3081" s="18" t="s">
        <v>9738</v>
      </c>
      <c r="L3081" s="18">
        <v>230.0</v>
      </c>
      <c r="M3081" s="18" t="s">
        <v>24</v>
      </c>
      <c r="N3081" s="18" t="s">
        <v>25</v>
      </c>
      <c r="O3081" s="19">
        <v>2280000.0</v>
      </c>
      <c r="P3081" s="10">
        <f t="shared" si="2"/>
        <v>74120000</v>
      </c>
      <c r="Q3081" s="12">
        <f t="shared" si="3"/>
        <v>0</v>
      </c>
      <c r="R3081" s="18">
        <v>1940.0</v>
      </c>
      <c r="S3081" s="18">
        <v>7.8</v>
      </c>
    </row>
    <row r="3082" ht="15.75" customHeight="1">
      <c r="A3082" s="7" t="s">
        <v>9739</v>
      </c>
      <c r="B3082" s="8" t="str">
        <f>IFERROR(__xludf.DUMMYFUNCTION("REGEXREPLACE(A3082, ""[^0-9a-zA-Z -.'Ã]"","""")"),"Fernando LeÃn de Aranoa")</f>
        <v>Fernando LeÃn de Aranoa</v>
      </c>
      <c r="C3082" s="9">
        <v>64.0</v>
      </c>
      <c r="D3082" s="10">
        <v>146402.0</v>
      </c>
      <c r="E3082" s="9" t="s">
        <v>454</v>
      </c>
      <c r="F3082" s="9">
        <f t="shared" si="1"/>
        <v>2</v>
      </c>
      <c r="G3082" s="9" t="s">
        <v>9740</v>
      </c>
      <c r="H3082" s="11" t="str">
        <f>IFERROR(__xludf.DUMMYFUNCTION("REGEXREPLACE(G3082, ""[^0-9a-zA-Z .'Ã]"","""")"),"Luis Tosar")</f>
        <v>Luis Tosar</v>
      </c>
      <c r="I3082" s="11" t="s">
        <v>9741</v>
      </c>
      <c r="J3082" s="9">
        <v>9913.0</v>
      </c>
      <c r="K3082" s="9" t="s">
        <v>9742</v>
      </c>
      <c r="L3082" s="9">
        <v>38.0</v>
      </c>
      <c r="M3082" s="9" t="s">
        <v>1553</v>
      </c>
      <c r="N3082" s="9" t="s">
        <v>1108</v>
      </c>
      <c r="O3082" s="10">
        <v>4000000.0</v>
      </c>
      <c r="P3082" s="10">
        <f t="shared" si="2"/>
        <v>0</v>
      </c>
      <c r="Q3082" s="12">
        <f t="shared" si="3"/>
        <v>3853598</v>
      </c>
      <c r="R3082" s="9">
        <v>2002.0</v>
      </c>
      <c r="S3082" s="9">
        <v>7.7</v>
      </c>
    </row>
    <row r="3083" ht="15.75" customHeight="1">
      <c r="A3083" s="17" t="s">
        <v>9743</v>
      </c>
      <c r="B3083" s="8" t="str">
        <f>IFERROR(__xludf.DUMMYFUNCTION("REGEXREPLACE(A3083, ""[^0-9a-zA-Z .'Ã]"","""")"),"Chris Eyre")</f>
        <v>Chris Eyre</v>
      </c>
      <c r="C3083" s="18">
        <v>56.0</v>
      </c>
      <c r="D3083" s="19">
        <v>6719300.0</v>
      </c>
      <c r="E3083" s="18" t="s">
        <v>454</v>
      </c>
      <c r="F3083" s="9">
        <f t="shared" si="1"/>
        <v>2</v>
      </c>
      <c r="G3083" s="18" t="s">
        <v>9744</v>
      </c>
      <c r="H3083" s="11" t="str">
        <f>IFERROR(__xludf.DUMMYFUNCTION("REGEXREPLACE(G3083, ""[^0-9a-zA-Z .'Ã]"","""")"),"Michael Greyeyes")</f>
        <v>Michael Greyeyes</v>
      </c>
      <c r="I3083" s="20" t="s">
        <v>9745</v>
      </c>
      <c r="J3083" s="18">
        <v>8224.0</v>
      </c>
      <c r="K3083" s="18" t="s">
        <v>9746</v>
      </c>
      <c r="L3083" s="18">
        <v>132.0</v>
      </c>
      <c r="M3083" s="18" t="s">
        <v>24</v>
      </c>
      <c r="N3083" s="18" t="s">
        <v>624</v>
      </c>
      <c r="O3083" s="19">
        <v>2000000.0</v>
      </c>
      <c r="P3083" s="10">
        <f t="shared" si="2"/>
        <v>4719300</v>
      </c>
      <c r="Q3083" s="12">
        <f t="shared" si="3"/>
        <v>0</v>
      </c>
      <c r="R3083" s="18">
        <v>1998.0</v>
      </c>
      <c r="S3083" s="18">
        <v>7.2</v>
      </c>
    </row>
    <row r="3084" ht="15.75" customHeight="1">
      <c r="A3084" s="17" t="s">
        <v>7325</v>
      </c>
      <c r="B3084" s="8" t="str">
        <f>IFERROR(__xludf.DUMMYFUNCTION("REGEXREPLACE(A3084, ""[^0-9a-zA-Z .'Ã]"","""")"),"Lone Scherfig")</f>
        <v>Lone Scherfig</v>
      </c>
      <c r="C3084" s="18">
        <v>278.0</v>
      </c>
      <c r="D3084" s="19">
        <v>1.2574715E7</v>
      </c>
      <c r="E3084" s="18" t="s">
        <v>103</v>
      </c>
      <c r="F3084" s="9">
        <f t="shared" si="1"/>
        <v>1</v>
      </c>
      <c r="G3084" s="18" t="s">
        <v>2478</v>
      </c>
      <c r="H3084" s="11" t="str">
        <f>IFERROR(__xludf.DUMMYFUNCTION("REGEXREPLACE(G3084, ""[^0-9a-zA-Z .'Ã]"","""")"),"Dominic Cooper")</f>
        <v>Dominic Cooper</v>
      </c>
      <c r="I3084" s="20" t="s">
        <v>9747</v>
      </c>
      <c r="J3084" s="18">
        <v>112138.0</v>
      </c>
      <c r="K3084" s="18" t="s">
        <v>9748</v>
      </c>
      <c r="L3084" s="18">
        <v>237.0</v>
      </c>
      <c r="M3084" s="18" t="s">
        <v>24</v>
      </c>
      <c r="N3084" s="18" t="s">
        <v>130</v>
      </c>
      <c r="O3084" s="19">
        <v>4500000.0</v>
      </c>
      <c r="P3084" s="10">
        <f t="shared" si="2"/>
        <v>8074715</v>
      </c>
      <c r="Q3084" s="12">
        <f t="shared" si="3"/>
        <v>0</v>
      </c>
      <c r="R3084" s="18">
        <v>2009.0</v>
      </c>
      <c r="S3084" s="18">
        <v>7.3</v>
      </c>
    </row>
    <row r="3085" ht="15.75" customHeight="1">
      <c r="A3085" s="7" t="s">
        <v>7897</v>
      </c>
      <c r="B3085" s="8" t="str">
        <f>IFERROR(__xludf.DUMMYFUNCTION("REGEXREPLACE(A3085, ""[^0-9a-zA-Z -.'Ã]"","""")"),"Chan-wook Park")</f>
        <v>Chan-wook Park</v>
      </c>
      <c r="C3085" s="9">
        <v>305.0</v>
      </c>
      <c r="D3085" s="10">
        <v>2181290.0</v>
      </c>
      <c r="E3085" s="9" t="s">
        <v>311</v>
      </c>
      <c r="F3085" s="9">
        <f t="shared" si="1"/>
        <v>3</v>
      </c>
      <c r="G3085" s="9" t="s">
        <v>7837</v>
      </c>
      <c r="H3085" s="11" t="str">
        <f>IFERROR(__xludf.DUMMYFUNCTION("REGEXREPLACE(G3085, ""[^0-9a-zA-Z .'Ã]"","""")"),"Minsik Choi")</f>
        <v>Minsik Choi</v>
      </c>
      <c r="I3085" s="11" t="s">
        <v>9749</v>
      </c>
      <c r="J3085" s="9">
        <v>356181.0</v>
      </c>
      <c r="K3085" s="9" t="s">
        <v>9750</v>
      </c>
      <c r="L3085" s="9">
        <v>809.0</v>
      </c>
      <c r="M3085" s="9" t="s">
        <v>1765</v>
      </c>
      <c r="N3085" s="9" t="s">
        <v>1766</v>
      </c>
      <c r="O3085" s="10">
        <v>3000000.0</v>
      </c>
      <c r="P3085" s="10">
        <f t="shared" si="2"/>
        <v>0</v>
      </c>
      <c r="Q3085" s="12">
        <f t="shared" si="3"/>
        <v>818710</v>
      </c>
      <c r="R3085" s="9">
        <v>2003.0</v>
      </c>
      <c r="S3085" s="9">
        <v>8.4</v>
      </c>
    </row>
    <row r="3086" ht="15.75" customHeight="1">
      <c r="A3086" s="21" t="s">
        <v>5976</v>
      </c>
      <c r="B3086" s="8" t="str">
        <f>IFERROR(__xludf.DUMMYFUNCTION("REGEXREPLACE(A3086, ""[^0-9a-zA-Z .'Ã]"","""")"),"Mike Judge")</f>
        <v>Mike Judge</v>
      </c>
      <c r="C3086" s="22">
        <v>192.0</v>
      </c>
      <c r="D3086" s="23">
        <v>1.0814185E7</v>
      </c>
      <c r="E3086" s="22" t="s">
        <v>241</v>
      </c>
      <c r="F3086" s="9">
        <f t="shared" si="1"/>
        <v>3</v>
      </c>
      <c r="G3086" s="22" t="s">
        <v>878</v>
      </c>
      <c r="H3086" s="11" t="str">
        <f>IFERROR(__xludf.DUMMYFUNCTION("REGEXREPLACE(G3086, ""[^0-9a-zA-Z .'Ã]"","""")"),"J.K. Simmons")</f>
        <v>J.K. Simmons</v>
      </c>
      <c r="I3086" s="24" t="s">
        <v>9751</v>
      </c>
      <c r="J3086" s="22">
        <v>37530.0</v>
      </c>
      <c r="K3086" s="22" t="s">
        <v>9752</v>
      </c>
      <c r="L3086" s="22">
        <v>106.0</v>
      </c>
      <c r="M3086" s="22" t="s">
        <v>24</v>
      </c>
      <c r="N3086" s="22" t="s">
        <v>25</v>
      </c>
      <c r="O3086" s="23">
        <v>8000000.0</v>
      </c>
      <c r="P3086" s="10">
        <f t="shared" si="2"/>
        <v>2814185</v>
      </c>
      <c r="Q3086" s="12">
        <f t="shared" si="3"/>
        <v>0</v>
      </c>
      <c r="R3086" s="22">
        <v>2009.0</v>
      </c>
      <c r="S3086" s="22">
        <v>6.2</v>
      </c>
    </row>
    <row r="3087" ht="15.75" customHeight="1">
      <c r="A3087" s="21" t="s">
        <v>2020</v>
      </c>
      <c r="B3087" s="8" t="str">
        <f>IFERROR(__xludf.DUMMYFUNCTION("REGEXREPLACE(A3087, ""[^0-9a-zA-Z .'Ã]"","""")"),"Darren Aronofsky")</f>
        <v>Darren Aronofsky</v>
      </c>
      <c r="C3087" s="22">
        <v>138.0</v>
      </c>
      <c r="D3087" s="23">
        <v>3216970.0</v>
      </c>
      <c r="E3087" s="22" t="s">
        <v>311</v>
      </c>
      <c r="F3087" s="9">
        <f t="shared" si="1"/>
        <v>3</v>
      </c>
      <c r="G3087" s="22" t="s">
        <v>5170</v>
      </c>
      <c r="H3087" s="11" t="str">
        <f>IFERROR(__xludf.DUMMYFUNCTION("REGEXREPLACE(G3087, ""[^0-9a-zA-Z .'Ã]"","""")"),"Mark Margolis")</f>
        <v>Mark Margolis</v>
      </c>
      <c r="I3087" s="24" t="s">
        <v>9753</v>
      </c>
      <c r="J3087" s="22">
        <v>142619.0</v>
      </c>
      <c r="K3087" s="22" t="s">
        <v>9754</v>
      </c>
      <c r="L3087" s="22">
        <v>586.0</v>
      </c>
      <c r="M3087" s="22" t="s">
        <v>24</v>
      </c>
      <c r="N3087" s="22" t="s">
        <v>25</v>
      </c>
      <c r="O3087" s="23">
        <v>60000.0</v>
      </c>
      <c r="P3087" s="10">
        <f t="shared" si="2"/>
        <v>3156970</v>
      </c>
      <c r="Q3087" s="12">
        <f t="shared" si="3"/>
        <v>0</v>
      </c>
      <c r="R3087" s="22">
        <v>1998.0</v>
      </c>
      <c r="S3087" s="22">
        <v>7.5</v>
      </c>
    </row>
    <row r="3088" ht="15.75" customHeight="1">
      <c r="A3088" s="17" t="s">
        <v>1515</v>
      </c>
      <c r="B3088" s="8" t="str">
        <f>IFERROR(__xludf.DUMMYFUNCTION("REGEXREPLACE(A3088, ""[^0-9a-zA-Z .'Ã]"","""")"),"Marc Forster")</f>
        <v>Marc Forster</v>
      </c>
      <c r="C3088" s="18">
        <v>201.0</v>
      </c>
      <c r="D3088" s="19">
        <v>1.5797907E7</v>
      </c>
      <c r="E3088" s="18" t="s">
        <v>103</v>
      </c>
      <c r="F3088" s="9">
        <f t="shared" si="1"/>
        <v>1</v>
      </c>
      <c r="G3088" s="18" t="s">
        <v>9755</v>
      </c>
      <c r="H3088" s="11" t="str">
        <f>IFERROR(__xludf.DUMMYFUNCTION("REGEXREPLACE(G3088, ""[^0-9a-zA-Z .'Ã]"","""")"),"Mustafa Haidari")</f>
        <v>Mustafa Haidari</v>
      </c>
      <c r="I3088" s="20" t="s">
        <v>9756</v>
      </c>
      <c r="J3088" s="18">
        <v>68119.0</v>
      </c>
      <c r="K3088" s="18" t="s">
        <v>9757</v>
      </c>
      <c r="L3088" s="18">
        <v>230.0</v>
      </c>
      <c r="M3088" s="18" t="s">
        <v>7436</v>
      </c>
      <c r="N3088" s="18" t="s">
        <v>25</v>
      </c>
      <c r="O3088" s="19">
        <v>2.0E7</v>
      </c>
      <c r="P3088" s="10">
        <f t="shared" si="2"/>
        <v>0</v>
      </c>
      <c r="Q3088" s="12">
        <f t="shared" si="3"/>
        <v>4202093</v>
      </c>
      <c r="R3088" s="18">
        <v>2007.0</v>
      </c>
      <c r="S3088" s="18">
        <v>7.6</v>
      </c>
    </row>
    <row r="3089" ht="15.75" customHeight="1">
      <c r="A3089" s="13" t="s">
        <v>6430</v>
      </c>
      <c r="B3089" s="8" t="str">
        <f>IFERROR(__xludf.DUMMYFUNCTION("REGEXREPLACE(A3089, ""[^0-9a-zA-Z .'Ã]"","""")"),"Leonard Nimoy")</f>
        <v>Leonard Nimoy</v>
      </c>
      <c r="C3089" s="14">
        <v>110.0</v>
      </c>
      <c r="D3089" s="15">
        <v>7.64E7</v>
      </c>
      <c r="E3089" s="14" t="s">
        <v>185</v>
      </c>
      <c r="F3089" s="9">
        <f t="shared" si="1"/>
        <v>3</v>
      </c>
      <c r="G3089" s="14" t="s">
        <v>6430</v>
      </c>
      <c r="H3089" s="11" t="str">
        <f>IFERROR(__xludf.DUMMYFUNCTION("REGEXREPLACE(G3089, ""[^0-9a-zA-Z .'Ã]"","""")"),"Leonard Nimoy")</f>
        <v>Leonard Nimoy</v>
      </c>
      <c r="I3089" s="16" t="s">
        <v>9758</v>
      </c>
      <c r="J3089" s="14">
        <v>58743.0</v>
      </c>
      <c r="K3089" s="14" t="s">
        <v>9759</v>
      </c>
      <c r="L3089" s="14">
        <v>192.0</v>
      </c>
      <c r="M3089" s="14" t="s">
        <v>24</v>
      </c>
      <c r="N3089" s="14" t="s">
        <v>25</v>
      </c>
      <c r="O3089" s="15">
        <v>1.7E7</v>
      </c>
      <c r="P3089" s="10">
        <f t="shared" si="2"/>
        <v>59400000</v>
      </c>
      <c r="Q3089" s="12">
        <f t="shared" si="3"/>
        <v>0</v>
      </c>
      <c r="R3089" s="14">
        <v>1984.0</v>
      </c>
      <c r="S3089" s="14">
        <v>6.6</v>
      </c>
    </row>
    <row r="3090" ht="15.75" customHeight="1">
      <c r="A3090" s="7" t="s">
        <v>4575</v>
      </c>
      <c r="B3090" s="8" t="str">
        <f>IFERROR(__xludf.DUMMYFUNCTION("REGEXREPLACE(A3090, ""[^0-9a-zA-Z .'Ã]"","""")"),"David Gordon Green")</f>
        <v>David Gordon Green</v>
      </c>
      <c r="C3090" s="9">
        <v>208.0</v>
      </c>
      <c r="D3090" s="10">
        <v>2.155724E7</v>
      </c>
      <c r="E3090" s="9" t="s">
        <v>2656</v>
      </c>
      <c r="F3090" s="9">
        <f t="shared" si="1"/>
        <v>3</v>
      </c>
      <c r="G3090" s="9" t="s">
        <v>1088</v>
      </c>
      <c r="H3090" s="11" t="str">
        <f>IFERROR(__xludf.DUMMYFUNCTION("REGEXREPLACE(G3090, ""[^0-9a-zA-Z .'Ã]"","""")"),"Natalie Portman")</f>
        <v>Natalie Portman</v>
      </c>
      <c r="I3090" s="11" t="s">
        <v>9760</v>
      </c>
      <c r="J3090" s="9">
        <v>85237.0</v>
      </c>
      <c r="K3090" s="9" t="s">
        <v>9761</v>
      </c>
      <c r="L3090" s="9">
        <v>274.0</v>
      </c>
      <c r="M3090" s="9" t="s">
        <v>24</v>
      </c>
      <c r="N3090" s="9" t="s">
        <v>25</v>
      </c>
      <c r="O3090" s="10">
        <v>4.99E7</v>
      </c>
      <c r="P3090" s="10">
        <f t="shared" si="2"/>
        <v>0</v>
      </c>
      <c r="Q3090" s="12">
        <f t="shared" si="3"/>
        <v>28342760</v>
      </c>
      <c r="R3090" s="9">
        <v>2011.0</v>
      </c>
      <c r="S3090" s="9">
        <v>5.6</v>
      </c>
    </row>
    <row r="3091" ht="15.75" customHeight="1">
      <c r="A3091" s="17" t="s">
        <v>9762</v>
      </c>
      <c r="B3091" s="8" t="str">
        <f>IFERROR(__xludf.DUMMYFUNCTION("REGEXREPLACE(A3091, ""[^0-9a-zA-Z .'Ã]"","""")"),"Jonathan Newman")</f>
        <v>Jonathan Newman</v>
      </c>
      <c r="C3091" s="18">
        <v>28.0</v>
      </c>
      <c r="D3091" s="19">
        <v>4756.0</v>
      </c>
      <c r="E3091" s="18" t="s">
        <v>1252</v>
      </c>
      <c r="F3091" s="9">
        <f t="shared" si="1"/>
        <v>3</v>
      </c>
      <c r="G3091" s="18" t="s">
        <v>75</v>
      </c>
      <c r="H3091" s="11" t="str">
        <f>IFERROR(__xludf.DUMMYFUNCTION("REGEXREPLACE(G3091, ""[^0-9a-zA-Z .'Ã]"","""")"),"Ioan Gruffudd")</f>
        <v>Ioan Gruffudd</v>
      </c>
      <c r="I3091" s="20" t="s">
        <v>9763</v>
      </c>
      <c r="J3091" s="18">
        <v>4191.0</v>
      </c>
      <c r="K3091" s="18" t="s">
        <v>9764</v>
      </c>
      <c r="L3091" s="18">
        <v>32.0</v>
      </c>
      <c r="M3091" s="18" t="s">
        <v>24</v>
      </c>
      <c r="N3091" s="18" t="s">
        <v>130</v>
      </c>
      <c r="O3091" s="19">
        <v>2.5E7</v>
      </c>
      <c r="P3091" s="10">
        <f t="shared" si="2"/>
        <v>0</v>
      </c>
      <c r="Q3091" s="12">
        <f t="shared" si="3"/>
        <v>24995244</v>
      </c>
      <c r="R3091" s="18">
        <v>2013.0</v>
      </c>
      <c r="S3091" s="18">
        <v>5.4</v>
      </c>
    </row>
    <row r="3092" ht="15.75" customHeight="1">
      <c r="A3092" s="13" t="s">
        <v>1767</v>
      </c>
      <c r="B3092" s="8" t="str">
        <f>IFERROR(__xludf.DUMMYFUNCTION("REGEXREPLACE(A3092, ""[^0-9a-zA-Z .'Ã]"","""")"),"Barry Levinson")</f>
        <v>Barry Levinson</v>
      </c>
      <c r="C3092" s="14">
        <v>130.0</v>
      </c>
      <c r="D3092" s="15">
        <v>4.3022524E7</v>
      </c>
      <c r="E3092" s="14" t="s">
        <v>454</v>
      </c>
      <c r="F3092" s="9">
        <f t="shared" si="1"/>
        <v>2</v>
      </c>
      <c r="G3092" s="14" t="s">
        <v>883</v>
      </c>
      <c r="H3092" s="11" t="str">
        <f>IFERROR(__xludf.DUMMYFUNCTION("REGEXREPLACE(G3092, ""[^0-9a-zA-Z .'Ã]"","""")"),"Robert De Niro")</f>
        <v>Robert De Niro</v>
      </c>
      <c r="I3092" s="16" t="s">
        <v>9765</v>
      </c>
      <c r="J3092" s="14">
        <v>67604.0</v>
      </c>
      <c r="K3092" s="14" t="s">
        <v>9766</v>
      </c>
      <c r="L3092" s="14">
        <v>218.0</v>
      </c>
      <c r="M3092" s="14" t="s">
        <v>24</v>
      </c>
      <c r="N3092" s="14" t="s">
        <v>25</v>
      </c>
      <c r="O3092" s="15">
        <v>1.5E7</v>
      </c>
      <c r="P3092" s="10">
        <f t="shared" si="2"/>
        <v>28022524</v>
      </c>
      <c r="Q3092" s="12">
        <f t="shared" si="3"/>
        <v>0</v>
      </c>
      <c r="R3092" s="14">
        <v>1997.0</v>
      </c>
      <c r="S3092" s="14">
        <v>7.1</v>
      </c>
    </row>
    <row r="3093" ht="15.75" customHeight="1">
      <c r="A3093" s="7" t="s">
        <v>2943</v>
      </c>
      <c r="B3093" s="8" t="str">
        <f>IFERROR(__xludf.DUMMYFUNCTION("REGEXREPLACE(A3093, ""[^0-9a-zA-Z .'Ã]"","""")"),"Gary Ross")</f>
        <v>Gary Ross</v>
      </c>
      <c r="C3093" s="9">
        <v>175.0</v>
      </c>
      <c r="D3093" s="10">
        <v>1.20147445E8</v>
      </c>
      <c r="E3093" s="9" t="s">
        <v>8037</v>
      </c>
      <c r="F3093" s="9">
        <f t="shared" si="1"/>
        <v>3</v>
      </c>
      <c r="G3093" s="9" t="s">
        <v>1400</v>
      </c>
      <c r="H3093" s="11" t="str">
        <f>IFERROR(__xludf.DUMMYFUNCTION("REGEXREPLACE(G3093, ""[^0-9a-zA-Z .'Ã]"","""")"),"Jeff Bridges")</f>
        <v>Jeff Bridges</v>
      </c>
      <c r="I3093" s="11" t="s">
        <v>9767</v>
      </c>
      <c r="J3093" s="9">
        <v>57661.0</v>
      </c>
      <c r="K3093" s="9" t="s">
        <v>9768</v>
      </c>
      <c r="L3093" s="9">
        <v>455.0</v>
      </c>
      <c r="M3093" s="9" t="s">
        <v>24</v>
      </c>
      <c r="N3093" s="9" t="s">
        <v>25</v>
      </c>
      <c r="O3093" s="10">
        <v>8.7E7</v>
      </c>
      <c r="P3093" s="10">
        <f t="shared" si="2"/>
        <v>33147445</v>
      </c>
      <c r="Q3093" s="12">
        <f t="shared" si="3"/>
        <v>0</v>
      </c>
      <c r="R3093" s="9">
        <v>2003.0</v>
      </c>
      <c r="S3093" s="9">
        <v>7.3</v>
      </c>
    </row>
    <row r="3094" ht="15.75" customHeight="1">
      <c r="A3094" s="25" t="s">
        <v>372</v>
      </c>
      <c r="B3094" s="8" t="str">
        <f>IFERROR(__xludf.DUMMYFUNCTION("REGEXREPLACE(A3094, ""[^0-9a-zA-Z .'Ã]"","""")"),"Robert Wise")</f>
        <v>Robert Wise</v>
      </c>
      <c r="C3094" s="26">
        <v>134.0</v>
      </c>
      <c r="D3094" s="27">
        <v>8.23E7</v>
      </c>
      <c r="E3094" s="26" t="s">
        <v>776</v>
      </c>
      <c r="F3094" s="9">
        <f t="shared" si="1"/>
        <v>3</v>
      </c>
      <c r="G3094" s="26" t="s">
        <v>6430</v>
      </c>
      <c r="H3094" s="11" t="str">
        <f>IFERROR(__xludf.DUMMYFUNCTION("REGEXREPLACE(G3094, ""[^0-9a-zA-Z .'Ã]"","""")"),"Leonard Nimoy")</f>
        <v>Leonard Nimoy</v>
      </c>
      <c r="I3094" s="28" t="s">
        <v>9769</v>
      </c>
      <c r="J3094" s="26">
        <v>63330.0</v>
      </c>
      <c r="K3094" s="26" t="s">
        <v>9770</v>
      </c>
      <c r="L3094" s="26">
        <v>405.0</v>
      </c>
      <c r="M3094" s="26" t="s">
        <v>24</v>
      </c>
      <c r="N3094" s="26" t="s">
        <v>25</v>
      </c>
      <c r="O3094" s="27">
        <v>3.5E7</v>
      </c>
      <c r="P3094" s="10">
        <f t="shared" si="2"/>
        <v>47300000</v>
      </c>
      <c r="Q3094" s="12">
        <f t="shared" si="3"/>
        <v>0</v>
      </c>
      <c r="R3094" s="26">
        <v>1979.0</v>
      </c>
      <c r="S3094" s="26">
        <v>6.4</v>
      </c>
    </row>
    <row r="3095" ht="15.75" customHeight="1">
      <c r="A3095" s="13" t="s">
        <v>9771</v>
      </c>
      <c r="B3095" s="8" t="str">
        <f>IFERROR(__xludf.DUMMYFUNCTION("REGEXREPLACE(A3095, ""[^0-9a-zA-Z .'Ã]"","""")"),"Jason Moore")</f>
        <v>Jason Moore</v>
      </c>
      <c r="C3095" s="14">
        <v>223.0</v>
      </c>
      <c r="D3095" s="15">
        <v>6.4998368E7</v>
      </c>
      <c r="E3095" s="14" t="s">
        <v>2047</v>
      </c>
      <c r="F3095" s="9">
        <f t="shared" si="1"/>
        <v>3</v>
      </c>
      <c r="G3095" s="14" t="s">
        <v>2887</v>
      </c>
      <c r="H3095" s="11" t="str">
        <f>IFERROR(__xludf.DUMMYFUNCTION("REGEXREPLACE(G3095, ""[^0-9a-zA-Z .'Ã]"","""")"),"Anna Kendrick")</f>
        <v>Anna Kendrick</v>
      </c>
      <c r="I3095" s="16" t="s">
        <v>9772</v>
      </c>
      <c r="J3095" s="14">
        <v>213898.0</v>
      </c>
      <c r="K3095" s="14" t="s">
        <v>9773</v>
      </c>
      <c r="L3095" s="14">
        <v>250.0</v>
      </c>
      <c r="M3095" s="14" t="s">
        <v>24</v>
      </c>
      <c r="N3095" s="14" t="s">
        <v>25</v>
      </c>
      <c r="O3095" s="15">
        <v>1.7E7</v>
      </c>
      <c r="P3095" s="10">
        <f t="shared" si="2"/>
        <v>47998368</v>
      </c>
      <c r="Q3095" s="12">
        <f t="shared" si="3"/>
        <v>0</v>
      </c>
      <c r="R3095" s="14">
        <v>2012.0</v>
      </c>
      <c r="S3095" s="14">
        <v>7.2</v>
      </c>
    </row>
    <row r="3096" ht="15.75" customHeight="1">
      <c r="A3096" s="21" t="s">
        <v>9774</v>
      </c>
      <c r="B3096" s="8" t="str">
        <f>IFERROR(__xludf.DUMMYFUNCTION("REGEXREPLACE(A3096, ""[^0-9a-zA-Z .'Ã]"","""")"),"Rob Hedden")</f>
        <v>Rob Hedden</v>
      </c>
      <c r="C3096" s="22">
        <v>129.0</v>
      </c>
      <c r="D3096" s="23">
        <v>1.4343976E7</v>
      </c>
      <c r="E3096" s="22" t="s">
        <v>8206</v>
      </c>
      <c r="F3096" s="9">
        <f t="shared" si="1"/>
        <v>2</v>
      </c>
      <c r="G3096" s="22" t="s">
        <v>956</v>
      </c>
      <c r="H3096" s="11" t="str">
        <f>IFERROR(__xludf.DUMMYFUNCTION("REGEXREPLACE(G3096, ""[^0-9a-zA-Z .'Ã]"","""")"),"Kane Hodder")</f>
        <v>Kane Hodder</v>
      </c>
      <c r="I3096" s="24" t="s">
        <v>9775</v>
      </c>
      <c r="J3096" s="22">
        <v>22961.0</v>
      </c>
      <c r="K3096" s="22" t="s">
        <v>9776</v>
      </c>
      <c r="L3096" s="22">
        <v>291.0</v>
      </c>
      <c r="M3096" s="22" t="s">
        <v>24</v>
      </c>
      <c r="N3096" s="22" t="s">
        <v>25</v>
      </c>
      <c r="O3096" s="23">
        <v>5000000.0</v>
      </c>
      <c r="P3096" s="10">
        <f t="shared" si="2"/>
        <v>9343976</v>
      </c>
      <c r="Q3096" s="12">
        <f t="shared" si="3"/>
        <v>0</v>
      </c>
      <c r="R3096" s="22">
        <v>1989.0</v>
      </c>
      <c r="S3096" s="22">
        <v>4.5</v>
      </c>
    </row>
    <row r="3097" ht="15.75" customHeight="1">
      <c r="A3097" s="25" t="s">
        <v>9777</v>
      </c>
      <c r="B3097" s="8" t="str">
        <f>IFERROR(__xludf.DUMMYFUNCTION("REGEXREPLACE(A3097, ""[^0-9a-zA-Z .'Ã]"","""")"),"James Fargo")</f>
        <v>James Fargo</v>
      </c>
      <c r="C3097" s="26">
        <v>2.0</v>
      </c>
      <c r="D3097" s="27">
        <v>1000000.0</v>
      </c>
      <c r="E3097" s="26" t="s">
        <v>3271</v>
      </c>
      <c r="F3097" s="9">
        <f t="shared" si="1"/>
        <v>3</v>
      </c>
      <c r="G3097" s="26" t="s">
        <v>1030</v>
      </c>
      <c r="H3097" s="11" t="str">
        <f>IFERROR(__xludf.DUMMYFUNCTION("REGEXREPLACE(G3097, ""[^0-9a-zA-Z .'Ã]"","""")"),"Christopher Lee")</f>
        <v>Christopher Lee</v>
      </c>
      <c r="I3097" s="28" t="s">
        <v>9778</v>
      </c>
      <c r="J3097" s="26">
        <v>524.0</v>
      </c>
      <c r="K3097" s="26" t="s">
        <v>9779</v>
      </c>
      <c r="L3097" s="26">
        <v>8.0</v>
      </c>
      <c r="M3097" s="26" t="s">
        <v>24</v>
      </c>
      <c r="N3097" s="26" t="s">
        <v>2531</v>
      </c>
      <c r="O3097" s="27">
        <v>1.4E7</v>
      </c>
      <c r="P3097" s="10">
        <f t="shared" si="2"/>
        <v>0</v>
      </c>
      <c r="Q3097" s="12">
        <f t="shared" si="3"/>
        <v>13000000</v>
      </c>
      <c r="R3097" s="26">
        <v>1978.0</v>
      </c>
      <c r="S3097" s="26">
        <v>6.5</v>
      </c>
    </row>
    <row r="3098" ht="15.75" customHeight="1">
      <c r="A3098" s="17" t="s">
        <v>5106</v>
      </c>
      <c r="B3098" s="8" t="str">
        <f>IFERROR(__xludf.DUMMYFUNCTION("REGEXREPLACE(A3098, ""[^0-9a-zA-Z .'Ã]"","""")"),"Derek Cianfrance")</f>
        <v>Derek Cianfrance</v>
      </c>
      <c r="C3098" s="18">
        <v>377.0</v>
      </c>
      <c r="D3098" s="19">
        <v>9701559.0</v>
      </c>
      <c r="E3098" s="18" t="s">
        <v>232</v>
      </c>
      <c r="F3098" s="9">
        <f t="shared" si="1"/>
        <v>2</v>
      </c>
      <c r="G3098" s="18" t="s">
        <v>224</v>
      </c>
      <c r="H3098" s="11" t="str">
        <f>IFERROR(__xludf.DUMMYFUNCTION("REGEXREPLACE(G3098, ""[^0-9a-zA-Z .'Ã]"","""")"),"Ryan Gosling")</f>
        <v>Ryan Gosling</v>
      </c>
      <c r="I3098" s="20" t="s">
        <v>9780</v>
      </c>
      <c r="J3098" s="18">
        <v>141425.0</v>
      </c>
      <c r="K3098" s="18" t="s">
        <v>9781</v>
      </c>
      <c r="L3098" s="18">
        <v>283.0</v>
      </c>
      <c r="M3098" s="18" t="s">
        <v>24</v>
      </c>
      <c r="N3098" s="18" t="s">
        <v>25</v>
      </c>
      <c r="O3098" s="19">
        <v>3500000.0</v>
      </c>
      <c r="P3098" s="10">
        <f t="shared" si="2"/>
        <v>6201559</v>
      </c>
      <c r="Q3098" s="12">
        <f t="shared" si="3"/>
        <v>0</v>
      </c>
      <c r="R3098" s="18">
        <v>2010.0</v>
      </c>
      <c r="S3098" s="18">
        <v>7.4</v>
      </c>
    </row>
    <row r="3099" ht="15.75" customHeight="1">
      <c r="A3099" s="7" t="s">
        <v>5846</v>
      </c>
      <c r="B3099" s="8" t="str">
        <f>IFERROR(__xludf.DUMMYFUNCTION("REGEXREPLACE(A3099, ""[^0-9a-zA-Z .'Ã]"","""")"),"John Landis")</f>
        <v>John Landis</v>
      </c>
      <c r="C3099" s="9">
        <v>125.0</v>
      </c>
      <c r="D3099" s="10">
        <v>5.42E7</v>
      </c>
      <c r="E3099" s="9" t="s">
        <v>9782</v>
      </c>
      <c r="F3099" s="9">
        <f t="shared" si="1"/>
        <v>4</v>
      </c>
      <c r="G3099" s="9" t="s">
        <v>8400</v>
      </c>
      <c r="H3099" s="11" t="str">
        <f>IFERROR(__xludf.DUMMYFUNCTION("REGEXREPLACE(G3099, ""[^0-9a-zA-Z .'Ã]"","""")"),"John Belushi")</f>
        <v>John Belushi</v>
      </c>
      <c r="I3099" s="11" t="s">
        <v>9783</v>
      </c>
      <c r="J3099" s="9">
        <v>142448.0</v>
      </c>
      <c r="K3099" s="9" t="s">
        <v>9784</v>
      </c>
      <c r="L3099" s="9">
        <v>319.0</v>
      </c>
      <c r="M3099" s="9" t="s">
        <v>24</v>
      </c>
      <c r="N3099" s="9" t="s">
        <v>25</v>
      </c>
      <c r="O3099" s="10">
        <v>2.7E7</v>
      </c>
      <c r="P3099" s="10">
        <f t="shared" si="2"/>
        <v>27200000</v>
      </c>
      <c r="Q3099" s="12">
        <f t="shared" si="3"/>
        <v>0</v>
      </c>
      <c r="R3099" s="9">
        <v>1980.0</v>
      </c>
      <c r="S3099" s="9">
        <v>7.9</v>
      </c>
    </row>
    <row r="3100" ht="15.75" customHeight="1">
      <c r="A3100" s="7" t="s">
        <v>7089</v>
      </c>
      <c r="B3100" s="8" t="str">
        <f>IFERROR(__xludf.DUMMYFUNCTION("REGEXREPLACE(A3100, ""[^0-9a-zA-Z .'Ã]"","""")"),"Tarsem Singh")</f>
        <v>Tarsem Singh</v>
      </c>
      <c r="C3100" s="9">
        <v>178.0</v>
      </c>
      <c r="D3100" s="10">
        <v>1.227681E7</v>
      </c>
      <c r="E3100" s="9" t="s">
        <v>409</v>
      </c>
      <c r="F3100" s="9">
        <f t="shared" si="1"/>
        <v>4</v>
      </c>
      <c r="G3100" s="9" t="s">
        <v>2451</v>
      </c>
      <c r="H3100" s="11" t="str">
        <f>IFERROR(__xludf.DUMMYFUNCTION("REGEXREPLACE(G3100, ""[^0-9a-zA-Z .'Ã]"","""")"),"Ryan Reynolds")</f>
        <v>Ryan Reynolds</v>
      </c>
      <c r="I3100" s="11" t="s">
        <v>9785</v>
      </c>
      <c r="J3100" s="9">
        <v>57674.0</v>
      </c>
      <c r="K3100" s="9" t="s">
        <v>9786</v>
      </c>
      <c r="L3100" s="9">
        <v>126.0</v>
      </c>
      <c r="M3100" s="9" t="s">
        <v>24</v>
      </c>
      <c r="N3100" s="9" t="s">
        <v>25</v>
      </c>
      <c r="O3100" s="10">
        <v>2.6E7</v>
      </c>
      <c r="P3100" s="10">
        <f t="shared" si="2"/>
        <v>0</v>
      </c>
      <c r="Q3100" s="12">
        <f t="shared" si="3"/>
        <v>13723190</v>
      </c>
      <c r="R3100" s="9">
        <v>2015.0</v>
      </c>
      <c r="S3100" s="9">
        <v>6.5</v>
      </c>
    </row>
    <row r="3101" ht="15.75" customHeight="1">
      <c r="A3101" s="7" t="s">
        <v>9787</v>
      </c>
      <c r="B3101" s="8" t="str">
        <f>IFERROR(__xludf.DUMMYFUNCTION("REGEXREPLACE(A3101, ""[^0-9a-zA-Z .'Ã]"","""")"),"Jeb Stuart")</f>
        <v>Jeb Stuart</v>
      </c>
      <c r="C3101" s="9">
        <v>38.0</v>
      </c>
      <c r="D3101" s="10">
        <v>6482195.0</v>
      </c>
      <c r="E3101" s="9" t="s">
        <v>575</v>
      </c>
      <c r="F3101" s="9">
        <f t="shared" si="1"/>
        <v>3</v>
      </c>
      <c r="G3101" s="9" t="s">
        <v>9788</v>
      </c>
      <c r="H3101" s="11" t="str">
        <f>IFERROR(__xludf.DUMMYFUNCTION("REGEXREPLACE(G3101, ""[^0-9a-zA-Z .'Ã]"","""")"),"Gregory Scott Cummins")</f>
        <v>Gregory Scott Cummins</v>
      </c>
      <c r="I3101" s="11" t="s">
        <v>9789</v>
      </c>
      <c r="J3101" s="9">
        <v>9740.0</v>
      </c>
      <c r="K3101" s="9" t="s">
        <v>9790</v>
      </c>
      <c r="L3101" s="9">
        <v>81.0</v>
      </c>
      <c r="M3101" s="9" t="s">
        <v>24</v>
      </c>
      <c r="N3101" s="9" t="s">
        <v>25</v>
      </c>
      <c r="O3101" s="10">
        <v>3.7E7</v>
      </c>
      <c r="P3101" s="10">
        <f t="shared" si="2"/>
        <v>0</v>
      </c>
      <c r="Q3101" s="12">
        <f t="shared" si="3"/>
        <v>30517805</v>
      </c>
      <c r="R3101" s="9">
        <v>1997.0</v>
      </c>
      <c r="S3101" s="9">
        <v>6.4</v>
      </c>
    </row>
    <row r="3102" ht="15.75" customHeight="1">
      <c r="A3102" s="7" t="s">
        <v>1708</v>
      </c>
      <c r="B3102" s="8" t="str">
        <f>IFERROR(__xludf.DUMMYFUNCTION("REGEXREPLACE(A3102, ""[^0-9a-zA-Z .'Ã]"","""")"),"Rob Minkoff")</f>
        <v>Rob Minkoff</v>
      </c>
      <c r="C3102" s="9">
        <v>71.0</v>
      </c>
      <c r="D3102" s="10">
        <v>6.4736114E7</v>
      </c>
      <c r="E3102" s="9" t="s">
        <v>301</v>
      </c>
      <c r="F3102" s="9">
        <f t="shared" si="1"/>
        <v>5</v>
      </c>
      <c r="G3102" s="9" t="s">
        <v>6415</v>
      </c>
      <c r="H3102" s="11" t="str">
        <f>IFERROR(__xludf.DUMMYFUNCTION("REGEXREPLACE(G3102, ""[^0-9a-zA-Z .'Ã]"","""")"),"Nathan Lane")</f>
        <v>Nathan Lane</v>
      </c>
      <c r="I3102" s="11" t="s">
        <v>9791</v>
      </c>
      <c r="J3102" s="9">
        <v>36471.0</v>
      </c>
      <c r="K3102" s="9" t="s">
        <v>9792</v>
      </c>
      <c r="L3102" s="9">
        <v>69.0</v>
      </c>
      <c r="M3102" s="9" t="s">
        <v>24</v>
      </c>
      <c r="N3102" s="9" t="s">
        <v>25</v>
      </c>
      <c r="O3102" s="10">
        <v>1.2E8</v>
      </c>
      <c r="P3102" s="10">
        <f t="shared" si="2"/>
        <v>0</v>
      </c>
      <c r="Q3102" s="12">
        <f t="shared" si="3"/>
        <v>55263886</v>
      </c>
      <c r="R3102" s="9">
        <v>2002.0</v>
      </c>
      <c r="S3102" s="9">
        <v>5.4</v>
      </c>
    </row>
    <row r="3103" ht="15.75" customHeight="1">
      <c r="A3103" s="7" t="s">
        <v>5312</v>
      </c>
      <c r="B3103" s="8" t="str">
        <f>IFERROR(__xludf.DUMMYFUNCTION("REGEXREPLACE(A3103, ""[^0-9a-zA-Z .'Ã]"","""")"),"Nicolas Winding Refn")</f>
        <v>Nicolas Winding Refn</v>
      </c>
      <c r="C3103" s="9">
        <v>676.0</v>
      </c>
      <c r="D3103" s="10">
        <v>3.5054909E7</v>
      </c>
      <c r="E3103" s="9" t="s">
        <v>54</v>
      </c>
      <c r="F3103" s="9">
        <f t="shared" si="1"/>
        <v>2</v>
      </c>
      <c r="G3103" s="9" t="s">
        <v>224</v>
      </c>
      <c r="H3103" s="11" t="str">
        <f>IFERROR(__xludf.DUMMYFUNCTION("REGEXREPLACE(G3103, ""[^0-9a-zA-Z .'Ã]"","""")"),"Ryan Gosling")</f>
        <v>Ryan Gosling</v>
      </c>
      <c r="I3103" s="11" t="s">
        <v>9793</v>
      </c>
      <c r="J3103" s="9">
        <v>431578.0</v>
      </c>
      <c r="K3103" s="9" t="s">
        <v>9794</v>
      </c>
      <c r="L3103" s="9">
        <v>1264.0</v>
      </c>
      <c r="M3103" s="9" t="s">
        <v>24</v>
      </c>
      <c r="N3103" s="9" t="s">
        <v>25</v>
      </c>
      <c r="O3103" s="10">
        <v>1.5E7</v>
      </c>
      <c r="P3103" s="10">
        <f t="shared" si="2"/>
        <v>20054909</v>
      </c>
      <c r="Q3103" s="12">
        <f t="shared" si="3"/>
        <v>0</v>
      </c>
      <c r="R3103" s="9">
        <v>2011.0</v>
      </c>
      <c r="S3103" s="9">
        <v>7.8</v>
      </c>
    </row>
    <row r="3104" ht="15.75" customHeight="1">
      <c r="A3104" s="13" t="s">
        <v>9795</v>
      </c>
      <c r="B3104" s="8" t="str">
        <f>IFERROR(__xludf.DUMMYFUNCTION("REGEXREPLACE(A3104, ""[^0-9a-zA-Z -.'Ã]"","""")"),"JirÃ Menzel")</f>
        <v>JirÃ Menzel</v>
      </c>
      <c r="C3104" s="14">
        <v>99.0</v>
      </c>
      <c r="D3104" s="15">
        <v>617228.0</v>
      </c>
      <c r="E3104" s="14" t="s">
        <v>9796</v>
      </c>
      <c r="F3104" s="9">
        <f t="shared" si="1"/>
        <v>4</v>
      </c>
      <c r="G3104" s="14" t="s">
        <v>9797</v>
      </c>
      <c r="H3104" s="11" t="str">
        <f>IFERROR(__xludf.DUMMYFUNCTION("REGEXREPLACE(G3104, ""[^0-9a-zA-Z .'Ã]"","""")"),"Julia Jentsch")</f>
        <v>Julia Jentsch</v>
      </c>
      <c r="I3104" s="16" t="s">
        <v>9798</v>
      </c>
      <c r="J3104" s="14">
        <v>6183.0</v>
      </c>
      <c r="K3104" s="14" t="s">
        <v>9799</v>
      </c>
      <c r="L3104" s="14">
        <v>27.0</v>
      </c>
      <c r="M3104" s="14" t="s">
        <v>9800</v>
      </c>
      <c r="N3104" s="14" t="s">
        <v>7138</v>
      </c>
      <c r="O3104" s="15">
        <v>8.445E7</v>
      </c>
      <c r="P3104" s="10">
        <f t="shared" si="2"/>
        <v>0</v>
      </c>
      <c r="Q3104" s="12">
        <f t="shared" si="3"/>
        <v>83832772</v>
      </c>
      <c r="R3104" s="14">
        <v>2006.0</v>
      </c>
      <c r="S3104" s="14">
        <v>7.4</v>
      </c>
    </row>
    <row r="3105" ht="15.75" customHeight="1">
      <c r="A3105" s="21" t="s">
        <v>529</v>
      </c>
      <c r="B3105" s="8" t="str">
        <f>IFERROR(__xludf.DUMMYFUNCTION("REGEXREPLACE(A3105, ""[^0-9a-zA-Z .'Ã]"","""")"),"Joel Schumacher")</f>
        <v>Joel Schumacher</v>
      </c>
      <c r="C3105" s="22">
        <v>106.0</v>
      </c>
      <c r="D3105" s="23">
        <v>1569918.0</v>
      </c>
      <c r="E3105" s="22" t="s">
        <v>5486</v>
      </c>
      <c r="F3105" s="9">
        <f t="shared" si="1"/>
        <v>4</v>
      </c>
      <c r="G3105" s="22" t="s">
        <v>9801</v>
      </c>
      <c r="H3105" s="11" t="str">
        <f>IFERROR(__xludf.DUMMYFUNCTION("REGEXREPLACE(G3105, ""[^0-9a-zA-Z .'Ã]"","""")"),"Brenda Fricker")</f>
        <v>Brenda Fricker</v>
      </c>
      <c r="I3105" s="24" t="s">
        <v>9802</v>
      </c>
      <c r="J3105" s="22">
        <v>16234.0</v>
      </c>
      <c r="K3105" s="22" t="s">
        <v>9803</v>
      </c>
      <c r="L3105" s="22">
        <v>113.0</v>
      </c>
      <c r="M3105" s="22" t="s">
        <v>24</v>
      </c>
      <c r="N3105" s="22" t="s">
        <v>593</v>
      </c>
      <c r="O3105" s="23">
        <v>1.7E7</v>
      </c>
      <c r="P3105" s="10">
        <f t="shared" si="2"/>
        <v>0</v>
      </c>
      <c r="Q3105" s="12">
        <f t="shared" si="3"/>
        <v>15430082</v>
      </c>
      <c r="R3105" s="22">
        <v>2003.0</v>
      </c>
      <c r="S3105" s="22">
        <v>6.9</v>
      </c>
    </row>
    <row r="3106" ht="15.75" customHeight="1">
      <c r="A3106" s="13" t="s">
        <v>5569</v>
      </c>
      <c r="B3106" s="8" t="str">
        <f>IFERROR(__xludf.DUMMYFUNCTION("REGEXREPLACE(A3106, ""[^0-9a-zA-Z .'Ã]"","""")"),"Ron Clements")</f>
        <v>Ron Clements</v>
      </c>
      <c r="C3106" s="14">
        <v>124.0</v>
      </c>
      <c r="D3106" s="15">
        <v>2.17350219E8</v>
      </c>
      <c r="E3106" s="14" t="s">
        <v>8643</v>
      </c>
      <c r="F3106" s="9">
        <f t="shared" si="1"/>
        <v>7</v>
      </c>
      <c r="G3106" s="14" t="s">
        <v>673</v>
      </c>
      <c r="H3106" s="11" t="str">
        <f>IFERROR(__xludf.DUMMYFUNCTION("REGEXREPLACE(G3106, ""[^0-9a-zA-Z .'Ã]"","""")"),"Robin Williams")</f>
        <v>Robin Williams</v>
      </c>
      <c r="I3106" s="16" t="s">
        <v>9804</v>
      </c>
      <c r="J3106" s="14">
        <v>260939.0</v>
      </c>
      <c r="K3106" s="14" t="s">
        <v>9805</v>
      </c>
      <c r="L3106" s="14">
        <v>244.0</v>
      </c>
      <c r="M3106" s="14" t="s">
        <v>24</v>
      </c>
      <c r="N3106" s="14" t="s">
        <v>25</v>
      </c>
      <c r="O3106" s="15">
        <v>2.8E7</v>
      </c>
      <c r="P3106" s="10">
        <f t="shared" si="2"/>
        <v>189350219</v>
      </c>
      <c r="Q3106" s="12">
        <f t="shared" si="3"/>
        <v>0</v>
      </c>
      <c r="R3106" s="14">
        <v>1992.0</v>
      </c>
      <c r="S3106" s="14">
        <v>8.0</v>
      </c>
    </row>
    <row r="3107" ht="15.75" customHeight="1">
      <c r="A3107" s="7" t="s">
        <v>2541</v>
      </c>
      <c r="B3107" s="8" t="str">
        <f>IFERROR(__xludf.DUMMYFUNCTION("REGEXREPLACE(A3107, ""[^0-9a-zA-Z -.'Ã]"","""")"),"NimrÃd Antal")</f>
        <v>NimrÃd Antal</v>
      </c>
      <c r="C3107" s="9">
        <v>107.0</v>
      </c>
      <c r="D3107" s="10">
        <v>1.5988876E7</v>
      </c>
      <c r="E3107" s="9" t="s">
        <v>152</v>
      </c>
      <c r="F3107" s="9">
        <f t="shared" si="1"/>
        <v>3</v>
      </c>
      <c r="G3107" s="9" t="s">
        <v>1018</v>
      </c>
      <c r="H3107" s="11" t="str">
        <f>IFERROR(__xludf.DUMMYFUNCTION("REGEXREPLACE(G3107, ""[^0-9a-zA-Z .'Ã]"","""")"),"Andrew Fiscella")</f>
        <v>Andrew Fiscella</v>
      </c>
      <c r="I3107" s="11" t="s">
        <v>9806</v>
      </c>
      <c r="J3107" s="9">
        <v>26236.0</v>
      </c>
      <c r="K3107" s="9" t="s">
        <v>9807</v>
      </c>
      <c r="L3107" s="9">
        <v>110.0</v>
      </c>
      <c r="M3107" s="9" t="s">
        <v>24</v>
      </c>
      <c r="N3107" s="9" t="s">
        <v>25</v>
      </c>
      <c r="O3107" s="10">
        <v>2.7E7</v>
      </c>
      <c r="P3107" s="10">
        <f t="shared" si="2"/>
        <v>0</v>
      </c>
      <c r="Q3107" s="12">
        <f t="shared" si="3"/>
        <v>11011124</v>
      </c>
      <c r="R3107" s="9">
        <v>2009.0</v>
      </c>
      <c r="S3107" s="9">
        <v>5.7</v>
      </c>
    </row>
    <row r="3108" ht="15.75" customHeight="1">
      <c r="A3108" s="7" t="s">
        <v>9808</v>
      </c>
      <c r="B3108" s="8" t="str">
        <f>IFERROR(__xludf.DUMMYFUNCTION("REGEXREPLACE(A3108, ""[^0-9a-zA-Z -.'Ã]"","""")"),"GÃrard Krawczyk")</f>
        <v>GÃrard Krawczyk</v>
      </c>
      <c r="C3108" s="9">
        <v>40.0</v>
      </c>
      <c r="D3108" s="10">
        <v>81525.0</v>
      </c>
      <c r="E3108" s="9" t="s">
        <v>2177</v>
      </c>
      <c r="F3108" s="9">
        <f t="shared" si="1"/>
        <v>5</v>
      </c>
      <c r="G3108" s="9" t="s">
        <v>9809</v>
      </c>
      <c r="H3108" s="11" t="str">
        <f>IFERROR(__xludf.DUMMYFUNCTION("REGEXREPLACE(G3108, ""[^0-9a-zA-Z .'Ã]"","""")"),"Carole Bouquet")</f>
        <v>Carole Bouquet</v>
      </c>
      <c r="I3108" s="11" t="s">
        <v>9810</v>
      </c>
      <c r="J3108" s="9">
        <v>29392.0</v>
      </c>
      <c r="K3108" s="9" t="s">
        <v>9811</v>
      </c>
      <c r="L3108" s="9">
        <v>91.0</v>
      </c>
      <c r="M3108" s="9" t="s">
        <v>658</v>
      </c>
      <c r="N3108" s="9" t="s">
        <v>608</v>
      </c>
      <c r="O3108" s="10">
        <v>1.53E7</v>
      </c>
      <c r="P3108" s="10">
        <f t="shared" si="2"/>
        <v>0</v>
      </c>
      <c r="Q3108" s="12">
        <f t="shared" si="3"/>
        <v>15218475</v>
      </c>
      <c r="R3108" s="9">
        <v>2001.0</v>
      </c>
      <c r="S3108" s="9">
        <v>6.6</v>
      </c>
    </row>
    <row r="3109" ht="15.75" customHeight="1">
      <c r="A3109" s="13" t="s">
        <v>179</v>
      </c>
      <c r="B3109" s="8" t="str">
        <f>IFERROR(__xludf.DUMMYFUNCTION("REGEXREPLACE(A3109, ""[^0-9a-zA-Z .'Ã]"","""")"),"Tim Burton")</f>
        <v>Tim Burton</v>
      </c>
      <c r="C3109" s="14">
        <v>111.0</v>
      </c>
      <c r="D3109" s="15">
        <v>5.6362352E7</v>
      </c>
      <c r="E3109" s="14" t="s">
        <v>9812</v>
      </c>
      <c r="F3109" s="9">
        <f t="shared" si="1"/>
        <v>2</v>
      </c>
      <c r="G3109" s="14" t="s">
        <v>85</v>
      </c>
      <c r="H3109" s="11" t="str">
        <f>IFERROR(__xludf.DUMMYFUNCTION("REGEXREPLACE(G3109, ""[^0-9a-zA-Z .'Ã]"","""")"),"Johnny Depp")</f>
        <v>Johnny Depp</v>
      </c>
      <c r="I3109" s="16" t="s">
        <v>9813</v>
      </c>
      <c r="J3109" s="14">
        <v>357581.0</v>
      </c>
      <c r="K3109" s="14" t="s">
        <v>9814</v>
      </c>
      <c r="L3109" s="14">
        <v>588.0</v>
      </c>
      <c r="M3109" s="14" t="s">
        <v>24</v>
      </c>
      <c r="N3109" s="14" t="s">
        <v>25</v>
      </c>
      <c r="O3109" s="15">
        <v>2.0E7</v>
      </c>
      <c r="P3109" s="10">
        <f t="shared" si="2"/>
        <v>36362352</v>
      </c>
      <c r="Q3109" s="12">
        <f t="shared" si="3"/>
        <v>0</v>
      </c>
      <c r="R3109" s="14">
        <v>1990.0</v>
      </c>
      <c r="S3109" s="14">
        <v>7.9</v>
      </c>
    </row>
    <row r="3110" ht="15.75" customHeight="1">
      <c r="A3110" s="17" t="s">
        <v>2054</v>
      </c>
      <c r="B3110" s="8" t="str">
        <f>IFERROR(__xludf.DUMMYFUNCTION("REGEXREPLACE(A3110, ""[^0-9a-zA-Z .'Ã]"","""")"),"Kevin Costner")</f>
        <v>Kevin Costner</v>
      </c>
      <c r="C3110" s="18">
        <v>79.0</v>
      </c>
      <c r="D3110" s="19">
        <v>1.7593391E7</v>
      </c>
      <c r="E3110" s="18" t="s">
        <v>7957</v>
      </c>
      <c r="F3110" s="9">
        <f t="shared" si="1"/>
        <v>4</v>
      </c>
      <c r="G3110" s="18" t="s">
        <v>6904</v>
      </c>
      <c r="H3110" s="11" t="str">
        <f>IFERROR(__xludf.DUMMYFUNCTION("REGEXREPLACE(G3110, ""[^0-9a-zA-Z .'Ã]"","""")"),"Olivia Williams")</f>
        <v>Olivia Williams</v>
      </c>
      <c r="I3110" s="20" t="s">
        <v>9815</v>
      </c>
      <c r="J3110" s="18">
        <v>56403.0</v>
      </c>
      <c r="K3110" s="18" t="s">
        <v>9816</v>
      </c>
      <c r="L3110" s="18">
        <v>376.0</v>
      </c>
      <c r="M3110" s="18" t="s">
        <v>24</v>
      </c>
      <c r="N3110" s="18" t="s">
        <v>25</v>
      </c>
      <c r="O3110" s="19">
        <v>8.0E7</v>
      </c>
      <c r="P3110" s="10">
        <f t="shared" si="2"/>
        <v>0</v>
      </c>
      <c r="Q3110" s="12">
        <f t="shared" si="3"/>
        <v>62406609</v>
      </c>
      <c r="R3110" s="18">
        <v>1997.0</v>
      </c>
      <c r="S3110" s="18">
        <v>6.0</v>
      </c>
    </row>
    <row r="3111" ht="15.75" customHeight="1">
      <c r="A3111" s="7" t="s">
        <v>9817</v>
      </c>
      <c r="B3111" s="8" t="str">
        <f>IFERROR(__xludf.DUMMYFUNCTION("REGEXREPLACE(A3111, ""[^0-9a-zA-Z .'Ã]"","""")"),"Blair Hayes")</f>
        <v>Blair Hayes</v>
      </c>
      <c r="C3111" s="9">
        <v>47.0</v>
      </c>
      <c r="D3111" s="10">
        <v>5002310.0</v>
      </c>
      <c r="E3111" s="9" t="s">
        <v>9818</v>
      </c>
      <c r="F3111" s="9">
        <f t="shared" si="1"/>
        <v>4</v>
      </c>
      <c r="G3111" s="9" t="s">
        <v>2509</v>
      </c>
      <c r="H3111" s="11" t="str">
        <f>IFERROR(__xludf.DUMMYFUNCTION("REGEXREPLACE(G3111, ""[^0-9a-zA-Z .'Ã]"","""")"),"Jake Gyllenhaal")</f>
        <v>Jake Gyllenhaal</v>
      </c>
      <c r="I3111" s="11" t="s">
        <v>9819</v>
      </c>
      <c r="J3111" s="9">
        <v>25541.0</v>
      </c>
      <c r="K3111" s="9" t="s">
        <v>9820</v>
      </c>
      <c r="L3111" s="9">
        <v>181.0</v>
      </c>
      <c r="M3111" s="9" t="s">
        <v>24</v>
      </c>
      <c r="N3111" s="9" t="s">
        <v>25</v>
      </c>
      <c r="O3111" s="10">
        <v>1.3E7</v>
      </c>
      <c r="P3111" s="10">
        <f t="shared" si="2"/>
        <v>0</v>
      </c>
      <c r="Q3111" s="12">
        <f t="shared" si="3"/>
        <v>7997690</v>
      </c>
      <c r="R3111" s="9">
        <v>2001.0</v>
      </c>
      <c r="S3111" s="9">
        <v>5.6</v>
      </c>
    </row>
    <row r="3112" ht="15.75" customHeight="1">
      <c r="A3112" s="25" t="s">
        <v>3832</v>
      </c>
      <c r="B3112" s="8" t="str">
        <f>IFERROR(__xludf.DUMMYFUNCTION("REGEXREPLACE(A3112, ""[^0-9a-zA-Z .'Ã]"","""")"),"Doug Liman")</f>
        <v>Doug Liman</v>
      </c>
      <c r="C3112" s="26">
        <v>233.0</v>
      </c>
      <c r="D3112" s="27">
        <v>1.86336103E8</v>
      </c>
      <c r="E3112" s="26" t="s">
        <v>1302</v>
      </c>
      <c r="F3112" s="9">
        <f t="shared" si="1"/>
        <v>5</v>
      </c>
      <c r="G3112" s="26" t="s">
        <v>1426</v>
      </c>
      <c r="H3112" s="11" t="str">
        <f>IFERROR(__xludf.DUMMYFUNCTION("REGEXREPLACE(G3112, ""[^0-9a-zA-Z .'Ã]"","""")"),"Brad Pitt")</f>
        <v>Brad Pitt</v>
      </c>
      <c r="I3112" s="28" t="s">
        <v>9821</v>
      </c>
      <c r="J3112" s="26">
        <v>348861.0</v>
      </c>
      <c r="K3112" s="26" t="s">
        <v>9822</v>
      </c>
      <c r="L3112" s="26">
        <v>798.0</v>
      </c>
      <c r="M3112" s="26" t="s">
        <v>24</v>
      </c>
      <c r="N3112" s="26" t="s">
        <v>25</v>
      </c>
      <c r="O3112" s="27">
        <v>1.2E8</v>
      </c>
      <c r="P3112" s="10">
        <f t="shared" si="2"/>
        <v>66336103</v>
      </c>
      <c r="Q3112" s="12">
        <f t="shared" si="3"/>
        <v>0</v>
      </c>
      <c r="R3112" s="26">
        <v>2005.0</v>
      </c>
      <c r="S3112" s="26">
        <v>6.5</v>
      </c>
    </row>
    <row r="3113" ht="15.75" customHeight="1">
      <c r="A3113" s="13" t="s">
        <v>9823</v>
      </c>
      <c r="B3113" s="8" t="str">
        <f>IFERROR(__xludf.DUMMYFUNCTION("REGEXREPLACE(A3113, ""[^0-9a-zA-Z .'Ã]"","""")"),"Michael Spierig")</f>
        <v>Michael Spierig</v>
      </c>
      <c r="C3113" s="14">
        <v>292.0</v>
      </c>
      <c r="D3113" s="15">
        <v>2.9975979E7</v>
      </c>
      <c r="E3113" s="14" t="s">
        <v>64</v>
      </c>
      <c r="F3113" s="9">
        <f t="shared" si="1"/>
        <v>4</v>
      </c>
      <c r="G3113" s="14" t="s">
        <v>9824</v>
      </c>
      <c r="H3113" s="11" t="str">
        <f>IFERROR(__xludf.DUMMYFUNCTION("REGEXREPLACE(G3113, ""[^0-9a-zA-Z .'Ã]"","""")"),"Jay Laga'aia")</f>
        <v>Jay Laga'aia</v>
      </c>
      <c r="I3113" s="16" t="s">
        <v>9825</v>
      </c>
      <c r="J3113" s="14">
        <v>105797.0</v>
      </c>
      <c r="K3113" s="14" t="s">
        <v>9826</v>
      </c>
      <c r="L3113" s="14">
        <v>281.0</v>
      </c>
      <c r="M3113" s="14" t="s">
        <v>24</v>
      </c>
      <c r="N3113" s="14" t="s">
        <v>146</v>
      </c>
      <c r="O3113" s="15">
        <v>2.0E7</v>
      </c>
      <c r="P3113" s="10">
        <f t="shared" si="2"/>
        <v>9975979</v>
      </c>
      <c r="Q3113" s="12">
        <f t="shared" si="3"/>
        <v>0</v>
      </c>
      <c r="R3113" s="14">
        <v>2009.0</v>
      </c>
      <c r="S3113" s="14">
        <v>6.5</v>
      </c>
    </row>
    <row r="3114" ht="15.75" customHeight="1">
      <c r="A3114" s="17" t="s">
        <v>9827</v>
      </c>
      <c r="B3114" s="8" t="str">
        <f>IFERROR(__xludf.DUMMYFUNCTION("REGEXREPLACE(A3114, ""[^0-9a-zA-Z .'Ã]"","""")"),"Fritz Lang")</f>
        <v>Fritz Lang</v>
      </c>
      <c r="C3114" s="18">
        <v>260.0</v>
      </c>
      <c r="D3114" s="19">
        <v>26435.0</v>
      </c>
      <c r="E3114" s="18" t="s">
        <v>882</v>
      </c>
      <c r="F3114" s="9">
        <f t="shared" si="1"/>
        <v>2</v>
      </c>
      <c r="G3114" s="18" t="s">
        <v>9828</v>
      </c>
      <c r="H3114" s="11" t="str">
        <f>IFERROR(__xludf.DUMMYFUNCTION("REGEXREPLACE(G3114, ""[^0-9a-zA-Z .'Ã]"","""")"),"Brigitte Helm")</f>
        <v>Brigitte Helm</v>
      </c>
      <c r="I3114" s="20" t="s">
        <v>9829</v>
      </c>
      <c r="J3114" s="18">
        <v>111841.0</v>
      </c>
      <c r="K3114" s="18" t="s">
        <v>9830</v>
      </c>
      <c r="L3114" s="18">
        <v>413.0</v>
      </c>
      <c r="M3114" s="18" t="s">
        <v>1042</v>
      </c>
      <c r="N3114" s="18" t="s">
        <v>173</v>
      </c>
      <c r="O3114" s="19">
        <v>6000000.0</v>
      </c>
      <c r="P3114" s="10">
        <f t="shared" si="2"/>
        <v>0</v>
      </c>
      <c r="Q3114" s="12">
        <f t="shared" si="3"/>
        <v>5973565</v>
      </c>
      <c r="R3114" s="18">
        <v>1927.0</v>
      </c>
      <c r="S3114" s="18">
        <v>8.3</v>
      </c>
    </row>
    <row r="3115" ht="15.75" customHeight="1">
      <c r="A3115" s="7" t="s">
        <v>9831</v>
      </c>
      <c r="B3115" s="8" t="str">
        <f>IFERROR(__xludf.DUMMYFUNCTION("REGEXREPLACE(A3115, ""[^0-9a-zA-Z .'Ã]"","""")"),"J.A. Bayona")</f>
        <v>J.A. Bayona</v>
      </c>
      <c r="C3115" s="9">
        <v>300.0</v>
      </c>
      <c r="D3115" s="10">
        <v>7159147.0</v>
      </c>
      <c r="E3115" s="9" t="s">
        <v>311</v>
      </c>
      <c r="F3115" s="9">
        <f t="shared" si="1"/>
        <v>3</v>
      </c>
      <c r="G3115" s="9" t="s">
        <v>9832</v>
      </c>
      <c r="H3115" s="11" t="str">
        <f>IFERROR(__xludf.DUMMYFUNCTION("REGEXREPLACE(G3115, ""[^0-9a-zA-Z .'Ã]"","""")"),"Geraldine Chaplin")</f>
        <v>Geraldine Chaplin</v>
      </c>
      <c r="I3115" s="11" t="s">
        <v>9833</v>
      </c>
      <c r="J3115" s="9">
        <v>120189.0</v>
      </c>
      <c r="K3115" s="9" t="s">
        <v>9834</v>
      </c>
      <c r="L3115" s="9">
        <v>308.0</v>
      </c>
      <c r="M3115" s="9" t="s">
        <v>1553</v>
      </c>
      <c r="N3115" s="9" t="s">
        <v>1108</v>
      </c>
      <c r="O3115" s="10">
        <v>3400000.0</v>
      </c>
      <c r="P3115" s="10">
        <f t="shared" si="2"/>
        <v>3759147</v>
      </c>
      <c r="Q3115" s="12">
        <f t="shared" si="3"/>
        <v>0</v>
      </c>
      <c r="R3115" s="9">
        <v>2007.0</v>
      </c>
      <c r="S3115" s="9">
        <v>7.5</v>
      </c>
    </row>
    <row r="3116" ht="15.75" customHeight="1">
      <c r="A3116" s="25" t="s">
        <v>174</v>
      </c>
      <c r="B3116" s="8" t="str">
        <f>IFERROR(__xludf.DUMMYFUNCTION("REGEXREPLACE(A3116, ""[^0-9a-zA-Z .'Ã]"","""")"),"Roland Emmerich")</f>
        <v>Roland Emmerich</v>
      </c>
      <c r="C3116" s="26">
        <v>239.0</v>
      </c>
      <c r="D3116" s="27">
        <v>1.86739919E8</v>
      </c>
      <c r="E3116" s="26" t="s">
        <v>794</v>
      </c>
      <c r="F3116" s="9">
        <f t="shared" si="1"/>
        <v>4</v>
      </c>
      <c r="G3116" s="26" t="s">
        <v>2509</v>
      </c>
      <c r="H3116" s="11" t="str">
        <f>IFERROR(__xludf.DUMMYFUNCTION("REGEXREPLACE(G3116, ""[^0-9a-zA-Z .'Ã]"","""")"),"Jake Gyllenhaal")</f>
        <v>Jake Gyllenhaal</v>
      </c>
      <c r="I3116" s="28" t="s">
        <v>9835</v>
      </c>
      <c r="J3116" s="26">
        <v>333248.0</v>
      </c>
      <c r="K3116" s="26" t="s">
        <v>9836</v>
      </c>
      <c r="L3116" s="26">
        <v>1159.0</v>
      </c>
      <c r="M3116" s="26" t="s">
        <v>24</v>
      </c>
      <c r="N3116" s="26" t="s">
        <v>25</v>
      </c>
      <c r="O3116" s="27">
        <v>1.25E8</v>
      </c>
      <c r="P3116" s="10">
        <f t="shared" si="2"/>
        <v>61739919</v>
      </c>
      <c r="Q3116" s="12">
        <f t="shared" si="3"/>
        <v>0</v>
      </c>
      <c r="R3116" s="26">
        <v>2004.0</v>
      </c>
      <c r="S3116" s="26">
        <v>6.4</v>
      </c>
    </row>
    <row r="3117" ht="15.75" customHeight="1">
      <c r="A3117" s="17" t="s">
        <v>9837</v>
      </c>
      <c r="B3117" s="8" t="str">
        <f>IFERROR(__xludf.DUMMYFUNCTION("REGEXREPLACE(A3117, ""[^0-9a-zA-Z .'Ã]"","""")"),"R.J. Cutler")</f>
        <v>R.J. Cutler</v>
      </c>
      <c r="C3117" s="18">
        <v>141.0</v>
      </c>
      <c r="D3117" s="19">
        <v>5.0461335E7</v>
      </c>
      <c r="E3117" s="18" t="s">
        <v>9838</v>
      </c>
      <c r="F3117" s="9">
        <f t="shared" si="1"/>
        <v>4</v>
      </c>
      <c r="G3117" s="18" t="s">
        <v>2259</v>
      </c>
      <c r="H3117" s="11" t="str">
        <f>IFERROR(__xludf.DUMMYFUNCTION("REGEXREPLACE(G3117, ""[^0-9a-zA-Z .'Ã]"","""")"),"ChloÃ Grace Moretz")</f>
        <v>ChloÃ Grace Moretz</v>
      </c>
      <c r="I3117" s="20" t="s">
        <v>9839</v>
      </c>
      <c r="J3117" s="18">
        <v>83893.0</v>
      </c>
      <c r="K3117" s="18" t="s">
        <v>9840</v>
      </c>
      <c r="L3117" s="18">
        <v>132.0</v>
      </c>
      <c r="M3117" s="18" t="s">
        <v>24</v>
      </c>
      <c r="N3117" s="18" t="s">
        <v>25</v>
      </c>
      <c r="O3117" s="19">
        <v>1.1E7</v>
      </c>
      <c r="P3117" s="10">
        <f t="shared" si="2"/>
        <v>39461335</v>
      </c>
      <c r="Q3117" s="12">
        <f t="shared" si="3"/>
        <v>0</v>
      </c>
      <c r="R3117" s="18">
        <v>2014.0</v>
      </c>
      <c r="S3117" s="18">
        <v>6.8</v>
      </c>
    </row>
    <row r="3118" ht="15.75" customHeight="1">
      <c r="A3118" s="7" t="s">
        <v>9841</v>
      </c>
      <c r="B3118" s="8" t="str">
        <f>IFERROR(__xludf.DUMMYFUNCTION("REGEXREPLACE(A3118, ""[^0-9a-zA-Z .'Ã]"","""")"),"Stephen Chow")</f>
        <v>Stephen Chow</v>
      </c>
      <c r="C3118" s="9">
        <v>246.0</v>
      </c>
      <c r="D3118" s="10">
        <v>488872.0</v>
      </c>
      <c r="E3118" s="9" t="s">
        <v>5267</v>
      </c>
      <c r="F3118" s="9">
        <f t="shared" si="1"/>
        <v>3</v>
      </c>
      <c r="G3118" s="9" t="s">
        <v>9842</v>
      </c>
      <c r="H3118" s="11" t="str">
        <f>IFERROR(__xludf.DUMMYFUNCTION("REGEXREPLACE(G3118, ""[^0-9a-zA-Z .'Ã]"","""")"),"Wei Zhao")</f>
        <v>Wei Zhao</v>
      </c>
      <c r="I3118" s="11" t="s">
        <v>9843</v>
      </c>
      <c r="J3118" s="9">
        <v>56923.0</v>
      </c>
      <c r="K3118" s="9" t="s">
        <v>9844</v>
      </c>
      <c r="L3118" s="9">
        <v>243.0</v>
      </c>
      <c r="M3118" s="9" t="s">
        <v>156</v>
      </c>
      <c r="N3118" s="9" t="s">
        <v>157</v>
      </c>
      <c r="O3118" s="10">
        <v>1.0E7</v>
      </c>
      <c r="P3118" s="10">
        <f t="shared" si="2"/>
        <v>0</v>
      </c>
      <c r="Q3118" s="12">
        <f t="shared" si="3"/>
        <v>9511128</v>
      </c>
      <c r="R3118" s="9">
        <v>2001.0</v>
      </c>
      <c r="S3118" s="9">
        <v>7.3</v>
      </c>
    </row>
    <row r="3119" ht="15.75" customHeight="1">
      <c r="A3119" s="21" t="s">
        <v>2363</v>
      </c>
      <c r="B3119" s="8" t="str">
        <f>IFERROR(__xludf.DUMMYFUNCTION("REGEXREPLACE(A3119, ""[^0-9a-zA-Z .'Ã]"","""")"),"Stephen Sommers")</f>
        <v>Stephen Sommers</v>
      </c>
      <c r="C3119" s="22">
        <v>250.0</v>
      </c>
      <c r="D3119" s="23">
        <v>1.5016763E8</v>
      </c>
      <c r="E3119" s="22" t="s">
        <v>794</v>
      </c>
      <c r="F3119" s="9">
        <f t="shared" si="1"/>
        <v>4</v>
      </c>
      <c r="G3119" s="22" t="s">
        <v>764</v>
      </c>
      <c r="H3119" s="11" t="str">
        <f>IFERROR(__xludf.DUMMYFUNCTION("REGEXREPLACE(G3119, ""[^0-9a-zA-Z .'Ã]"","""")"),"Joseph GordonLevitt")</f>
        <v>Joseph GordonLevitt</v>
      </c>
      <c r="I3119" s="24" t="s">
        <v>9845</v>
      </c>
      <c r="J3119" s="22">
        <v>174578.0</v>
      </c>
      <c r="K3119" s="22" t="s">
        <v>9846</v>
      </c>
      <c r="L3119" s="22">
        <v>534.0</v>
      </c>
      <c r="M3119" s="22" t="s">
        <v>24</v>
      </c>
      <c r="N3119" s="22" t="s">
        <v>25</v>
      </c>
      <c r="O3119" s="23">
        <v>1.75E8</v>
      </c>
      <c r="P3119" s="10">
        <f t="shared" si="2"/>
        <v>0</v>
      </c>
      <c r="Q3119" s="12">
        <f t="shared" si="3"/>
        <v>24832370</v>
      </c>
      <c r="R3119" s="22">
        <v>2009.0</v>
      </c>
      <c r="S3119" s="22">
        <v>5.8</v>
      </c>
    </row>
    <row r="3120" ht="15.75" customHeight="1">
      <c r="A3120" s="13" t="s">
        <v>1343</v>
      </c>
      <c r="B3120" s="8" t="str">
        <f>IFERROR(__xludf.DUMMYFUNCTION("REGEXREPLACE(A3120, ""[^0-9a-zA-Z .'Ã]"","""")"),"Joe Nussbaum")</f>
        <v>Joe Nussbaum</v>
      </c>
      <c r="C3120" s="14">
        <v>72.0</v>
      </c>
      <c r="D3120" s="15">
        <v>1.170209E7</v>
      </c>
      <c r="E3120" s="14" t="s">
        <v>89</v>
      </c>
      <c r="F3120" s="9">
        <f t="shared" si="1"/>
        <v>2</v>
      </c>
      <c r="G3120" s="14" t="s">
        <v>9847</v>
      </c>
      <c r="H3120" s="11" t="str">
        <f>IFERROR(__xludf.DUMMYFUNCTION("REGEXREPLACE(G3120, ""[^0-9a-zA-Z .'Ã]"","""")"),"Danny Strong")</f>
        <v>Danny Strong</v>
      </c>
      <c r="I3120" s="16" t="s">
        <v>9848</v>
      </c>
      <c r="J3120" s="14">
        <v>37700.0</v>
      </c>
      <c r="K3120" s="14" t="s">
        <v>9849</v>
      </c>
      <c r="L3120" s="14">
        <v>50.0</v>
      </c>
      <c r="M3120" s="14" t="s">
        <v>24</v>
      </c>
      <c r="N3120" s="14" t="s">
        <v>25</v>
      </c>
      <c r="O3120" s="15">
        <v>1.65E7</v>
      </c>
      <c r="P3120" s="10">
        <f t="shared" si="2"/>
        <v>0</v>
      </c>
      <c r="Q3120" s="12">
        <f t="shared" si="3"/>
        <v>4797910</v>
      </c>
      <c r="R3120" s="14">
        <v>2007.0</v>
      </c>
      <c r="S3120" s="14">
        <v>6.3</v>
      </c>
    </row>
    <row r="3121" ht="15.75" customHeight="1">
      <c r="A3121" s="25" t="s">
        <v>5036</v>
      </c>
      <c r="B3121" s="8" t="str">
        <f>IFERROR(__xludf.DUMMYFUNCTION("REGEXREPLACE(A3121, ""[^0-9a-zA-Z .'Ã]"","""")"),"Stephen Kay")</f>
        <v>Stephen Kay</v>
      </c>
      <c r="C3121" s="26">
        <v>12.0</v>
      </c>
      <c r="D3121" s="27">
        <v>12836.0</v>
      </c>
      <c r="E3121" s="26" t="s">
        <v>359</v>
      </c>
      <c r="F3121" s="9">
        <f t="shared" si="1"/>
        <v>2</v>
      </c>
      <c r="G3121" s="26" t="s">
        <v>1170</v>
      </c>
      <c r="H3121" s="11" t="str">
        <f>IFERROR(__xludf.DUMMYFUNCTION("REGEXREPLACE(G3121, ""[^0-9a-zA-Z .'Ã]"","""")"),"Keanu Reeves")</f>
        <v>Keanu Reeves</v>
      </c>
      <c r="I3121" s="28" t="s">
        <v>9850</v>
      </c>
      <c r="J3121" s="26">
        <v>1686.0</v>
      </c>
      <c r="K3121" s="26" t="s">
        <v>9851</v>
      </c>
      <c r="L3121" s="26">
        <v>28.0</v>
      </c>
      <c r="M3121" s="26" t="s">
        <v>24</v>
      </c>
      <c r="N3121" s="26" t="s">
        <v>25</v>
      </c>
      <c r="O3121" s="27">
        <v>4000000.0</v>
      </c>
      <c r="P3121" s="10">
        <f t="shared" si="2"/>
        <v>0</v>
      </c>
      <c r="Q3121" s="12">
        <f t="shared" si="3"/>
        <v>3987164</v>
      </c>
      <c r="R3121" s="26">
        <v>1997.0</v>
      </c>
      <c r="S3121" s="26">
        <v>5.8</v>
      </c>
    </row>
    <row r="3122" ht="15.75" customHeight="1">
      <c r="A3122" s="17" t="s">
        <v>9852</v>
      </c>
      <c r="B3122" s="8" t="str">
        <f>IFERROR(__xludf.DUMMYFUNCTION("REGEXREPLACE(A3122, ""[^0-9a-zA-Z .'Ã]"","""")"),"Asghar Farhadi")</f>
        <v>Asghar Farhadi</v>
      </c>
      <c r="C3122" s="18">
        <v>354.0</v>
      </c>
      <c r="D3122" s="19">
        <v>7098492.0</v>
      </c>
      <c r="E3122" s="18" t="s">
        <v>79</v>
      </c>
      <c r="F3122" s="9">
        <f t="shared" si="1"/>
        <v>2</v>
      </c>
      <c r="G3122" s="18" t="s">
        <v>9853</v>
      </c>
      <c r="H3122" s="11" t="str">
        <f>IFERROR(__xludf.DUMMYFUNCTION("REGEXREPLACE(G3122, ""[^0-9a-zA-Z .'Ã]"","""")"),"Shahab Hosseini")</f>
        <v>Shahab Hosseini</v>
      </c>
      <c r="I3122" s="20" t="s">
        <v>9854</v>
      </c>
      <c r="J3122" s="18">
        <v>151812.0</v>
      </c>
      <c r="K3122" s="18" t="s">
        <v>9855</v>
      </c>
      <c r="L3122" s="18">
        <v>264.0</v>
      </c>
      <c r="M3122" s="18" t="s">
        <v>2530</v>
      </c>
      <c r="N3122" s="18" t="s">
        <v>2531</v>
      </c>
      <c r="O3122" s="19">
        <v>500000.0</v>
      </c>
      <c r="P3122" s="10">
        <f t="shared" si="2"/>
        <v>6598492</v>
      </c>
      <c r="Q3122" s="12">
        <f t="shared" si="3"/>
        <v>0</v>
      </c>
      <c r="R3122" s="18">
        <v>2011.0</v>
      </c>
      <c r="S3122" s="18">
        <v>8.4</v>
      </c>
    </row>
    <row r="3123" ht="15.75" customHeight="1">
      <c r="A3123" s="21" t="s">
        <v>4330</v>
      </c>
      <c r="B3123" s="8" t="str">
        <f>IFERROR(__xludf.DUMMYFUNCTION("REGEXREPLACE(A3123, ""[^0-9a-zA-Z .'Ã]"","""")"),"Jason Friedberg")</f>
        <v>Jason Friedberg</v>
      </c>
      <c r="C3123" s="22">
        <v>122.0</v>
      </c>
      <c r="D3123" s="23">
        <v>3.6658108E7</v>
      </c>
      <c r="E3123" s="22" t="s">
        <v>137</v>
      </c>
      <c r="F3123" s="9">
        <f t="shared" si="1"/>
        <v>1</v>
      </c>
      <c r="G3123" s="22" t="s">
        <v>3226</v>
      </c>
      <c r="H3123" s="11" t="str">
        <f>IFERROR(__xludf.DUMMYFUNCTION("REGEXREPLACE(G3123, ""[^0-9a-zA-Z .'Ã]"","""")"),"Diedrich Bader")</f>
        <v>Diedrich Bader</v>
      </c>
      <c r="I3123" s="24" t="s">
        <v>9856</v>
      </c>
      <c r="J3123" s="22">
        <v>39095.0</v>
      </c>
      <c r="K3123" s="22" t="s">
        <v>9857</v>
      </c>
      <c r="L3123" s="22">
        <v>187.0</v>
      </c>
      <c r="M3123" s="22" t="s">
        <v>24</v>
      </c>
      <c r="N3123" s="22" t="s">
        <v>25</v>
      </c>
      <c r="O3123" s="23">
        <v>2.0E7</v>
      </c>
      <c r="P3123" s="10">
        <f t="shared" si="2"/>
        <v>16658108</v>
      </c>
      <c r="Q3123" s="12">
        <f t="shared" si="3"/>
        <v>0</v>
      </c>
      <c r="R3123" s="22">
        <v>2010.0</v>
      </c>
      <c r="S3123" s="22">
        <v>3.5</v>
      </c>
    </row>
    <row r="3124" ht="15.75" customHeight="1">
      <c r="A3124" s="17" t="s">
        <v>9858</v>
      </c>
      <c r="B3124" s="8" t="str">
        <f>IFERROR(__xludf.DUMMYFUNCTION("REGEXREPLACE(A3124, ""[^0-9a-zA-Z .'Ã]"","""")"),"Matt Maiellaro")</f>
        <v>Matt Maiellaro</v>
      </c>
      <c r="C3124" s="18">
        <v>82.0</v>
      </c>
      <c r="D3124" s="19">
        <v>5518918.0</v>
      </c>
      <c r="E3124" s="18" t="s">
        <v>9859</v>
      </c>
      <c r="F3124" s="9">
        <f t="shared" si="1"/>
        <v>6</v>
      </c>
      <c r="G3124" s="18" t="s">
        <v>3367</v>
      </c>
      <c r="H3124" s="11" t="str">
        <f>IFERROR(__xludf.DUMMYFUNCTION("REGEXREPLACE(G3124, ""[^0-9a-zA-Z .'Ã]"","""")"),"Tina Fey")</f>
        <v>Tina Fey</v>
      </c>
      <c r="I3124" s="20" t="s">
        <v>9860</v>
      </c>
      <c r="J3124" s="18">
        <v>12160.0</v>
      </c>
      <c r="K3124" s="18" t="s">
        <v>9861</v>
      </c>
      <c r="L3124" s="18">
        <v>73.0</v>
      </c>
      <c r="M3124" s="18" t="s">
        <v>24</v>
      </c>
      <c r="N3124" s="18" t="s">
        <v>25</v>
      </c>
      <c r="O3124" s="19">
        <v>750000.0</v>
      </c>
      <c r="P3124" s="10">
        <f t="shared" si="2"/>
        <v>4768918</v>
      </c>
      <c r="Q3124" s="12">
        <f t="shared" si="3"/>
        <v>0</v>
      </c>
      <c r="R3124" s="18">
        <v>2007.0</v>
      </c>
      <c r="S3124" s="18">
        <v>6.9</v>
      </c>
    </row>
    <row r="3125" ht="15.75" customHeight="1">
      <c r="A3125" s="29" t="s">
        <v>3287</v>
      </c>
      <c r="B3125" s="8" t="str">
        <f>IFERROR(__xludf.DUMMYFUNCTION("REGEXREPLACE(A3125, ""[^0-9a-zA-Z .'Ã]"","""")"),"Rob Letterman")</f>
        <v>Rob Letterman</v>
      </c>
      <c r="C3125" s="30">
        <v>219.0</v>
      </c>
      <c r="D3125" s="31">
        <v>1.98332128E8</v>
      </c>
      <c r="E3125" s="30" t="s">
        <v>7414</v>
      </c>
      <c r="F3125" s="9">
        <f t="shared" si="1"/>
        <v>6</v>
      </c>
      <c r="G3125" s="30" t="s">
        <v>2653</v>
      </c>
      <c r="H3125" s="11" t="str">
        <f>IFERROR(__xludf.DUMMYFUNCTION("REGEXREPLACE(G3125, ""[^0-9a-zA-Z .'Ã]"","""")"),"Amy Poehler")</f>
        <v>Amy Poehler</v>
      </c>
      <c r="I3125" s="32" t="s">
        <v>9862</v>
      </c>
      <c r="J3125" s="30">
        <v>114553.0</v>
      </c>
      <c r="K3125" s="30" t="s">
        <v>9863</v>
      </c>
      <c r="L3125" s="30">
        <v>187.0</v>
      </c>
      <c r="M3125" s="30" t="s">
        <v>24</v>
      </c>
      <c r="N3125" s="30" t="s">
        <v>25</v>
      </c>
      <c r="O3125" s="31">
        <v>1.75E8</v>
      </c>
      <c r="P3125" s="10">
        <f t="shared" si="2"/>
        <v>23332128</v>
      </c>
      <c r="Q3125" s="12">
        <f t="shared" si="3"/>
        <v>0</v>
      </c>
      <c r="R3125" s="30">
        <v>2009.0</v>
      </c>
      <c r="S3125" s="30">
        <v>6.5</v>
      </c>
    </row>
    <row r="3126" ht="15.75" customHeight="1">
      <c r="A3126" s="21" t="s">
        <v>7131</v>
      </c>
      <c r="B3126" s="8" t="str">
        <f>IFERROR(__xludf.DUMMYFUNCTION("REGEXREPLACE(A3126, ""[^0-9a-zA-Z .'Ã]"","""")"),"Michael Lembeck")</f>
        <v>Michael Lembeck</v>
      </c>
      <c r="C3126" s="22">
        <v>76.0</v>
      </c>
      <c r="D3126" s="23">
        <v>8054280.0</v>
      </c>
      <c r="E3126" s="22" t="s">
        <v>6512</v>
      </c>
      <c r="F3126" s="9">
        <f t="shared" si="1"/>
        <v>3</v>
      </c>
      <c r="G3126" s="22" t="s">
        <v>9864</v>
      </c>
      <c r="H3126" s="11" t="str">
        <f>IFERROR(__xludf.DUMMYFUNCTION("REGEXREPLACE(G3126, ""[^0-9a-zA-Z .'Ã]"","""")"),"Debbie Reynolds")</f>
        <v>Debbie Reynolds</v>
      </c>
      <c r="I3126" s="24" t="s">
        <v>9865</v>
      </c>
      <c r="J3126" s="22">
        <v>6838.0</v>
      </c>
      <c r="K3126" s="22" t="s">
        <v>9866</v>
      </c>
      <c r="L3126" s="22">
        <v>117.0</v>
      </c>
      <c r="M3126" s="22" t="s">
        <v>24</v>
      </c>
      <c r="N3126" s="22" t="s">
        <v>25</v>
      </c>
      <c r="O3126" s="23">
        <v>2.0E7</v>
      </c>
      <c r="P3126" s="10">
        <f t="shared" si="2"/>
        <v>0</v>
      </c>
      <c r="Q3126" s="12">
        <f t="shared" si="3"/>
        <v>11945720</v>
      </c>
      <c r="R3126" s="22">
        <v>2004.0</v>
      </c>
      <c r="S3126" s="22">
        <v>6.3</v>
      </c>
    </row>
    <row r="3127" ht="15.75" customHeight="1">
      <c r="A3127" s="17" t="s">
        <v>1386</v>
      </c>
      <c r="B3127" s="8" t="str">
        <f>IFERROR(__xludf.DUMMYFUNCTION("REGEXREPLACE(A3127, ""[^0-9a-zA-Z .'Ã]"","""")"),"Jonathan Liebesman")</f>
        <v>Jonathan Liebesman</v>
      </c>
      <c r="C3127" s="18">
        <v>140.0</v>
      </c>
      <c r="D3127" s="19">
        <v>3.2131483E7</v>
      </c>
      <c r="E3127" s="18" t="s">
        <v>94</v>
      </c>
      <c r="F3127" s="9">
        <f t="shared" si="1"/>
        <v>3</v>
      </c>
      <c r="G3127" s="18" t="s">
        <v>9867</v>
      </c>
      <c r="H3127" s="11" t="str">
        <f>IFERROR(__xludf.DUMMYFUNCTION("REGEXREPLACE(G3127, ""[^0-9a-zA-Z .'Ã]"","""")"),"Sullivan Stapleton")</f>
        <v>Sullivan Stapleton</v>
      </c>
      <c r="I3127" s="20" t="s">
        <v>9868</v>
      </c>
      <c r="J3127" s="18">
        <v>25870.0</v>
      </c>
      <c r="K3127" s="18" t="s">
        <v>9869</v>
      </c>
      <c r="L3127" s="18">
        <v>369.0</v>
      </c>
      <c r="M3127" s="18" t="s">
        <v>24</v>
      </c>
      <c r="N3127" s="18" t="s">
        <v>25</v>
      </c>
      <c r="O3127" s="19">
        <v>1.1E7</v>
      </c>
      <c r="P3127" s="10">
        <f t="shared" si="2"/>
        <v>21131483</v>
      </c>
      <c r="Q3127" s="12">
        <f t="shared" si="3"/>
        <v>0</v>
      </c>
      <c r="R3127" s="18">
        <v>2003.0</v>
      </c>
      <c r="S3127" s="18">
        <v>4.9</v>
      </c>
    </row>
    <row r="3128" ht="15.75" customHeight="1">
      <c r="A3128" s="21" t="s">
        <v>9870</v>
      </c>
      <c r="B3128" s="8" t="str">
        <f>IFERROR(__xludf.DUMMYFUNCTION("REGEXREPLACE(A3128, ""[^0-9a-zA-Z .'Ã]"","""")"),"Paul Gross")</f>
        <v>Paul Gross</v>
      </c>
      <c r="C3128" s="22">
        <v>9.0</v>
      </c>
      <c r="D3128" s="23">
        <v>4239767.0</v>
      </c>
      <c r="E3128" s="22" t="s">
        <v>1038</v>
      </c>
      <c r="F3128" s="9">
        <f t="shared" si="1"/>
        <v>4</v>
      </c>
      <c r="G3128" s="22" t="s">
        <v>9871</v>
      </c>
      <c r="H3128" s="11" t="str">
        <f>IFERROR(__xludf.DUMMYFUNCTION("REGEXREPLACE(G3128, ""[^0-9a-zA-Z .'Ã]"","""")"),"Molly Parker")</f>
        <v>Molly Parker</v>
      </c>
      <c r="I3128" s="24" t="s">
        <v>9872</v>
      </c>
      <c r="J3128" s="22">
        <v>3709.0</v>
      </c>
      <c r="K3128" s="22" t="s">
        <v>9873</v>
      </c>
      <c r="L3128" s="22">
        <v>83.0</v>
      </c>
      <c r="M3128" s="22" t="s">
        <v>24</v>
      </c>
      <c r="N3128" s="22" t="s">
        <v>624</v>
      </c>
      <c r="O3128" s="23">
        <v>7500000.0</v>
      </c>
      <c r="P3128" s="10">
        <f t="shared" si="2"/>
        <v>0</v>
      </c>
      <c r="Q3128" s="12">
        <f t="shared" si="3"/>
        <v>3260233</v>
      </c>
      <c r="R3128" s="22">
        <v>2002.0</v>
      </c>
      <c r="S3128" s="22">
        <v>6.0</v>
      </c>
    </row>
    <row r="3129" ht="15.75" customHeight="1">
      <c r="A3129" s="21" t="s">
        <v>9004</v>
      </c>
      <c r="B3129" s="8" t="str">
        <f>IFERROR(__xludf.DUMMYFUNCTION("REGEXREPLACE(A3129, ""[^0-9a-zA-Z .'Ã]"","""")"),"Mark Romanek")</f>
        <v>Mark Romanek</v>
      </c>
      <c r="C3129" s="22">
        <v>328.0</v>
      </c>
      <c r="D3129" s="23">
        <v>2412045.0</v>
      </c>
      <c r="E3129" s="22" t="s">
        <v>3958</v>
      </c>
      <c r="F3129" s="9">
        <f t="shared" si="1"/>
        <v>3</v>
      </c>
      <c r="G3129" s="22" t="s">
        <v>5114</v>
      </c>
      <c r="H3129" s="11" t="str">
        <f>IFERROR(__xludf.DUMMYFUNCTION("REGEXREPLACE(G3129, ""[^0-9a-zA-Z .'Ã]"","""")"),"Andrew Garfield")</f>
        <v>Andrew Garfield</v>
      </c>
      <c r="I3129" s="24" t="s">
        <v>9874</v>
      </c>
      <c r="J3129" s="22">
        <v>109873.0</v>
      </c>
      <c r="K3129" s="22" t="s">
        <v>9875</v>
      </c>
      <c r="L3129" s="22">
        <v>320.0</v>
      </c>
      <c r="M3129" s="22" t="s">
        <v>24</v>
      </c>
      <c r="N3129" s="22" t="s">
        <v>130</v>
      </c>
      <c r="O3129" s="23">
        <v>1.5E7</v>
      </c>
      <c r="P3129" s="10">
        <f t="shared" si="2"/>
        <v>0</v>
      </c>
      <c r="Q3129" s="12">
        <f t="shared" si="3"/>
        <v>12587955</v>
      </c>
      <c r="R3129" s="22">
        <v>2010.0</v>
      </c>
      <c r="S3129" s="22">
        <v>7.2</v>
      </c>
    </row>
    <row r="3130" ht="15.75" customHeight="1">
      <c r="A3130" s="21" t="s">
        <v>1682</v>
      </c>
      <c r="B3130" s="8" t="str">
        <f>IFERROR(__xludf.DUMMYFUNCTION("REGEXREPLACE(A3130, ""[^0-9a-zA-Z .'Ã]"","""")"),"Paul W.S. Anderson")</f>
        <v>Paul W.S. Anderson</v>
      </c>
      <c r="C3130" s="22">
        <v>247.0</v>
      </c>
      <c r="D3130" s="23">
        <v>8.0281096E7</v>
      </c>
      <c r="E3130" s="22" t="s">
        <v>64</v>
      </c>
      <c r="F3130" s="9">
        <f t="shared" si="1"/>
        <v>4</v>
      </c>
      <c r="G3130" s="22" t="s">
        <v>8554</v>
      </c>
      <c r="H3130" s="11" t="str">
        <f>IFERROR(__xludf.DUMMYFUNCTION("REGEXREPLACE(G3130, ""[^0-9a-zA-Z .'Ã]"","""")"),"Sanaa Lathan")</f>
        <v>Sanaa Lathan</v>
      </c>
      <c r="I3130" s="24" t="s">
        <v>9876</v>
      </c>
      <c r="J3130" s="22">
        <v>143628.0</v>
      </c>
      <c r="K3130" s="22" t="s">
        <v>9877</v>
      </c>
      <c r="L3130" s="22">
        <v>1283.0</v>
      </c>
      <c r="M3130" s="22" t="s">
        <v>24</v>
      </c>
      <c r="N3130" s="22" t="s">
        <v>25</v>
      </c>
      <c r="O3130" s="23">
        <v>6.0E7</v>
      </c>
      <c r="P3130" s="10">
        <f t="shared" si="2"/>
        <v>20281096</v>
      </c>
      <c r="Q3130" s="12">
        <f t="shared" si="3"/>
        <v>0</v>
      </c>
      <c r="R3130" s="22">
        <v>2004.0</v>
      </c>
      <c r="S3130" s="22">
        <v>5.6</v>
      </c>
    </row>
    <row r="3131" ht="15.75" customHeight="1">
      <c r="A3131" s="25" t="s">
        <v>9878</v>
      </c>
      <c r="B3131" s="8" t="str">
        <f>IFERROR(__xludf.DUMMYFUNCTION("REGEXREPLACE(A3131, ""[^0-9a-zA-Z .'Ã]"","""")"),"Jane Campion")</f>
        <v>Jane Campion</v>
      </c>
      <c r="C3131" s="26">
        <v>222.0</v>
      </c>
      <c r="D3131" s="27">
        <v>4440055.0</v>
      </c>
      <c r="E3131" s="26" t="s">
        <v>887</v>
      </c>
      <c r="F3131" s="9">
        <f t="shared" si="1"/>
        <v>3</v>
      </c>
      <c r="G3131" s="26" t="s">
        <v>2027</v>
      </c>
      <c r="H3131" s="11" t="str">
        <f>IFERROR(__xludf.DUMMYFUNCTION("REGEXREPLACE(G3131, ""[^0-9a-zA-Z .'Ã]"","""")"),"Abbie Cornish")</f>
        <v>Abbie Cornish</v>
      </c>
      <c r="I3131" s="28" t="s">
        <v>9879</v>
      </c>
      <c r="J3131" s="26">
        <v>21360.0</v>
      </c>
      <c r="K3131" s="26" t="s">
        <v>9880</v>
      </c>
      <c r="L3131" s="26">
        <v>110.0</v>
      </c>
      <c r="M3131" s="26" t="s">
        <v>24</v>
      </c>
      <c r="N3131" s="26" t="s">
        <v>130</v>
      </c>
      <c r="O3131" s="27">
        <v>8500000.0</v>
      </c>
      <c r="P3131" s="10">
        <f t="shared" si="2"/>
        <v>0</v>
      </c>
      <c r="Q3131" s="12">
        <f t="shared" si="3"/>
        <v>4059945</v>
      </c>
      <c r="R3131" s="26">
        <v>2009.0</v>
      </c>
      <c r="S3131" s="26">
        <v>7.0</v>
      </c>
    </row>
    <row r="3132" ht="15.75" customHeight="1">
      <c r="A3132" s="25" t="s">
        <v>935</v>
      </c>
      <c r="B3132" s="8" t="str">
        <f>IFERROR(__xludf.DUMMYFUNCTION("REGEXREPLACE(A3132, ""[^0-9a-zA-Z .'Ã]"","""")"),"Betty Thomas")</f>
        <v>Betty Thomas</v>
      </c>
      <c r="C3132" s="26">
        <v>116.0</v>
      </c>
      <c r="D3132" s="27">
        <v>3.7035515E7</v>
      </c>
      <c r="E3132" s="26" t="s">
        <v>454</v>
      </c>
      <c r="F3132" s="9">
        <f t="shared" si="1"/>
        <v>2</v>
      </c>
      <c r="G3132" s="26" t="s">
        <v>453</v>
      </c>
      <c r="H3132" s="11" t="str">
        <f>IFERROR(__xludf.DUMMYFUNCTION("REGEXREPLACE(G3132, ""[^0-9a-zA-Z .'Ã]"","""")"),"Steve Buscemi")</f>
        <v>Steve Buscemi</v>
      </c>
      <c r="I3132" s="28" t="s">
        <v>9881</v>
      </c>
      <c r="J3132" s="26">
        <v>34597.0</v>
      </c>
      <c r="K3132" s="26" t="s">
        <v>9882</v>
      </c>
      <c r="L3132" s="26">
        <v>194.0</v>
      </c>
      <c r="M3132" s="26" t="s">
        <v>24</v>
      </c>
      <c r="N3132" s="26" t="s">
        <v>25</v>
      </c>
      <c r="O3132" s="27">
        <v>4.3E7</v>
      </c>
      <c r="P3132" s="10">
        <f t="shared" si="2"/>
        <v>0</v>
      </c>
      <c r="Q3132" s="12">
        <f t="shared" si="3"/>
        <v>5964485</v>
      </c>
      <c r="R3132" s="26">
        <v>2000.0</v>
      </c>
      <c r="S3132" s="26">
        <v>6.0</v>
      </c>
    </row>
    <row r="3133" ht="15.75" customHeight="1">
      <c r="A3133" s="7" t="s">
        <v>9340</v>
      </c>
      <c r="B3133" s="8" t="str">
        <f>IFERROR(__xludf.DUMMYFUNCTION("REGEXREPLACE(A3133, ""[^0-9a-zA-Z .'Ã]"","""")"),"Karyn Kusama")</f>
        <v>Karyn Kusama</v>
      </c>
      <c r="C3133" s="9">
        <v>300.0</v>
      </c>
      <c r="D3133" s="10">
        <v>1.6204793E7</v>
      </c>
      <c r="E3133" s="9" t="s">
        <v>1099</v>
      </c>
      <c r="F3133" s="9">
        <f t="shared" si="1"/>
        <v>3</v>
      </c>
      <c r="G3133" s="9" t="s">
        <v>878</v>
      </c>
      <c r="H3133" s="11" t="str">
        <f>IFERROR(__xludf.DUMMYFUNCTION("REGEXREPLACE(G3133, ""[^0-9a-zA-Z .'Ã]"","""")"),"J.K. Simmons")</f>
        <v>J.K. Simmons</v>
      </c>
      <c r="I3133" s="11" t="s">
        <v>9883</v>
      </c>
      <c r="J3133" s="9">
        <v>92712.0</v>
      </c>
      <c r="K3133" s="9" t="s">
        <v>9884</v>
      </c>
      <c r="L3133" s="9">
        <v>294.0</v>
      </c>
      <c r="M3133" s="9" t="s">
        <v>24</v>
      </c>
      <c r="N3133" s="9" t="s">
        <v>25</v>
      </c>
      <c r="O3133" s="10">
        <v>1.6E7</v>
      </c>
      <c r="P3133" s="10">
        <f t="shared" si="2"/>
        <v>204793</v>
      </c>
      <c r="Q3133" s="12">
        <f t="shared" si="3"/>
        <v>0</v>
      </c>
      <c r="R3133" s="9">
        <v>2009.0</v>
      </c>
      <c r="S3133" s="9">
        <v>5.1</v>
      </c>
    </row>
    <row r="3134" ht="15.75" customHeight="1">
      <c r="A3134" s="25" t="s">
        <v>2187</v>
      </c>
      <c r="B3134" s="8" t="str">
        <f>IFERROR(__xludf.DUMMYFUNCTION("REGEXREPLACE(A3134, ""[^0-9a-zA-Z .'Ã]"","""")"),"Raja Gosnell")</f>
        <v>Raja Gosnell</v>
      </c>
      <c r="C3134" s="26">
        <v>138.0</v>
      </c>
      <c r="D3134" s="27">
        <v>1.53288182E8</v>
      </c>
      <c r="E3134" s="26" t="s">
        <v>9463</v>
      </c>
      <c r="F3134" s="9">
        <f t="shared" si="1"/>
        <v>3</v>
      </c>
      <c r="G3134" s="26" t="s">
        <v>3489</v>
      </c>
      <c r="H3134" s="11" t="str">
        <f>IFERROR(__xludf.DUMMYFUNCTION("REGEXREPLACE(G3134, ""[^0-9a-zA-Z .'Ã]"","""")"),"Sarah Michelle Gellar")</f>
        <v>Sarah Michelle Gellar</v>
      </c>
      <c r="I3134" s="28" t="s">
        <v>9885</v>
      </c>
      <c r="J3134" s="26">
        <v>71424.0</v>
      </c>
      <c r="K3134" s="26" t="s">
        <v>9886</v>
      </c>
      <c r="L3134" s="26">
        <v>521.0</v>
      </c>
      <c r="M3134" s="26" t="s">
        <v>24</v>
      </c>
      <c r="N3134" s="26" t="s">
        <v>25</v>
      </c>
      <c r="O3134" s="27">
        <v>8.4E7</v>
      </c>
      <c r="P3134" s="10">
        <f t="shared" si="2"/>
        <v>69288182</v>
      </c>
      <c r="Q3134" s="12">
        <f t="shared" si="3"/>
        <v>0</v>
      </c>
      <c r="R3134" s="26">
        <v>2002.0</v>
      </c>
      <c r="S3134" s="26">
        <v>4.9</v>
      </c>
    </row>
    <row r="3135" ht="15.75" customHeight="1">
      <c r="A3135" s="7" t="s">
        <v>9887</v>
      </c>
      <c r="B3135" s="8" t="str">
        <f>IFERROR(__xludf.DUMMYFUNCTION("REGEXREPLACE(A3135, ""[^0-9a-zA-Z .'Ã]"","""")"),"Peter Lepeniotis")</f>
        <v>Peter Lepeniotis</v>
      </c>
      <c r="C3135" s="9">
        <v>121.0</v>
      </c>
      <c r="D3135" s="10">
        <v>6.423877E7</v>
      </c>
      <c r="E3135" s="9" t="s">
        <v>1813</v>
      </c>
      <c r="F3135" s="9">
        <f t="shared" si="1"/>
        <v>4</v>
      </c>
      <c r="G3135" s="9" t="s">
        <v>605</v>
      </c>
      <c r="H3135" s="11" t="str">
        <f>IFERROR(__xludf.DUMMYFUNCTION("REGEXREPLACE(G3135, ""[^0-9a-zA-Z .'Ã]"","""")"),"Liam Neeson")</f>
        <v>Liam Neeson</v>
      </c>
      <c r="I3135" s="11" t="s">
        <v>9888</v>
      </c>
      <c r="J3135" s="9">
        <v>19547.0</v>
      </c>
      <c r="K3135" s="9" t="s">
        <v>9889</v>
      </c>
      <c r="L3135" s="9">
        <v>64.0</v>
      </c>
      <c r="M3135" s="9" t="s">
        <v>24</v>
      </c>
      <c r="N3135" s="9" t="s">
        <v>624</v>
      </c>
      <c r="O3135" s="10">
        <v>4.2E7</v>
      </c>
      <c r="P3135" s="10">
        <f t="shared" si="2"/>
        <v>22238770</v>
      </c>
      <c r="Q3135" s="12">
        <f t="shared" si="3"/>
        <v>0</v>
      </c>
      <c r="R3135" s="9">
        <v>2014.0</v>
      </c>
      <c r="S3135" s="9">
        <v>5.8</v>
      </c>
    </row>
    <row r="3136" ht="15.75" customHeight="1">
      <c r="A3136" s="7" t="s">
        <v>4154</v>
      </c>
      <c r="B3136" s="8" t="str">
        <f>IFERROR(__xludf.DUMMYFUNCTION("REGEXREPLACE(A3136, ""[^0-9a-zA-Z .'Ã]"","""")"),"Joe Johnston")</f>
        <v>Joe Johnston</v>
      </c>
      <c r="C3136" s="9">
        <v>357.0</v>
      </c>
      <c r="D3136" s="10">
        <v>6.1937495E7</v>
      </c>
      <c r="E3136" s="9" t="s">
        <v>2391</v>
      </c>
      <c r="F3136" s="9">
        <f t="shared" si="1"/>
        <v>4</v>
      </c>
      <c r="G3136" s="9" t="s">
        <v>237</v>
      </c>
      <c r="H3136" s="11" t="str">
        <f>IFERROR(__xludf.DUMMYFUNCTION("REGEXREPLACE(G3136, ""[^0-9a-zA-Z .'Ã]"","""")"),"Anthony Hopkins")</f>
        <v>Anthony Hopkins</v>
      </c>
      <c r="I3136" s="11" t="s">
        <v>9890</v>
      </c>
      <c r="J3136" s="9">
        <v>89442.0</v>
      </c>
      <c r="K3136" s="9" t="s">
        <v>9891</v>
      </c>
      <c r="L3136" s="9">
        <v>432.0</v>
      </c>
      <c r="M3136" s="9" t="s">
        <v>24</v>
      </c>
      <c r="N3136" s="9" t="s">
        <v>25</v>
      </c>
      <c r="O3136" s="10">
        <v>1.5E8</v>
      </c>
      <c r="P3136" s="10">
        <f t="shared" si="2"/>
        <v>0</v>
      </c>
      <c r="Q3136" s="12">
        <f t="shared" si="3"/>
        <v>88062505</v>
      </c>
      <c r="R3136" s="9">
        <v>2010.0</v>
      </c>
      <c r="S3136" s="9">
        <v>5.8</v>
      </c>
    </row>
    <row r="3137" ht="15.75" customHeight="1">
      <c r="A3137" s="25" t="s">
        <v>2275</v>
      </c>
      <c r="B3137" s="8" t="str">
        <f>IFERROR(__xludf.DUMMYFUNCTION("REGEXREPLACE(A3137, ""[^0-9a-zA-Z .'Ã]"","""")"),"John Lasseter")</f>
        <v>John Lasseter</v>
      </c>
      <c r="C3137" s="26">
        <v>256.0</v>
      </c>
      <c r="D3137" s="27">
        <v>2.44052771E8</v>
      </c>
      <c r="E3137" s="26" t="s">
        <v>2397</v>
      </c>
      <c r="F3137" s="9">
        <f t="shared" si="1"/>
        <v>5</v>
      </c>
      <c r="G3137" s="26" t="s">
        <v>2431</v>
      </c>
      <c r="H3137" s="11" t="str">
        <f>IFERROR(__xludf.DUMMYFUNCTION("REGEXREPLACE(G3137, ""[^0-9a-zA-Z .'Ã]"","""")"),"John Ratzenberger")</f>
        <v>John Ratzenberger</v>
      </c>
      <c r="I3137" s="28" t="s">
        <v>9892</v>
      </c>
      <c r="J3137" s="26">
        <v>263853.0</v>
      </c>
      <c r="K3137" s="26" t="s">
        <v>9893</v>
      </c>
      <c r="L3137" s="26">
        <v>584.0</v>
      </c>
      <c r="M3137" s="26" t="s">
        <v>24</v>
      </c>
      <c r="N3137" s="26" t="s">
        <v>25</v>
      </c>
      <c r="O3137" s="27">
        <v>1.2E8</v>
      </c>
      <c r="P3137" s="10">
        <f t="shared" si="2"/>
        <v>124052771</v>
      </c>
      <c r="Q3137" s="12">
        <f t="shared" si="3"/>
        <v>0</v>
      </c>
      <c r="R3137" s="26">
        <v>2006.0</v>
      </c>
      <c r="S3137" s="26">
        <v>7.2</v>
      </c>
    </row>
    <row r="3138" ht="15.75" customHeight="1">
      <c r="A3138" s="7" t="s">
        <v>1474</v>
      </c>
      <c r="B3138" s="8" t="str">
        <f>IFERROR(__xludf.DUMMYFUNCTION("REGEXREPLACE(A3138, ""[^0-9a-zA-Z .'Ã]"","""")"),"Guillermo del Toro")</f>
        <v>Guillermo del Toro</v>
      </c>
      <c r="C3138" s="9">
        <v>224.0</v>
      </c>
      <c r="D3138" s="10">
        <v>8.1645152E7</v>
      </c>
      <c r="E3138" s="9" t="s">
        <v>64</v>
      </c>
      <c r="F3138" s="9">
        <f t="shared" si="1"/>
        <v>4</v>
      </c>
      <c r="G3138" s="9" t="s">
        <v>1665</v>
      </c>
      <c r="H3138" s="11" t="str">
        <f>IFERROR(__xludf.DUMMYFUNCTION("REGEXREPLACE(G3138, ""[^0-9a-zA-Z .'Ã]"","""")"),"Norman Reedus")</f>
        <v>Norman Reedus</v>
      </c>
      <c r="I3138" s="11" t="s">
        <v>9894</v>
      </c>
      <c r="J3138" s="9">
        <v>158267.0</v>
      </c>
      <c r="K3138" s="9" t="s">
        <v>9895</v>
      </c>
      <c r="L3138" s="9">
        <v>559.0</v>
      </c>
      <c r="M3138" s="9" t="s">
        <v>24</v>
      </c>
      <c r="N3138" s="9" t="s">
        <v>25</v>
      </c>
      <c r="O3138" s="10">
        <v>5.4E7</v>
      </c>
      <c r="P3138" s="10">
        <f t="shared" si="2"/>
        <v>27645152</v>
      </c>
      <c r="Q3138" s="12">
        <f t="shared" si="3"/>
        <v>0</v>
      </c>
      <c r="R3138" s="9">
        <v>2002.0</v>
      </c>
      <c r="S3138" s="9">
        <v>6.7</v>
      </c>
    </row>
    <row r="3139" ht="15.75" customHeight="1">
      <c r="A3139" s="7" t="s">
        <v>9896</v>
      </c>
      <c r="B3139" s="8" t="str">
        <f>IFERROR(__xludf.DUMMYFUNCTION("REGEXREPLACE(A3139, ""[^0-9a-zA-Z .'Ã]"","""")"),"Don Siegel")</f>
        <v>Don Siegel</v>
      </c>
      <c r="C3139" s="9">
        <v>53.0</v>
      </c>
      <c r="D3139" s="10">
        <v>3.65E7</v>
      </c>
      <c r="E3139" s="9" t="s">
        <v>1774</v>
      </c>
      <c r="F3139" s="9">
        <f t="shared" si="1"/>
        <v>3</v>
      </c>
      <c r="G3139" s="9" t="s">
        <v>38</v>
      </c>
      <c r="H3139" s="11" t="str">
        <f>IFERROR(__xludf.DUMMYFUNCTION("REGEXREPLACE(G3139, ""[^0-9a-zA-Z .'Ã]"","""")"),"Clint Eastwood")</f>
        <v>Clint Eastwood</v>
      </c>
      <c r="I3139" s="11" t="s">
        <v>9897</v>
      </c>
      <c r="J3139" s="9">
        <v>87090.0</v>
      </c>
      <c r="K3139" s="9" t="s">
        <v>9898</v>
      </c>
      <c r="L3139" s="9">
        <v>142.0</v>
      </c>
      <c r="M3139" s="9" t="s">
        <v>24</v>
      </c>
      <c r="N3139" s="9" t="s">
        <v>25</v>
      </c>
      <c r="O3139" s="10">
        <v>8000000.0</v>
      </c>
      <c r="P3139" s="10">
        <f t="shared" si="2"/>
        <v>28500000</v>
      </c>
      <c r="Q3139" s="12">
        <f t="shared" si="3"/>
        <v>0</v>
      </c>
      <c r="R3139" s="9">
        <v>1979.0</v>
      </c>
      <c r="S3139" s="9">
        <v>7.6</v>
      </c>
    </row>
    <row r="3140" ht="15.75" customHeight="1">
      <c r="A3140" s="25" t="s">
        <v>9899</v>
      </c>
      <c r="B3140" s="8" t="str">
        <f>IFERROR(__xludf.DUMMYFUNCTION("REGEXREPLACE(A3140, ""[^0-9a-zA-Z .'Ã]"","""")"),"Tom McGrath")</f>
        <v>Tom McGrath</v>
      </c>
      <c r="C3140" s="26">
        <v>233.0</v>
      </c>
      <c r="D3140" s="27">
        <v>1.48337537E8</v>
      </c>
      <c r="E3140" s="26" t="s">
        <v>2161</v>
      </c>
      <c r="F3140" s="9">
        <f t="shared" si="1"/>
        <v>5</v>
      </c>
      <c r="G3140" s="26" t="s">
        <v>878</v>
      </c>
      <c r="H3140" s="11" t="str">
        <f>IFERROR(__xludf.DUMMYFUNCTION("REGEXREPLACE(G3140, ""[^0-9a-zA-Z .'Ã]"","""")"),"J.K. Simmons")</f>
        <v>J.K. Simmons</v>
      </c>
      <c r="I3140" s="28" t="s">
        <v>9900</v>
      </c>
      <c r="J3140" s="26">
        <v>172754.0</v>
      </c>
      <c r="K3140" s="26" t="s">
        <v>9901</v>
      </c>
      <c r="L3140" s="26">
        <v>187.0</v>
      </c>
      <c r="M3140" s="26" t="s">
        <v>24</v>
      </c>
      <c r="N3140" s="26" t="s">
        <v>25</v>
      </c>
      <c r="O3140" s="27">
        <v>1.3E8</v>
      </c>
      <c r="P3140" s="10">
        <f t="shared" si="2"/>
        <v>18337537</v>
      </c>
      <c r="Q3140" s="12">
        <f t="shared" si="3"/>
        <v>0</v>
      </c>
      <c r="R3140" s="26">
        <v>2010.0</v>
      </c>
      <c r="S3140" s="26">
        <v>7.3</v>
      </c>
    </row>
    <row r="3141" ht="15.75" customHeight="1">
      <c r="A3141" s="25" t="s">
        <v>9902</v>
      </c>
      <c r="B3141" s="8" t="str">
        <f>IFERROR(__xludf.DUMMYFUNCTION("REGEXREPLACE(A3141, ""[^0-9a-zA-Z .'Ã]"","""")"),"Travis Cluff")</f>
        <v>Travis Cluff</v>
      </c>
      <c r="C3141" s="26">
        <v>159.0</v>
      </c>
      <c r="D3141" s="27">
        <v>2.2757819E7</v>
      </c>
      <c r="E3141" s="26" t="s">
        <v>306</v>
      </c>
      <c r="F3141" s="9">
        <f t="shared" si="1"/>
        <v>2</v>
      </c>
      <c r="G3141" s="26" t="s">
        <v>9903</v>
      </c>
      <c r="H3141" s="11" t="str">
        <f>IFERROR(__xludf.DUMMYFUNCTION("REGEXREPLACE(G3141, ""[^0-9a-zA-Z .'Ã]"","""")"),"Pfeifer Brown")</f>
        <v>Pfeifer Brown</v>
      </c>
      <c r="I3141" s="28" t="s">
        <v>9904</v>
      </c>
      <c r="J3141" s="26">
        <v>13521.0</v>
      </c>
      <c r="K3141" s="26" t="s">
        <v>9905</v>
      </c>
      <c r="L3141" s="26">
        <v>150.0</v>
      </c>
      <c r="M3141" s="26" t="s">
        <v>24</v>
      </c>
      <c r="N3141" s="26" t="s">
        <v>25</v>
      </c>
      <c r="O3141" s="27">
        <v>100000.0</v>
      </c>
      <c r="P3141" s="10">
        <f t="shared" si="2"/>
        <v>22657819</v>
      </c>
      <c r="Q3141" s="12">
        <f t="shared" si="3"/>
        <v>0</v>
      </c>
      <c r="R3141" s="26">
        <v>2015.0</v>
      </c>
      <c r="S3141" s="26">
        <v>4.2</v>
      </c>
    </row>
    <row r="3142" ht="15.75" customHeight="1">
      <c r="A3142" s="21" t="s">
        <v>9906</v>
      </c>
      <c r="B3142" s="8" t="str">
        <f>IFERROR(__xludf.DUMMYFUNCTION("REGEXREPLACE(A3142, ""[^0-9a-zA-Z .'Ã]"","""")"),"Jennifer Flackett")</f>
        <v>Jennifer Flackett</v>
      </c>
      <c r="C3142" s="22">
        <v>139.0</v>
      </c>
      <c r="D3142" s="23">
        <v>4.8006503E7</v>
      </c>
      <c r="E3142" s="22" t="s">
        <v>1874</v>
      </c>
      <c r="F3142" s="9">
        <f t="shared" si="1"/>
        <v>4</v>
      </c>
      <c r="G3142" s="22" t="s">
        <v>830</v>
      </c>
      <c r="H3142" s="11" t="str">
        <f>IFERROR(__xludf.DUMMYFUNCTION("REGEXREPLACE(G3142, ""[^0-9a-zA-Z .'Ã]"","""")"),"Gerard Butler")</f>
        <v>Gerard Butler</v>
      </c>
      <c r="I3142" s="24" t="s">
        <v>9907</v>
      </c>
      <c r="J3142" s="22">
        <v>28109.0</v>
      </c>
      <c r="K3142" s="22" t="s">
        <v>9908</v>
      </c>
      <c r="L3142" s="22">
        <v>110.0</v>
      </c>
      <c r="M3142" s="22" t="s">
        <v>24</v>
      </c>
      <c r="N3142" s="22" t="s">
        <v>25</v>
      </c>
      <c r="O3142" s="23">
        <v>3.7E7</v>
      </c>
      <c r="P3142" s="10">
        <f t="shared" si="2"/>
        <v>11006503</v>
      </c>
      <c r="Q3142" s="12">
        <f t="shared" si="3"/>
        <v>0</v>
      </c>
      <c r="R3142" s="22">
        <v>2008.0</v>
      </c>
      <c r="S3142" s="22">
        <v>6.0</v>
      </c>
    </row>
    <row r="3143" ht="15.75" customHeight="1">
      <c r="A3143" s="7" t="s">
        <v>2599</v>
      </c>
      <c r="B3143" s="8" t="str">
        <f>IFERROR(__xludf.DUMMYFUNCTION("REGEXREPLACE(A3143, ""[^0-9a-zA-Z .'Ã]"","""")"),"Richard Linklater")</f>
        <v>Richard Linklater</v>
      </c>
      <c r="C3143" s="9">
        <v>121.0</v>
      </c>
      <c r="D3143" s="10">
        <v>5400000.0</v>
      </c>
      <c r="E3143" s="9" t="s">
        <v>232</v>
      </c>
      <c r="F3143" s="9">
        <f t="shared" si="1"/>
        <v>2</v>
      </c>
      <c r="G3143" s="9" t="s">
        <v>9909</v>
      </c>
      <c r="H3143" s="11" t="str">
        <f>IFERROR(__xludf.DUMMYFUNCTION("REGEXREPLACE(G3143, ""[^0-9a-zA-Z .'Ã]"","""")"),"Hanno PÃschl")</f>
        <v>Hanno PÃschl</v>
      </c>
      <c r="I3143" s="11" t="s">
        <v>9910</v>
      </c>
      <c r="J3143" s="9">
        <v>183288.0</v>
      </c>
      <c r="K3143" s="9" t="s">
        <v>9911</v>
      </c>
      <c r="L3143" s="9">
        <v>395.0</v>
      </c>
      <c r="M3143" s="9" t="s">
        <v>24</v>
      </c>
      <c r="N3143" s="9" t="s">
        <v>25</v>
      </c>
      <c r="O3143" s="10">
        <v>2500000.0</v>
      </c>
      <c r="P3143" s="10">
        <f t="shared" si="2"/>
        <v>2900000</v>
      </c>
      <c r="Q3143" s="12">
        <f t="shared" si="3"/>
        <v>0</v>
      </c>
      <c r="R3143" s="9">
        <v>1995.0</v>
      </c>
      <c r="S3143" s="9">
        <v>8.1</v>
      </c>
    </row>
    <row r="3144" ht="15.75" customHeight="1">
      <c r="A3144" s="7" t="s">
        <v>1454</v>
      </c>
      <c r="B3144" s="8" t="str">
        <f>IFERROR(__xludf.DUMMYFUNCTION("REGEXREPLACE(A3144, ""[^0-9a-zA-Z .'Ã]"","""")"),"Tom Shadyac")</f>
        <v>Tom Shadyac</v>
      </c>
      <c r="C3144" s="9">
        <v>55.0</v>
      </c>
      <c r="D3144" s="10">
        <v>1.35014968E8</v>
      </c>
      <c r="E3144" s="9" t="s">
        <v>9912</v>
      </c>
      <c r="F3144" s="9">
        <f t="shared" si="1"/>
        <v>4</v>
      </c>
      <c r="G3144" s="9" t="s">
        <v>673</v>
      </c>
      <c r="H3144" s="11" t="str">
        <f>IFERROR(__xludf.DUMMYFUNCTION("REGEXREPLACE(G3144, ""[^0-9a-zA-Z .'Ã]"","""")"),"Robin Williams")</f>
        <v>Robin Williams</v>
      </c>
      <c r="I3144" s="11" t="s">
        <v>9913</v>
      </c>
      <c r="J3144" s="9">
        <v>80580.0</v>
      </c>
      <c r="K3144" s="9" t="s">
        <v>9914</v>
      </c>
      <c r="L3144" s="9">
        <v>375.0</v>
      </c>
      <c r="M3144" s="9" t="s">
        <v>24</v>
      </c>
      <c r="N3144" s="9" t="s">
        <v>25</v>
      </c>
      <c r="O3144" s="10">
        <v>5.0E7</v>
      </c>
      <c r="P3144" s="10">
        <f t="shared" si="2"/>
        <v>85014968</v>
      </c>
      <c r="Q3144" s="12">
        <f t="shared" si="3"/>
        <v>0</v>
      </c>
      <c r="R3144" s="9">
        <v>1998.0</v>
      </c>
      <c r="S3144" s="9">
        <v>6.7</v>
      </c>
    </row>
    <row r="3145" ht="15.75" customHeight="1">
      <c r="A3145" s="7" t="s">
        <v>9915</v>
      </c>
      <c r="B3145" s="8" t="str">
        <f>IFERROR(__xludf.DUMMYFUNCTION("REGEXREPLACE(A3145, ""[^0-9a-zA-Z .'Ã]"","""")"),"Matt Piedmont")</f>
        <v>Matt Piedmont</v>
      </c>
      <c r="C3145" s="9">
        <v>133.0</v>
      </c>
      <c r="D3145" s="10">
        <v>5895238.0</v>
      </c>
      <c r="E3145" s="9" t="s">
        <v>8136</v>
      </c>
      <c r="F3145" s="9">
        <f t="shared" si="1"/>
        <v>2</v>
      </c>
      <c r="G3145" s="9" t="s">
        <v>441</v>
      </c>
      <c r="H3145" s="11" t="str">
        <f>IFERROR(__xludf.DUMMYFUNCTION("REGEXREPLACE(G3145, ""[^0-9a-zA-Z .'Ã]"","""")"),"Will Ferrell")</f>
        <v>Will Ferrell</v>
      </c>
      <c r="I3145" s="11" t="s">
        <v>9916</v>
      </c>
      <c r="J3145" s="9">
        <v>17169.0</v>
      </c>
      <c r="K3145" s="9" t="s">
        <v>9917</v>
      </c>
      <c r="L3145" s="9">
        <v>70.0</v>
      </c>
      <c r="M3145" s="9" t="s">
        <v>1553</v>
      </c>
      <c r="N3145" s="9" t="s">
        <v>25</v>
      </c>
      <c r="O3145" s="10">
        <v>6000000.0</v>
      </c>
      <c r="P3145" s="10">
        <f t="shared" si="2"/>
        <v>0</v>
      </c>
      <c r="Q3145" s="12">
        <f t="shared" si="3"/>
        <v>104762</v>
      </c>
      <c r="R3145" s="9">
        <v>2012.0</v>
      </c>
      <c r="S3145" s="9">
        <v>5.5</v>
      </c>
    </row>
    <row r="3146" ht="15.75" customHeight="1">
      <c r="A3146" s="7" t="s">
        <v>1822</v>
      </c>
      <c r="B3146" s="8" t="str">
        <f>IFERROR(__xludf.DUMMYFUNCTION("REGEXREPLACE(A3146, ""[^0-9a-zA-Z .'Ã]"","""")"),"Atom Egoyan")</f>
        <v>Atom Egoyan</v>
      </c>
      <c r="C3146" s="9">
        <v>53.0</v>
      </c>
      <c r="D3146" s="10">
        <v>5132222.0</v>
      </c>
      <c r="E3146" s="9" t="s">
        <v>3417</v>
      </c>
      <c r="F3146" s="9">
        <f t="shared" si="1"/>
        <v>3</v>
      </c>
      <c r="G3146" s="9" t="s">
        <v>3555</v>
      </c>
      <c r="H3146" s="11" t="str">
        <f>IFERROR(__xludf.DUMMYFUNCTION("REGEXREPLACE(G3146, ""[^0-9a-zA-Z .'Ã]"","""")"),"Bruce Greenwood")</f>
        <v>Bruce Greenwood</v>
      </c>
      <c r="I3146" s="11" t="s">
        <v>9918</v>
      </c>
      <c r="J3146" s="9">
        <v>14112.0</v>
      </c>
      <c r="K3146" s="9" t="s">
        <v>9919</v>
      </c>
      <c r="L3146" s="9">
        <v>83.0</v>
      </c>
      <c r="M3146" s="9" t="s">
        <v>24</v>
      </c>
      <c r="N3146" s="9" t="s">
        <v>624</v>
      </c>
      <c r="O3146" s="10">
        <v>2000000.0</v>
      </c>
      <c r="P3146" s="10">
        <f t="shared" si="2"/>
        <v>3132222</v>
      </c>
      <c r="Q3146" s="12">
        <f t="shared" si="3"/>
        <v>0</v>
      </c>
      <c r="R3146" s="9">
        <v>1994.0</v>
      </c>
      <c r="S3146" s="9">
        <v>7.2</v>
      </c>
    </row>
    <row r="3147" ht="15.75" customHeight="1">
      <c r="A3147" s="21" t="s">
        <v>7079</v>
      </c>
      <c r="B3147" s="8" t="str">
        <f>IFERROR(__xludf.DUMMYFUNCTION("REGEXREPLACE(A3147, ""[^0-9a-zA-Z .'Ã]"","""")"),"Jay Chandrasekhar")</f>
        <v>Jay Chandrasekhar</v>
      </c>
      <c r="C3147" s="22">
        <v>100.0</v>
      </c>
      <c r="D3147" s="23">
        <v>1.8488314E7</v>
      </c>
      <c r="E3147" s="22" t="s">
        <v>901</v>
      </c>
      <c r="F3147" s="9">
        <f t="shared" si="1"/>
        <v>3</v>
      </c>
      <c r="G3147" s="22" t="s">
        <v>9920</v>
      </c>
      <c r="H3147" s="11" t="str">
        <f>IFERROR(__xludf.DUMMYFUNCTION("REGEXREPLACE(G3147, ""[^0-9a-zA-Z .'Ã]"","""")"),"Geoffrey Arend")</f>
        <v>Geoffrey Arend</v>
      </c>
      <c r="I3147" s="24" t="s">
        <v>9921</v>
      </c>
      <c r="J3147" s="22">
        <v>76151.0</v>
      </c>
      <c r="K3147" s="22" t="s">
        <v>9922</v>
      </c>
      <c r="L3147" s="22">
        <v>333.0</v>
      </c>
      <c r="M3147" s="22" t="s">
        <v>24</v>
      </c>
      <c r="N3147" s="22" t="s">
        <v>25</v>
      </c>
      <c r="O3147" s="23">
        <v>1200000.0</v>
      </c>
      <c r="P3147" s="10">
        <f t="shared" si="2"/>
        <v>17288314</v>
      </c>
      <c r="Q3147" s="12">
        <f t="shared" si="3"/>
        <v>0</v>
      </c>
      <c r="R3147" s="22">
        <v>2001.0</v>
      </c>
      <c r="S3147" s="22">
        <v>7.1</v>
      </c>
    </row>
    <row r="3148" ht="15.75" customHeight="1">
      <c r="A3148" s="25" t="s">
        <v>402</v>
      </c>
      <c r="B3148" s="8" t="str">
        <f>IFERROR(__xludf.DUMMYFUNCTION("REGEXREPLACE(A3148, ""[^0-9a-zA-Z .'Ã]"","""")"),"John Dahl")</f>
        <v>John Dahl</v>
      </c>
      <c r="C3148" s="26">
        <v>121.0</v>
      </c>
      <c r="D3148" s="27">
        <v>2426851.0</v>
      </c>
      <c r="E3148" s="26" t="s">
        <v>6084</v>
      </c>
      <c r="F3148" s="9">
        <f t="shared" si="1"/>
        <v>4</v>
      </c>
      <c r="G3148" s="26" t="s">
        <v>1841</v>
      </c>
      <c r="H3148" s="11" t="str">
        <f>IFERROR(__xludf.DUMMYFUNCTION("REGEXREPLACE(G3148, ""[^0-9a-zA-Z .'Ã]"","""")"),"Philip Baker Hall")</f>
        <v>Philip Baker Hall</v>
      </c>
      <c r="I3148" s="28" t="s">
        <v>9923</v>
      </c>
      <c r="J3148" s="26">
        <v>16224.0</v>
      </c>
      <c r="K3148" s="26" t="s">
        <v>9924</v>
      </c>
      <c r="L3148" s="26">
        <v>76.0</v>
      </c>
      <c r="M3148" s="26" t="s">
        <v>24</v>
      </c>
      <c r="N3148" s="26" t="s">
        <v>25</v>
      </c>
      <c r="O3148" s="27">
        <v>4000000.0</v>
      </c>
      <c r="P3148" s="10">
        <f t="shared" si="2"/>
        <v>0</v>
      </c>
      <c r="Q3148" s="12">
        <f t="shared" si="3"/>
        <v>1573149</v>
      </c>
      <c r="R3148" s="26">
        <v>2007.0</v>
      </c>
      <c r="S3148" s="26">
        <v>6.5</v>
      </c>
    </row>
    <row r="3149" ht="15.75" customHeight="1">
      <c r="A3149" s="7" t="s">
        <v>9594</v>
      </c>
      <c r="B3149" s="8" t="str">
        <f>IFERROR(__xludf.DUMMYFUNCTION("REGEXREPLACE(A3149, ""[^0-9a-zA-Z .'Ã]"","""")"),"Dwight H. Little")</f>
        <v>Dwight H. Little</v>
      </c>
      <c r="C3149" s="9">
        <v>94.0</v>
      </c>
      <c r="D3149" s="10">
        <v>3.1526393E7</v>
      </c>
      <c r="E3149" s="9" t="s">
        <v>9622</v>
      </c>
      <c r="F3149" s="9">
        <f t="shared" si="1"/>
        <v>4</v>
      </c>
      <c r="G3149" s="9" t="s">
        <v>9925</v>
      </c>
      <c r="H3149" s="11" t="str">
        <f>IFERROR(__xludf.DUMMYFUNCTION("REGEXREPLACE(G3149, ""[^0-9a-zA-Z .'Ã]"","""")"),"Nicholas Gonzalez")</f>
        <v>Nicholas Gonzalez</v>
      </c>
      <c r="I3149" s="11" t="s">
        <v>9926</v>
      </c>
      <c r="J3149" s="9">
        <v>22243.0</v>
      </c>
      <c r="K3149" s="9" t="s">
        <v>9927</v>
      </c>
      <c r="L3149" s="9">
        <v>144.0</v>
      </c>
      <c r="M3149" s="9" t="s">
        <v>24</v>
      </c>
      <c r="N3149" s="9" t="s">
        <v>25</v>
      </c>
      <c r="O3149" s="10">
        <v>2.5E7</v>
      </c>
      <c r="P3149" s="10">
        <f t="shared" si="2"/>
        <v>6526393</v>
      </c>
      <c r="Q3149" s="12">
        <f t="shared" si="3"/>
        <v>0</v>
      </c>
      <c r="R3149" s="9">
        <v>2004.0</v>
      </c>
      <c r="S3149" s="9">
        <v>4.6</v>
      </c>
    </row>
    <row r="3150" ht="15.75" customHeight="1">
      <c r="A3150" s="13" t="s">
        <v>949</v>
      </c>
      <c r="B3150" s="8" t="str">
        <f>IFERROR(__xludf.DUMMYFUNCTION("REGEXREPLACE(A3150, ""[^0-9a-zA-Z .'Ã]"","""")"),"Don Bluth")</f>
        <v>Don Bluth</v>
      </c>
      <c r="C3150" s="14">
        <v>131.0</v>
      </c>
      <c r="D3150" s="15">
        <v>2.2751979E7</v>
      </c>
      <c r="E3150" s="14" t="s">
        <v>7663</v>
      </c>
      <c r="F3150" s="9">
        <f t="shared" si="1"/>
        <v>5</v>
      </c>
      <c r="G3150" s="14" t="s">
        <v>585</v>
      </c>
      <c r="H3150" s="11" t="str">
        <f>IFERROR(__xludf.DUMMYFUNCTION("REGEXREPLACE(G3150, ""[^0-9a-zA-Z .'Ã]"","""")"),"Matt Damon")</f>
        <v>Matt Damon</v>
      </c>
      <c r="I3150" s="16" t="s">
        <v>9928</v>
      </c>
      <c r="J3150" s="14">
        <v>52244.0</v>
      </c>
      <c r="K3150" s="14" t="s">
        <v>9929</v>
      </c>
      <c r="L3150" s="14">
        <v>377.0</v>
      </c>
      <c r="M3150" s="14" t="s">
        <v>24</v>
      </c>
      <c r="N3150" s="14" t="s">
        <v>25</v>
      </c>
      <c r="O3150" s="15">
        <v>7.5E7</v>
      </c>
      <c r="P3150" s="10">
        <f t="shared" si="2"/>
        <v>0</v>
      </c>
      <c r="Q3150" s="12">
        <f t="shared" si="3"/>
        <v>52248021</v>
      </c>
      <c r="R3150" s="14">
        <v>2000.0</v>
      </c>
      <c r="S3150" s="14">
        <v>6.6</v>
      </c>
    </row>
    <row r="3151" ht="15.75" customHeight="1">
      <c r="A3151" s="29" t="s">
        <v>990</v>
      </c>
      <c r="B3151" s="8" t="str">
        <f>IFERROR(__xludf.DUMMYFUNCTION("REGEXREPLACE(A3151, ""[^0-9a-zA-Z .'Ã]"","""")"),"Malcolm D. Lee")</f>
        <v>Malcolm D. Lee</v>
      </c>
      <c r="C3151" s="30">
        <v>56.0</v>
      </c>
      <c r="D3151" s="31">
        <v>7.0492685E7</v>
      </c>
      <c r="E3151" s="30" t="s">
        <v>454</v>
      </c>
      <c r="F3151" s="9">
        <f t="shared" si="1"/>
        <v>2</v>
      </c>
      <c r="G3151" s="30" t="s">
        <v>3242</v>
      </c>
      <c r="H3151" s="11" t="str">
        <f>IFERROR(__xludf.DUMMYFUNCTION("REGEXREPLACE(G3151, ""[^0-9a-zA-Z .'Ã]"","""")"),"Harold Perrineau")</f>
        <v>Harold Perrineau</v>
      </c>
      <c r="I3151" s="32" t="s">
        <v>9930</v>
      </c>
      <c r="J3151" s="30">
        <v>11600.0</v>
      </c>
      <c r="K3151" s="30" t="s">
        <v>9931</v>
      </c>
      <c r="L3151" s="30">
        <v>64.0</v>
      </c>
      <c r="M3151" s="30" t="s">
        <v>24</v>
      </c>
      <c r="N3151" s="30" t="s">
        <v>25</v>
      </c>
      <c r="O3151" s="31">
        <v>1.7E7</v>
      </c>
      <c r="P3151" s="10">
        <f t="shared" si="2"/>
        <v>53492685</v>
      </c>
      <c r="Q3151" s="12">
        <f t="shared" si="3"/>
        <v>0</v>
      </c>
      <c r="R3151" s="30">
        <v>2013.0</v>
      </c>
      <c r="S3151" s="30">
        <v>6.7</v>
      </c>
    </row>
    <row r="3152" ht="15.75" customHeight="1">
      <c r="A3152" s="13" t="s">
        <v>9932</v>
      </c>
      <c r="B3152" s="8" t="str">
        <f>IFERROR(__xludf.DUMMYFUNCTION("REGEXREPLACE(A3152, ""[^0-9a-zA-Z .'Ã]"","""")"),"King Vidor")</f>
        <v>King Vidor</v>
      </c>
      <c r="C3152" s="14">
        <v>32.0</v>
      </c>
      <c r="D3152" s="15">
        <v>2.04E7</v>
      </c>
      <c r="E3152" s="14" t="s">
        <v>445</v>
      </c>
      <c r="F3152" s="9">
        <f t="shared" si="1"/>
        <v>3</v>
      </c>
      <c r="G3152" s="14" t="s">
        <v>2646</v>
      </c>
      <c r="H3152" s="11" t="str">
        <f>IFERROR(__xludf.DUMMYFUNCTION("REGEXREPLACE(G3152, ""[^0-9a-zA-Z .'Ã]"","""")"),"Joseph Cotten")</f>
        <v>Joseph Cotten</v>
      </c>
      <c r="I3152" s="16" t="s">
        <v>9933</v>
      </c>
      <c r="J3152" s="14">
        <v>6304.0</v>
      </c>
      <c r="K3152" s="14" t="s">
        <v>9934</v>
      </c>
      <c r="L3152" s="14">
        <v>87.0</v>
      </c>
      <c r="M3152" s="14" t="s">
        <v>24</v>
      </c>
      <c r="N3152" s="14" t="s">
        <v>25</v>
      </c>
      <c r="O3152" s="15">
        <v>8000000.0</v>
      </c>
      <c r="P3152" s="10">
        <f t="shared" si="2"/>
        <v>12400000</v>
      </c>
      <c r="Q3152" s="12">
        <f t="shared" si="3"/>
        <v>0</v>
      </c>
      <c r="R3152" s="14">
        <v>1946.0</v>
      </c>
      <c r="S3152" s="14">
        <v>6.9</v>
      </c>
    </row>
    <row r="3153" ht="15.75" customHeight="1">
      <c r="A3153" s="21" t="s">
        <v>9935</v>
      </c>
      <c r="B3153" s="8" t="str">
        <f>IFERROR(__xludf.DUMMYFUNCTION("REGEXREPLACE(A3153, ""[^0-9a-zA-Z .'Ã]"","""")"),"Sharon Maguire")</f>
        <v>Sharon Maguire</v>
      </c>
      <c r="C3153" s="22">
        <v>168.0</v>
      </c>
      <c r="D3153" s="23">
        <v>7.1500556E7</v>
      </c>
      <c r="E3153" s="22" t="s">
        <v>159</v>
      </c>
      <c r="F3153" s="9">
        <f t="shared" si="1"/>
        <v>3</v>
      </c>
      <c r="G3153" s="22" t="s">
        <v>542</v>
      </c>
      <c r="H3153" s="11" t="str">
        <f>IFERROR(__xludf.DUMMYFUNCTION("REGEXREPLACE(G3153, ""[^0-9a-zA-Z .'Ã]"","""")"),"Colin Firth")</f>
        <v>Colin Firth</v>
      </c>
      <c r="I3153" s="24" t="s">
        <v>9936</v>
      </c>
      <c r="J3153" s="22">
        <v>171568.0</v>
      </c>
      <c r="K3153" s="22" t="s">
        <v>9937</v>
      </c>
      <c r="L3153" s="22">
        <v>571.0</v>
      </c>
      <c r="M3153" s="22" t="s">
        <v>24</v>
      </c>
      <c r="N3153" s="22" t="s">
        <v>130</v>
      </c>
      <c r="O3153" s="23">
        <v>2.6E7</v>
      </c>
      <c r="P3153" s="10">
        <f t="shared" si="2"/>
        <v>45500556</v>
      </c>
      <c r="Q3153" s="12">
        <f t="shared" si="3"/>
        <v>0</v>
      </c>
      <c r="R3153" s="22">
        <v>2001.0</v>
      </c>
      <c r="S3153" s="22">
        <v>6.7</v>
      </c>
    </row>
    <row r="3154" ht="15.75" customHeight="1">
      <c r="A3154" s="7" t="s">
        <v>536</v>
      </c>
      <c r="B3154" s="8" t="str">
        <f>IFERROR(__xludf.DUMMYFUNCTION("REGEXREPLACE(A3154, ""[^0-9a-zA-Z .'Ã]"","""")"),"Robert Zemeckis")</f>
        <v>Robert Zemeckis</v>
      </c>
      <c r="C3154" s="9">
        <v>198.0</v>
      </c>
      <c r="D3154" s="10">
        <v>2.10609762E8</v>
      </c>
      <c r="E3154" s="9" t="s">
        <v>646</v>
      </c>
      <c r="F3154" s="9">
        <f t="shared" si="1"/>
        <v>3</v>
      </c>
      <c r="G3154" s="9" t="s">
        <v>3575</v>
      </c>
      <c r="H3154" s="11" t="str">
        <f>IFERROR(__xludf.DUMMYFUNCTION("REGEXREPLACE(G3154, ""[^0-9a-zA-Z .'Ã]"","""")"),"Lea Thompson")</f>
        <v>Lea Thompson</v>
      </c>
      <c r="I3154" s="11" t="s">
        <v>9938</v>
      </c>
      <c r="J3154" s="9">
        <v>732212.0</v>
      </c>
      <c r="K3154" s="9" t="s">
        <v>9939</v>
      </c>
      <c r="L3154" s="9">
        <v>809.0</v>
      </c>
      <c r="M3154" s="9" t="s">
        <v>24</v>
      </c>
      <c r="N3154" s="9" t="s">
        <v>25</v>
      </c>
      <c r="O3154" s="10">
        <v>1.9E7</v>
      </c>
      <c r="P3154" s="10">
        <f t="shared" si="2"/>
        <v>191609762</v>
      </c>
      <c r="Q3154" s="12">
        <f t="shared" si="3"/>
        <v>0</v>
      </c>
      <c r="R3154" s="9">
        <v>1985.0</v>
      </c>
      <c r="S3154" s="9">
        <v>8.5</v>
      </c>
    </row>
    <row r="3155" ht="15.75" customHeight="1">
      <c r="A3155" s="25" t="s">
        <v>9940</v>
      </c>
      <c r="B3155" s="8" t="str">
        <f>IFERROR(__xludf.DUMMYFUNCTION("REGEXREPLACE(A3155, ""[^0-9a-zA-Z .'Ã]"","""")"),"Nicholas Fackler")</f>
        <v>Nicholas Fackler</v>
      </c>
      <c r="C3155" s="26">
        <v>27.0</v>
      </c>
      <c r="D3155" s="27">
        <v>124720.0</v>
      </c>
      <c r="E3155" s="26" t="s">
        <v>232</v>
      </c>
      <c r="F3155" s="9">
        <f t="shared" si="1"/>
        <v>2</v>
      </c>
      <c r="G3155" s="26" t="s">
        <v>2667</v>
      </c>
      <c r="H3155" s="11" t="str">
        <f>IFERROR(__xludf.DUMMYFUNCTION("REGEXREPLACE(G3155, ""[^0-9a-zA-Z .'Ã]"","""")"),"Adam Scott")</f>
        <v>Adam Scott</v>
      </c>
      <c r="I3155" s="28" t="s">
        <v>9941</v>
      </c>
      <c r="J3155" s="26">
        <v>1560.0</v>
      </c>
      <c r="K3155" s="26" t="s">
        <v>9942</v>
      </c>
      <c r="L3155" s="26">
        <v>15.0</v>
      </c>
      <c r="M3155" s="26" t="s">
        <v>24</v>
      </c>
      <c r="N3155" s="26" t="s">
        <v>25</v>
      </c>
      <c r="O3155" s="27">
        <v>5000000.0</v>
      </c>
      <c r="P3155" s="10">
        <f t="shared" si="2"/>
        <v>0</v>
      </c>
      <c r="Q3155" s="12">
        <f t="shared" si="3"/>
        <v>4875280</v>
      </c>
      <c r="R3155" s="26">
        <v>2008.0</v>
      </c>
      <c r="S3155" s="26">
        <v>7.3</v>
      </c>
    </row>
    <row r="3156" ht="15.75" customHeight="1">
      <c r="A3156" s="21" t="s">
        <v>9943</v>
      </c>
      <c r="B3156" s="8" t="str">
        <f>IFERROR(__xludf.DUMMYFUNCTION("REGEXREPLACE(A3156, ""[^0-9a-zA-Z .'Ã]"","""")"),"Paul Tibbitt")</f>
        <v>Paul Tibbitt</v>
      </c>
      <c r="C3156" s="22">
        <v>147.0</v>
      </c>
      <c r="D3156" s="23">
        <v>1.62495848E8</v>
      </c>
      <c r="E3156" s="22" t="s">
        <v>301</v>
      </c>
      <c r="F3156" s="9">
        <f t="shared" si="1"/>
        <v>5</v>
      </c>
      <c r="G3156" s="22" t="s">
        <v>9944</v>
      </c>
      <c r="H3156" s="11" t="str">
        <f>IFERROR(__xludf.DUMMYFUNCTION("REGEXREPLACE(G3156, ""[^0-9a-zA-Z .'Ã]"","""")"),"Tim Conway")</f>
        <v>Tim Conway</v>
      </c>
      <c r="I3156" s="24" t="s">
        <v>9945</v>
      </c>
      <c r="J3156" s="22">
        <v>34359.0</v>
      </c>
      <c r="K3156" s="22" t="s">
        <v>9946</v>
      </c>
      <c r="L3156" s="22">
        <v>133.0</v>
      </c>
      <c r="M3156" s="22" t="s">
        <v>24</v>
      </c>
      <c r="N3156" s="22" t="s">
        <v>25</v>
      </c>
      <c r="O3156" s="23">
        <v>7.4E7</v>
      </c>
      <c r="P3156" s="10">
        <f t="shared" si="2"/>
        <v>88495848</v>
      </c>
      <c r="Q3156" s="12">
        <f t="shared" si="3"/>
        <v>0</v>
      </c>
      <c r="R3156" s="22">
        <v>2015.0</v>
      </c>
      <c r="S3156" s="22">
        <v>6.0</v>
      </c>
    </row>
    <row r="3157" ht="15.75" customHeight="1">
      <c r="A3157" s="21" t="s">
        <v>9947</v>
      </c>
      <c r="B3157" s="8" t="str">
        <f>IFERROR(__xludf.DUMMYFUNCTION("REGEXREPLACE(A3157, ""[^0-9a-zA-Z .'Ã]"","""")"),"Don Mancini")</f>
        <v>Don Mancini</v>
      </c>
      <c r="C3157" s="22">
        <v>148.0</v>
      </c>
      <c r="D3157" s="23">
        <v>1.701619E7</v>
      </c>
      <c r="E3157" s="22" t="s">
        <v>2328</v>
      </c>
      <c r="F3157" s="9">
        <f t="shared" si="1"/>
        <v>4</v>
      </c>
      <c r="G3157" s="22" t="s">
        <v>6440</v>
      </c>
      <c r="H3157" s="11" t="str">
        <f>IFERROR(__xludf.DUMMYFUNCTION("REGEXREPLACE(G3157, ""[^0-9a-zA-Z .'Ã]"","""")"),"Jason Flemyng")</f>
        <v>Jason Flemyng</v>
      </c>
      <c r="I3157" s="24" t="s">
        <v>9948</v>
      </c>
      <c r="J3157" s="22">
        <v>28632.0</v>
      </c>
      <c r="K3157" s="22" t="s">
        <v>9949</v>
      </c>
      <c r="L3157" s="22">
        <v>214.0</v>
      </c>
      <c r="M3157" s="22" t="s">
        <v>24</v>
      </c>
      <c r="N3157" s="22" t="s">
        <v>9950</v>
      </c>
      <c r="O3157" s="23">
        <v>1.2E7</v>
      </c>
      <c r="P3157" s="10">
        <f t="shared" si="2"/>
        <v>5016190</v>
      </c>
      <c r="Q3157" s="12">
        <f t="shared" si="3"/>
        <v>0</v>
      </c>
      <c r="R3157" s="22">
        <v>2004.0</v>
      </c>
      <c r="S3157" s="22">
        <v>4.9</v>
      </c>
    </row>
    <row r="3158" ht="15.75" customHeight="1">
      <c r="A3158" s="7" t="s">
        <v>5047</v>
      </c>
      <c r="B3158" s="8" t="str">
        <f>IFERROR(__xludf.DUMMYFUNCTION("REGEXREPLACE(A3158, ""[^0-9a-zA-Z .'Ã]"","""")"),"Mark L. Lester")</f>
        <v>Mark L. Lester</v>
      </c>
      <c r="C3158" s="9">
        <v>45.0</v>
      </c>
      <c r="D3158" s="10">
        <v>2275557.0</v>
      </c>
      <c r="E3158" s="9" t="s">
        <v>790</v>
      </c>
      <c r="F3158" s="9">
        <f t="shared" si="1"/>
        <v>4</v>
      </c>
      <c r="G3158" s="9" t="s">
        <v>143</v>
      </c>
      <c r="H3158" s="11" t="str">
        <f>IFERROR(__xludf.DUMMYFUNCTION("REGEXREPLACE(G3158, ""[^0-9a-zA-Z .'Ã]"","""")"),"CaryHiroyuki Tagawa")</f>
        <v>CaryHiroyuki Tagawa</v>
      </c>
      <c r="I3158" s="11" t="s">
        <v>9951</v>
      </c>
      <c r="J3158" s="9">
        <v>12561.0</v>
      </c>
      <c r="K3158" s="9" t="s">
        <v>9952</v>
      </c>
      <c r="L3158" s="9">
        <v>102.0</v>
      </c>
      <c r="M3158" s="9" t="s">
        <v>24</v>
      </c>
      <c r="N3158" s="9" t="s">
        <v>25</v>
      </c>
      <c r="O3158" s="10">
        <v>8000000.0</v>
      </c>
      <c r="P3158" s="10">
        <f t="shared" si="2"/>
        <v>0</v>
      </c>
      <c r="Q3158" s="12">
        <f t="shared" si="3"/>
        <v>5724443</v>
      </c>
      <c r="R3158" s="9">
        <v>1991.0</v>
      </c>
      <c r="S3158" s="9">
        <v>6.0</v>
      </c>
    </row>
    <row r="3159" ht="15.75" customHeight="1">
      <c r="A3159" s="13" t="s">
        <v>2338</v>
      </c>
      <c r="B3159" s="8" t="str">
        <f>IFERROR(__xludf.DUMMYFUNCTION("REGEXREPLACE(A3159, ""[^0-9a-zA-Z .'Ã]"","""")"),"Jonathan Frakes")</f>
        <v>Jonathan Frakes</v>
      </c>
      <c r="C3159" s="14">
        <v>160.0</v>
      </c>
      <c r="D3159" s="15">
        <v>7.0117571E7</v>
      </c>
      <c r="E3159" s="14" t="s">
        <v>794</v>
      </c>
      <c r="F3159" s="9">
        <f t="shared" si="1"/>
        <v>4</v>
      </c>
      <c r="G3159" s="14" t="s">
        <v>6826</v>
      </c>
      <c r="H3159" s="11" t="str">
        <f>IFERROR(__xludf.DUMMYFUNCTION("REGEXREPLACE(G3159, ""[^0-9a-zA-Z .'Ã]"","""")"),"LeVar Burton")</f>
        <v>LeVar Burton</v>
      </c>
      <c r="I3159" s="16" t="s">
        <v>9953</v>
      </c>
      <c r="J3159" s="14">
        <v>56741.0</v>
      </c>
      <c r="K3159" s="14" t="s">
        <v>9954</v>
      </c>
      <c r="L3159" s="14">
        <v>515.0</v>
      </c>
      <c r="M3159" s="14" t="s">
        <v>24</v>
      </c>
      <c r="N3159" s="14" t="s">
        <v>25</v>
      </c>
      <c r="O3159" s="15">
        <v>5.8E7</v>
      </c>
      <c r="P3159" s="10">
        <f t="shared" si="2"/>
        <v>12117571</v>
      </c>
      <c r="Q3159" s="12">
        <f t="shared" si="3"/>
        <v>0</v>
      </c>
      <c r="R3159" s="14">
        <v>1998.0</v>
      </c>
      <c r="S3159" s="14">
        <v>6.4</v>
      </c>
    </row>
    <row r="3160" ht="15.75" customHeight="1">
      <c r="A3160" s="7" t="s">
        <v>5613</v>
      </c>
      <c r="B3160" s="8" t="str">
        <f>IFERROR(__xludf.DUMMYFUNCTION("REGEXREPLACE(A3160, ""[^0-9a-zA-Z -.'Ã]"","""")"),"Mikael HÃfstrÃm")</f>
        <v>Mikael HÃfstrÃm</v>
      </c>
      <c r="C3160" s="9">
        <v>116.0</v>
      </c>
      <c r="D3160" s="10">
        <v>3.6020063E7</v>
      </c>
      <c r="E3160" s="9" t="s">
        <v>369</v>
      </c>
      <c r="F3160" s="9">
        <f t="shared" si="1"/>
        <v>2</v>
      </c>
      <c r="G3160" s="9" t="s">
        <v>9955</v>
      </c>
      <c r="H3160" s="11" t="str">
        <f>IFERROR(__xludf.DUMMYFUNCTION("REGEXREPLACE(G3160, ""[^0-9a-zA-Z .'Ã]"","""")"),"Denis O'Hare")</f>
        <v>Denis O'Hare</v>
      </c>
      <c r="I3160" s="11" t="s">
        <v>9956</v>
      </c>
      <c r="J3160" s="9">
        <v>62584.0</v>
      </c>
      <c r="K3160" s="9" t="s">
        <v>9957</v>
      </c>
      <c r="L3160" s="9">
        <v>375.0</v>
      </c>
      <c r="M3160" s="9" t="s">
        <v>24</v>
      </c>
      <c r="N3160" s="9" t="s">
        <v>25</v>
      </c>
      <c r="O3160" s="10">
        <v>2.2E7</v>
      </c>
      <c r="P3160" s="10">
        <f t="shared" si="2"/>
        <v>14020063</v>
      </c>
      <c r="Q3160" s="12">
        <f t="shared" si="3"/>
        <v>0</v>
      </c>
      <c r="R3160" s="9">
        <v>2005.0</v>
      </c>
      <c r="S3160" s="9">
        <v>6.6</v>
      </c>
    </row>
    <row r="3161" ht="15.75" customHeight="1">
      <c r="A3161" s="7" t="s">
        <v>9958</v>
      </c>
      <c r="B3161" s="8" t="str">
        <f>IFERROR(__xludf.DUMMYFUNCTION("REGEXREPLACE(A3161, ""[^0-9a-zA-Z .'Ã]"","""")"),"John Lafia")</f>
        <v>John Lafia</v>
      </c>
      <c r="C3161" s="9">
        <v>59.0</v>
      </c>
      <c r="D3161" s="10">
        <v>2.8501605E7</v>
      </c>
      <c r="E3161" s="9" t="s">
        <v>1235</v>
      </c>
      <c r="F3161" s="9">
        <f t="shared" si="1"/>
        <v>2</v>
      </c>
      <c r="G3161" s="9" t="s">
        <v>9959</v>
      </c>
      <c r="H3161" s="11" t="str">
        <f>IFERROR(__xludf.DUMMYFUNCTION("REGEXREPLACE(G3161, ""[^0-9a-zA-Z .'Ã]"","""")"),"Jenny Agutter")</f>
        <v>Jenny Agutter</v>
      </c>
      <c r="I3161" s="11" t="s">
        <v>9960</v>
      </c>
      <c r="J3161" s="9">
        <v>31371.0</v>
      </c>
      <c r="K3161" s="9" t="s">
        <v>9961</v>
      </c>
      <c r="L3161" s="9">
        <v>166.0</v>
      </c>
      <c r="M3161" s="9" t="s">
        <v>24</v>
      </c>
      <c r="N3161" s="9" t="s">
        <v>25</v>
      </c>
      <c r="O3161" s="10">
        <v>1.3E7</v>
      </c>
      <c r="P3161" s="10">
        <f t="shared" si="2"/>
        <v>15501605</v>
      </c>
      <c r="Q3161" s="12">
        <f t="shared" si="3"/>
        <v>0</v>
      </c>
      <c r="R3161" s="9">
        <v>1990.0</v>
      </c>
      <c r="S3161" s="9">
        <v>5.7</v>
      </c>
    </row>
    <row r="3162" ht="15.75" customHeight="1">
      <c r="A3162" s="7" t="s">
        <v>1350</v>
      </c>
      <c r="B3162" s="8" t="str">
        <f>IFERROR(__xludf.DUMMYFUNCTION("REGEXREPLACE(A3162, ""[^0-9a-zA-Z .'Ã]"","""")"),"Christopher Nolan")</f>
        <v>Christopher Nolan</v>
      </c>
      <c r="C3162" s="9">
        <v>341.0</v>
      </c>
      <c r="D3162" s="10">
        <v>5.3082743E7</v>
      </c>
      <c r="E3162" s="9" t="s">
        <v>1592</v>
      </c>
      <c r="F3162" s="9">
        <f t="shared" si="1"/>
        <v>4</v>
      </c>
      <c r="G3162" s="9" t="s">
        <v>1579</v>
      </c>
      <c r="H3162" s="11" t="str">
        <f>IFERROR(__xludf.DUMMYFUNCTION("REGEXREPLACE(G3162, ""[^0-9a-zA-Z .'Ã]"","""")"),"Christian Bale")</f>
        <v>Christian Bale</v>
      </c>
      <c r="I3162" s="11" t="s">
        <v>9962</v>
      </c>
      <c r="J3162" s="9">
        <v>844052.0</v>
      </c>
      <c r="K3162" s="9" t="s">
        <v>9963</v>
      </c>
      <c r="L3162" s="9">
        <v>1100.0</v>
      </c>
      <c r="M3162" s="9" t="s">
        <v>24</v>
      </c>
      <c r="N3162" s="9" t="s">
        <v>25</v>
      </c>
      <c r="O3162" s="10">
        <v>4.0E7</v>
      </c>
      <c r="P3162" s="10">
        <f t="shared" si="2"/>
        <v>13082743</v>
      </c>
      <c r="Q3162" s="12">
        <f t="shared" si="3"/>
        <v>0</v>
      </c>
      <c r="R3162" s="9">
        <v>2006.0</v>
      </c>
      <c r="S3162" s="9">
        <v>8.5</v>
      </c>
    </row>
    <row r="3163" ht="15.75" customHeight="1">
      <c r="A3163" s="21" t="s">
        <v>4253</v>
      </c>
      <c r="B3163" s="8" t="str">
        <f>IFERROR(__xludf.DUMMYFUNCTION("REGEXREPLACE(A3163, ""[^0-9a-zA-Z .'Ã]"","""")"),"Peter Berg")</f>
        <v>Peter Berg</v>
      </c>
      <c r="C3163" s="22">
        <v>151.0</v>
      </c>
      <c r="D3163" s="23">
        <v>4.7592825E7</v>
      </c>
      <c r="E3163" s="22" t="s">
        <v>1207</v>
      </c>
      <c r="F3163" s="9">
        <f t="shared" si="1"/>
        <v>4</v>
      </c>
      <c r="G3163" s="22" t="s">
        <v>50</v>
      </c>
      <c r="H3163" s="11" t="str">
        <f>IFERROR(__xludf.DUMMYFUNCTION("REGEXREPLACE(G3163, ""[^0-9a-zA-Z .'Ã]"","""")"),"Dwayne Johnson")</f>
        <v>Dwayne Johnson</v>
      </c>
      <c r="I3163" s="24" t="s">
        <v>9964</v>
      </c>
      <c r="J3163" s="22">
        <v>82731.0</v>
      </c>
      <c r="K3163" s="22" t="s">
        <v>9965</v>
      </c>
      <c r="L3163" s="22">
        <v>255.0</v>
      </c>
      <c r="M3163" s="22" t="s">
        <v>24</v>
      </c>
      <c r="N3163" s="22" t="s">
        <v>25</v>
      </c>
      <c r="O3163" s="23">
        <v>8.5E7</v>
      </c>
      <c r="P3163" s="10">
        <f t="shared" si="2"/>
        <v>0</v>
      </c>
      <c r="Q3163" s="12">
        <f t="shared" si="3"/>
        <v>37407175</v>
      </c>
      <c r="R3163" s="22">
        <v>2003.0</v>
      </c>
      <c r="S3163" s="22">
        <v>6.7</v>
      </c>
    </row>
    <row r="3164" ht="15.75" customHeight="1">
      <c r="A3164" s="7" t="s">
        <v>9966</v>
      </c>
      <c r="B3164" s="8" t="str">
        <f>IFERROR(__xludf.DUMMYFUNCTION("REGEXREPLACE(A3164, ""[^0-9a-zA-Z .'Ã]"","""")"),"Susan Seidelman")</f>
        <v>Susan Seidelman</v>
      </c>
      <c r="C3164" s="9">
        <v>35.0</v>
      </c>
      <c r="D3164" s="10">
        <v>3123749.0</v>
      </c>
      <c r="E3164" s="9" t="s">
        <v>89</v>
      </c>
      <c r="F3164" s="9">
        <f t="shared" si="1"/>
        <v>2</v>
      </c>
      <c r="G3164" s="9" t="s">
        <v>9967</v>
      </c>
      <c r="H3164" s="11" t="str">
        <f>IFERROR(__xludf.DUMMYFUNCTION("REGEXREPLACE(G3164, ""[^0-9a-zA-Z .'Ã]"","""")"),"Dyan Cannon")</f>
        <v>Dyan Cannon</v>
      </c>
      <c r="I3164" s="11" t="s">
        <v>9968</v>
      </c>
      <c r="J3164" s="9">
        <v>746.0</v>
      </c>
      <c r="K3164" s="9" t="s">
        <v>9969</v>
      </c>
      <c r="L3164" s="9">
        <v>27.0</v>
      </c>
      <c r="M3164" s="9" t="s">
        <v>24</v>
      </c>
      <c r="N3164" s="9" t="s">
        <v>25</v>
      </c>
      <c r="O3164" s="10">
        <v>1500000.0</v>
      </c>
      <c r="P3164" s="10">
        <f t="shared" si="2"/>
        <v>1623749</v>
      </c>
      <c r="Q3164" s="12">
        <f t="shared" si="3"/>
        <v>0</v>
      </c>
      <c r="R3164" s="9">
        <v>2005.0</v>
      </c>
      <c r="S3164" s="9">
        <v>6.5</v>
      </c>
    </row>
    <row r="3165" ht="15.75" customHeight="1">
      <c r="A3165" s="29" t="s">
        <v>1515</v>
      </c>
      <c r="B3165" s="8" t="str">
        <f>IFERROR(__xludf.DUMMYFUNCTION("REGEXREPLACE(A3165, ""[^0-9a-zA-Z .'Ã]"","""")"),"Marc Forster")</f>
        <v>Marc Forster</v>
      </c>
      <c r="C3165" s="30">
        <v>134.0</v>
      </c>
      <c r="D3165" s="31">
        <v>537580.0</v>
      </c>
      <c r="E3165" s="30" t="s">
        <v>6800</v>
      </c>
      <c r="F3165" s="9">
        <f t="shared" si="1"/>
        <v>4</v>
      </c>
      <c r="G3165" s="30" t="s">
        <v>830</v>
      </c>
      <c r="H3165" s="11" t="str">
        <f>IFERROR(__xludf.DUMMYFUNCTION("REGEXREPLACE(G3165, ""[^0-9a-zA-Z .'Ã]"","""")"),"Gerard Butler")</f>
        <v>Gerard Butler</v>
      </c>
      <c r="I3165" s="32" t="s">
        <v>9970</v>
      </c>
      <c r="J3165" s="30">
        <v>52972.0</v>
      </c>
      <c r="K3165" s="30" t="s">
        <v>9971</v>
      </c>
      <c r="L3165" s="30">
        <v>124.0</v>
      </c>
      <c r="M3165" s="30" t="s">
        <v>24</v>
      </c>
      <c r="N3165" s="30" t="s">
        <v>25</v>
      </c>
      <c r="O3165" s="31">
        <v>3.0E7</v>
      </c>
      <c r="P3165" s="10">
        <f t="shared" si="2"/>
        <v>0</v>
      </c>
      <c r="Q3165" s="12">
        <f t="shared" si="3"/>
        <v>29462420</v>
      </c>
      <c r="R3165" s="30">
        <v>2011.0</v>
      </c>
      <c r="S3165" s="30">
        <v>6.8</v>
      </c>
    </row>
    <row r="3166" ht="15.75" customHeight="1">
      <c r="A3166" s="13" t="s">
        <v>5625</v>
      </c>
      <c r="B3166" s="8" t="str">
        <f>IFERROR(__xludf.DUMMYFUNCTION("REGEXREPLACE(A3166, ""[^0-9a-zA-Z .'Ã]"","""")"),"Andy Fickman")</f>
        <v>Andy Fickman</v>
      </c>
      <c r="C3166" s="14">
        <v>112.0</v>
      </c>
      <c r="D3166" s="15">
        <v>9.0636983E7</v>
      </c>
      <c r="E3166" s="14" t="s">
        <v>9972</v>
      </c>
      <c r="F3166" s="9">
        <f t="shared" si="1"/>
        <v>3</v>
      </c>
      <c r="G3166" s="14" t="s">
        <v>50</v>
      </c>
      <c r="H3166" s="11" t="str">
        <f>IFERROR(__xludf.DUMMYFUNCTION("REGEXREPLACE(G3166, ""[^0-9a-zA-Z .'Ã]"","""")"),"Dwayne Johnson")</f>
        <v>Dwayne Johnson</v>
      </c>
      <c r="I3166" s="16" t="s">
        <v>9973</v>
      </c>
      <c r="J3166" s="14">
        <v>44021.0</v>
      </c>
      <c r="K3166" s="14" t="s">
        <v>9974</v>
      </c>
      <c r="L3166" s="14">
        <v>83.0</v>
      </c>
      <c r="M3166" s="14" t="s">
        <v>24</v>
      </c>
      <c r="N3166" s="14" t="s">
        <v>25</v>
      </c>
      <c r="O3166" s="15">
        <v>2.2E7</v>
      </c>
      <c r="P3166" s="10">
        <f t="shared" si="2"/>
        <v>68636983</v>
      </c>
      <c r="Q3166" s="12">
        <f t="shared" si="3"/>
        <v>0</v>
      </c>
      <c r="R3166" s="14">
        <v>2007.0</v>
      </c>
      <c r="S3166" s="14">
        <v>6.2</v>
      </c>
    </row>
    <row r="3167" ht="15.75" customHeight="1">
      <c r="A3167" s="17" t="s">
        <v>277</v>
      </c>
      <c r="B3167" s="8" t="str">
        <f>IFERROR(__xludf.DUMMYFUNCTION("REGEXREPLACE(A3167, ""[^0-9a-zA-Z .'Ã]"","""")"),"Rob Cohen")</f>
        <v>Rob Cohen</v>
      </c>
      <c r="C3167" s="18">
        <v>191.0</v>
      </c>
      <c r="D3167" s="19">
        <v>1.41204016E8</v>
      </c>
      <c r="E3167" s="18" t="s">
        <v>474</v>
      </c>
      <c r="F3167" s="9">
        <f t="shared" si="1"/>
        <v>3</v>
      </c>
      <c r="G3167" s="18" t="s">
        <v>917</v>
      </c>
      <c r="H3167" s="11" t="str">
        <f>IFERROR(__xludf.DUMMYFUNCTION("REGEXREPLACE(G3167, ""[^0-9a-zA-Z .'Ã]"","""")"),"Vin Diesel")</f>
        <v>Vin Diesel</v>
      </c>
      <c r="I3167" s="20" t="s">
        <v>9975</v>
      </c>
      <c r="J3167" s="18">
        <v>142569.0</v>
      </c>
      <c r="K3167" s="18" t="s">
        <v>9976</v>
      </c>
      <c r="L3167" s="18">
        <v>737.0</v>
      </c>
      <c r="M3167" s="18" t="s">
        <v>24</v>
      </c>
      <c r="N3167" s="18" t="s">
        <v>25</v>
      </c>
      <c r="O3167" s="19">
        <v>7.0E7</v>
      </c>
      <c r="P3167" s="10">
        <f t="shared" si="2"/>
        <v>71204016</v>
      </c>
      <c r="Q3167" s="12">
        <f t="shared" si="3"/>
        <v>0</v>
      </c>
      <c r="R3167" s="18">
        <v>2002.0</v>
      </c>
      <c r="S3167" s="18">
        <v>5.8</v>
      </c>
    </row>
    <row r="3168" ht="15.75" customHeight="1">
      <c r="A3168" s="21" t="s">
        <v>9977</v>
      </c>
      <c r="B3168" s="8" t="str">
        <f>IFERROR(__xludf.DUMMYFUNCTION("REGEXREPLACE(A3168, ""[^0-9a-zA-Z .'Ã]"","""")"),"Juan Carlos Fresnadillo")</f>
        <v>Juan Carlos Fresnadillo</v>
      </c>
      <c r="C3168" s="22">
        <v>274.0</v>
      </c>
      <c r="D3168" s="23">
        <v>2.8637507E7</v>
      </c>
      <c r="E3168" s="22" t="s">
        <v>4874</v>
      </c>
      <c r="F3168" s="9">
        <f t="shared" si="1"/>
        <v>3</v>
      </c>
      <c r="G3168" s="22" t="s">
        <v>480</v>
      </c>
      <c r="H3168" s="11" t="str">
        <f>IFERROR(__xludf.DUMMYFUNCTION("REGEXREPLACE(G3168, ""[^0-9a-zA-Z .'Ã]"","""")"),"Jeremy Renner")</f>
        <v>Jeremy Renner</v>
      </c>
      <c r="I3168" s="24" t="s">
        <v>9978</v>
      </c>
      <c r="J3168" s="22">
        <v>212167.0</v>
      </c>
      <c r="K3168" s="22" t="s">
        <v>9979</v>
      </c>
      <c r="L3168" s="22">
        <v>713.0</v>
      </c>
      <c r="M3168" s="22" t="s">
        <v>24</v>
      </c>
      <c r="N3168" s="22" t="s">
        <v>130</v>
      </c>
      <c r="O3168" s="23">
        <v>1.5E7</v>
      </c>
      <c r="P3168" s="10">
        <f t="shared" si="2"/>
        <v>13637507</v>
      </c>
      <c r="Q3168" s="12">
        <f t="shared" si="3"/>
        <v>0</v>
      </c>
      <c r="R3168" s="22">
        <v>2007.0</v>
      </c>
      <c r="S3168" s="22">
        <v>7.0</v>
      </c>
    </row>
    <row r="3169" ht="15.75" customHeight="1">
      <c r="A3169" s="25" t="s">
        <v>3110</v>
      </c>
      <c r="B3169" s="8" t="str">
        <f>IFERROR(__xludf.DUMMYFUNCTION("REGEXREPLACE(A3169, ""[^0-9a-zA-Z .'Ã]"","""")"),"Victor Salva")</f>
        <v>Victor Salva</v>
      </c>
      <c r="C3169" s="26">
        <v>44.0</v>
      </c>
      <c r="D3169" s="27">
        <v>1055654.0</v>
      </c>
      <c r="E3169" s="26" t="s">
        <v>6081</v>
      </c>
      <c r="F3169" s="9">
        <f t="shared" si="1"/>
        <v>3</v>
      </c>
      <c r="G3169" s="26" t="s">
        <v>9980</v>
      </c>
      <c r="H3169" s="11" t="str">
        <f>IFERROR(__xludf.DUMMYFUNCTION("REGEXREPLACE(G3169, ""[^0-9a-zA-Z .'Ã]"","""")"),"Scott Mechlowicz")</f>
        <v>Scott Mechlowicz</v>
      </c>
      <c r="I3169" s="28" t="s">
        <v>9981</v>
      </c>
      <c r="J3169" s="26">
        <v>20426.0</v>
      </c>
      <c r="K3169" s="26" t="s">
        <v>9982</v>
      </c>
      <c r="L3169" s="26">
        <v>175.0</v>
      </c>
      <c r="M3169" s="26" t="s">
        <v>24</v>
      </c>
      <c r="N3169" s="26" t="s">
        <v>173</v>
      </c>
      <c r="O3169" s="27">
        <v>1.0E7</v>
      </c>
      <c r="P3169" s="10">
        <f t="shared" si="2"/>
        <v>0</v>
      </c>
      <c r="Q3169" s="12">
        <f t="shared" si="3"/>
        <v>8944346</v>
      </c>
      <c r="R3169" s="26">
        <v>2006.0</v>
      </c>
      <c r="S3169" s="26">
        <v>7.3</v>
      </c>
    </row>
    <row r="3170" ht="15.75" customHeight="1">
      <c r="A3170" s="7" t="s">
        <v>9983</v>
      </c>
      <c r="B3170" s="8" t="str">
        <f>IFERROR(__xludf.DUMMYFUNCTION("REGEXREPLACE(A3170, ""[^0-9a-zA-Z .'Ã]"","""")"),"David Schwimmer")</f>
        <v>David Schwimmer</v>
      </c>
      <c r="C3170" s="9">
        <v>109.0</v>
      </c>
      <c r="D3170" s="10">
        <v>58214.0</v>
      </c>
      <c r="E3170" s="9" t="s">
        <v>113</v>
      </c>
      <c r="F3170" s="9">
        <f t="shared" si="1"/>
        <v>3</v>
      </c>
      <c r="G3170" s="9" t="s">
        <v>9984</v>
      </c>
      <c r="H3170" s="11" t="str">
        <f>IFERROR(__xludf.DUMMYFUNCTION("REGEXREPLACE(G3170, ""[^0-9a-zA-Z .'Ã]"","""")"),"Noah Emmerich")</f>
        <v>Noah Emmerich</v>
      </c>
      <c r="I3170" s="11" t="s">
        <v>9985</v>
      </c>
      <c r="J3170" s="9">
        <v>34224.0</v>
      </c>
      <c r="K3170" s="9" t="s">
        <v>9986</v>
      </c>
      <c r="L3170" s="9">
        <v>137.0</v>
      </c>
      <c r="M3170" s="9" t="s">
        <v>24</v>
      </c>
      <c r="N3170" s="9" t="s">
        <v>25</v>
      </c>
      <c r="O3170" s="10">
        <v>9500000.0</v>
      </c>
      <c r="P3170" s="10">
        <f t="shared" si="2"/>
        <v>0</v>
      </c>
      <c r="Q3170" s="12">
        <f t="shared" si="3"/>
        <v>9441786</v>
      </c>
      <c r="R3170" s="9">
        <v>2010.0</v>
      </c>
      <c r="S3170" s="9">
        <v>7.0</v>
      </c>
    </row>
    <row r="3171" ht="15.75" customHeight="1">
      <c r="A3171" s="17" t="s">
        <v>218</v>
      </c>
      <c r="B3171" s="8" t="str">
        <f>IFERROR(__xludf.DUMMYFUNCTION("REGEXREPLACE(A3171, ""[^0-9a-zA-Z .'Ã]"","""")"),"James Mangold")</f>
        <v>James Mangold</v>
      </c>
      <c r="C3171" s="18">
        <v>131.0</v>
      </c>
      <c r="D3171" s="19">
        <v>4.4886089E7</v>
      </c>
      <c r="E3171" s="18" t="s">
        <v>113</v>
      </c>
      <c r="F3171" s="9">
        <f t="shared" si="1"/>
        <v>3</v>
      </c>
      <c r="G3171" s="18" t="s">
        <v>883</v>
      </c>
      <c r="H3171" s="11" t="str">
        <f>IFERROR(__xludf.DUMMYFUNCTION("REGEXREPLACE(G3171, ""[^0-9a-zA-Z .'Ã]"","""")"),"Robert De Niro")</f>
        <v>Robert De Niro</v>
      </c>
      <c r="I3171" s="20" t="s">
        <v>9987</v>
      </c>
      <c r="J3171" s="18">
        <v>69576.0</v>
      </c>
      <c r="K3171" s="18" t="s">
        <v>9988</v>
      </c>
      <c r="L3171" s="18">
        <v>207.0</v>
      </c>
      <c r="M3171" s="18" t="s">
        <v>24</v>
      </c>
      <c r="N3171" s="18" t="s">
        <v>25</v>
      </c>
      <c r="O3171" s="19">
        <v>1.0E7</v>
      </c>
      <c r="P3171" s="10">
        <f t="shared" si="2"/>
        <v>34886089</v>
      </c>
      <c r="Q3171" s="12">
        <f t="shared" si="3"/>
        <v>0</v>
      </c>
      <c r="R3171" s="18">
        <v>1997.0</v>
      </c>
      <c r="S3171" s="18">
        <v>6.9</v>
      </c>
    </row>
    <row r="3172" ht="15.75" customHeight="1">
      <c r="A3172" s="25" t="s">
        <v>2190</v>
      </c>
      <c r="B3172" s="8" t="str">
        <f>IFERROR(__xludf.DUMMYFUNCTION("REGEXREPLACE(A3172, ""[^0-9a-zA-Z .'Ã]"","""")"),"Ben Stiller")</f>
        <v>Ben Stiller</v>
      </c>
      <c r="C3172" s="26">
        <v>308.0</v>
      </c>
      <c r="D3172" s="27">
        <v>1.10416702E8</v>
      </c>
      <c r="E3172" s="26" t="s">
        <v>968</v>
      </c>
      <c r="F3172" s="9">
        <f t="shared" si="1"/>
        <v>2</v>
      </c>
      <c r="G3172" s="26" t="s">
        <v>327</v>
      </c>
      <c r="H3172" s="11" t="str">
        <f>IFERROR(__xludf.DUMMYFUNCTION("REGEXREPLACE(G3172, ""[^0-9a-zA-Z .'Ã]"","""")"),"Robert Downey Jr.")</f>
        <v>Robert Downey Jr.</v>
      </c>
      <c r="I3172" s="28" t="s">
        <v>9989</v>
      </c>
      <c r="J3172" s="26">
        <v>307539.0</v>
      </c>
      <c r="K3172" s="26" t="s">
        <v>9990</v>
      </c>
      <c r="L3172" s="26">
        <v>577.0</v>
      </c>
      <c r="M3172" s="26" t="s">
        <v>24</v>
      </c>
      <c r="N3172" s="26" t="s">
        <v>25</v>
      </c>
      <c r="O3172" s="27">
        <v>9.2E7</v>
      </c>
      <c r="P3172" s="10">
        <f t="shared" si="2"/>
        <v>18416702</v>
      </c>
      <c r="Q3172" s="12">
        <f t="shared" si="3"/>
        <v>0</v>
      </c>
      <c r="R3172" s="26">
        <v>2008.0</v>
      </c>
      <c r="S3172" s="26">
        <v>7.0</v>
      </c>
    </row>
    <row r="3173" ht="15.75" customHeight="1">
      <c r="A3173" s="7" t="s">
        <v>2997</v>
      </c>
      <c r="B3173" s="8" t="str">
        <f>IFERROR(__xludf.DUMMYFUNCTION("REGEXREPLACE(A3173, ""[^0-9a-zA-Z .'Ã]"","""")"),"Chris Columbus")</f>
        <v>Chris Columbus</v>
      </c>
      <c r="C3173" s="9">
        <v>37.0</v>
      </c>
      <c r="D3173" s="10">
        <v>1.73585516E8</v>
      </c>
      <c r="E3173" s="9" t="s">
        <v>2707</v>
      </c>
      <c r="F3173" s="9">
        <f t="shared" si="1"/>
        <v>3</v>
      </c>
      <c r="G3173" s="9" t="s">
        <v>2080</v>
      </c>
      <c r="H3173" s="11" t="str">
        <f>IFERROR(__xludf.DUMMYFUNCTION("REGEXREPLACE(G3173, ""[^0-9a-zA-Z .'Ã]"","""")"),"Macaulay Culkin")</f>
        <v>Macaulay Culkin</v>
      </c>
      <c r="I3173" s="11" t="s">
        <v>9991</v>
      </c>
      <c r="J3173" s="9">
        <v>200077.0</v>
      </c>
      <c r="K3173" s="9" t="s">
        <v>9992</v>
      </c>
      <c r="L3173" s="9">
        <v>189.0</v>
      </c>
      <c r="M3173" s="9" t="s">
        <v>24</v>
      </c>
      <c r="N3173" s="9" t="s">
        <v>25</v>
      </c>
      <c r="O3173" s="10">
        <v>1.8E7</v>
      </c>
      <c r="P3173" s="10">
        <f t="shared" si="2"/>
        <v>155585516</v>
      </c>
      <c r="Q3173" s="12">
        <f t="shared" si="3"/>
        <v>0</v>
      </c>
      <c r="R3173" s="9">
        <v>1992.0</v>
      </c>
      <c r="S3173" s="9">
        <v>6.6</v>
      </c>
    </row>
    <row r="3174" ht="15.75" customHeight="1">
      <c r="A3174" s="25" t="s">
        <v>4200</v>
      </c>
      <c r="B3174" s="8" t="str">
        <f>IFERROR(__xludf.DUMMYFUNCTION("REGEXREPLACE(A3174, ""[^0-9a-zA-Z .'Ã]"","""")"),"Mel Brooks")</f>
        <v>Mel Brooks</v>
      </c>
      <c r="C3174" s="26">
        <v>121.0</v>
      </c>
      <c r="D3174" s="27">
        <v>1.195E8</v>
      </c>
      <c r="E3174" s="26" t="s">
        <v>8136</v>
      </c>
      <c r="F3174" s="9">
        <f t="shared" si="1"/>
        <v>2</v>
      </c>
      <c r="G3174" s="26" t="s">
        <v>4201</v>
      </c>
      <c r="H3174" s="11" t="str">
        <f>IFERROR(__xludf.DUMMYFUNCTION("REGEXREPLACE(G3174, ""[^0-9a-zA-Z .'Ã]"","""")"),"Madeline Kahn")</f>
        <v>Madeline Kahn</v>
      </c>
      <c r="I3174" s="28" t="s">
        <v>9993</v>
      </c>
      <c r="J3174" s="26">
        <v>95294.0</v>
      </c>
      <c r="K3174" s="26" t="s">
        <v>9994</v>
      </c>
      <c r="L3174" s="26">
        <v>363.0</v>
      </c>
      <c r="M3174" s="26" t="s">
        <v>24</v>
      </c>
      <c r="N3174" s="26" t="s">
        <v>25</v>
      </c>
      <c r="O3174" s="27">
        <v>2600000.0</v>
      </c>
      <c r="P3174" s="10">
        <f t="shared" si="2"/>
        <v>116900000</v>
      </c>
      <c r="Q3174" s="12">
        <f t="shared" si="3"/>
        <v>0</v>
      </c>
      <c r="R3174" s="26">
        <v>1974.0</v>
      </c>
      <c r="S3174" s="26">
        <v>7.8</v>
      </c>
    </row>
    <row r="3175" ht="15.75" customHeight="1">
      <c r="A3175" s="25" t="s">
        <v>2715</v>
      </c>
      <c r="B3175" s="8" t="str">
        <f>IFERROR(__xludf.DUMMYFUNCTION("REGEXREPLACE(A3175, ""[^0-9a-zA-Z .'Ã]"","""")"),"Barry Sonnenfeld")</f>
        <v>Barry Sonnenfeld</v>
      </c>
      <c r="C3175" s="26">
        <v>208.0</v>
      </c>
      <c r="D3175" s="27">
        <v>1.90418803E8</v>
      </c>
      <c r="E3175" s="26" t="s">
        <v>9995</v>
      </c>
      <c r="F3175" s="9">
        <f t="shared" si="1"/>
        <v>7</v>
      </c>
      <c r="G3175" s="26" t="s">
        <v>2717</v>
      </c>
      <c r="H3175" s="11" t="str">
        <f>IFERROR(__xludf.DUMMYFUNCTION("REGEXREPLACE(G3175, ""[^0-9a-zA-Z .'Ã]"","""")"),"Will Smith")</f>
        <v>Will Smith</v>
      </c>
      <c r="I3175" s="28" t="s">
        <v>9996</v>
      </c>
      <c r="J3175" s="26">
        <v>270207.0</v>
      </c>
      <c r="K3175" s="26" t="s">
        <v>9997</v>
      </c>
      <c r="L3175" s="26">
        <v>606.0</v>
      </c>
      <c r="M3175" s="26" t="s">
        <v>24</v>
      </c>
      <c r="N3175" s="26" t="s">
        <v>25</v>
      </c>
      <c r="O3175" s="27">
        <v>1.4E8</v>
      </c>
      <c r="P3175" s="10">
        <f t="shared" si="2"/>
        <v>50418803</v>
      </c>
      <c r="Q3175" s="12">
        <f t="shared" si="3"/>
        <v>0</v>
      </c>
      <c r="R3175" s="26">
        <v>2002.0</v>
      </c>
      <c r="S3175" s="26">
        <v>6.1</v>
      </c>
    </row>
    <row r="3176" ht="15.75" customHeight="1">
      <c r="A3176" s="25" t="s">
        <v>9023</v>
      </c>
      <c r="B3176" s="8" t="str">
        <f>IFERROR(__xludf.DUMMYFUNCTION("REGEXREPLACE(A3176, ""[^0-9a-zA-Z .'Ã]"","""")"),"Luis Mandoki")</f>
        <v>Luis Mandoki</v>
      </c>
      <c r="C3176" s="26">
        <v>85.0</v>
      </c>
      <c r="D3176" s="27">
        <v>5.2799004E7</v>
      </c>
      <c r="E3176" s="26" t="s">
        <v>232</v>
      </c>
      <c r="F3176" s="9">
        <f t="shared" si="1"/>
        <v>2</v>
      </c>
      <c r="G3176" s="26" t="s">
        <v>233</v>
      </c>
      <c r="H3176" s="11" t="str">
        <f>IFERROR(__xludf.DUMMYFUNCTION("REGEXREPLACE(G3176, ""[^0-9a-zA-Z .'Ã]"","""")"),"Robin Wright")</f>
        <v>Robin Wright</v>
      </c>
      <c r="I3176" s="28" t="s">
        <v>9998</v>
      </c>
      <c r="J3176" s="26">
        <v>28942.0</v>
      </c>
      <c r="K3176" s="26" t="s">
        <v>9999</v>
      </c>
      <c r="L3176" s="26">
        <v>223.0</v>
      </c>
      <c r="M3176" s="26" t="s">
        <v>24</v>
      </c>
      <c r="N3176" s="26" t="s">
        <v>25</v>
      </c>
      <c r="O3176" s="27">
        <v>5.5E7</v>
      </c>
      <c r="P3176" s="10">
        <f t="shared" si="2"/>
        <v>0</v>
      </c>
      <c r="Q3176" s="12">
        <f t="shared" si="3"/>
        <v>2200996</v>
      </c>
      <c r="R3176" s="26">
        <v>1999.0</v>
      </c>
      <c r="S3176" s="26">
        <v>6.1</v>
      </c>
    </row>
    <row r="3177" ht="15.75" customHeight="1">
      <c r="A3177" s="17" t="s">
        <v>10000</v>
      </c>
      <c r="B3177" s="8" t="str">
        <f>IFERROR(__xludf.DUMMYFUNCTION("REGEXREPLACE(A3177, ""[^0-9a-zA-Z .'Ã]"","""")"),"David Palmer")</f>
        <v>David Palmer</v>
      </c>
      <c r="C3177" s="18">
        <v>176.0</v>
      </c>
      <c r="D3177" s="19">
        <v>1.374655E7</v>
      </c>
      <c r="E3177" s="18" t="s">
        <v>219</v>
      </c>
      <c r="F3177" s="9">
        <f t="shared" si="1"/>
        <v>3</v>
      </c>
      <c r="G3177" s="18" t="s">
        <v>1903</v>
      </c>
      <c r="H3177" s="11" t="str">
        <f>IFERROR(__xludf.DUMMYFUNCTION("REGEXREPLACE(G3177, ""[^0-9a-zA-Z .'Ã]"","""")"),"Bradley Cooper")</f>
        <v>Bradley Cooper</v>
      </c>
      <c r="I3177" s="20" t="s">
        <v>10001</v>
      </c>
      <c r="J3177" s="18">
        <v>29322.0</v>
      </c>
      <c r="K3177" s="18" t="s">
        <v>10002</v>
      </c>
      <c r="L3177" s="18">
        <v>104.0</v>
      </c>
      <c r="M3177" s="18" t="s">
        <v>24</v>
      </c>
      <c r="N3177" s="18" t="s">
        <v>25</v>
      </c>
      <c r="O3177" s="19">
        <v>2000000.0</v>
      </c>
      <c r="P3177" s="10">
        <f t="shared" si="2"/>
        <v>11746550</v>
      </c>
      <c r="Q3177" s="12">
        <f t="shared" si="3"/>
        <v>0</v>
      </c>
      <c r="R3177" s="18">
        <v>2012.0</v>
      </c>
      <c r="S3177" s="18">
        <v>6.1</v>
      </c>
    </row>
    <row r="3178" ht="15.75" customHeight="1">
      <c r="A3178" s="17" t="s">
        <v>3803</v>
      </c>
      <c r="B3178" s="8" t="str">
        <f>IFERROR(__xludf.DUMMYFUNCTION("REGEXREPLACE(A3178, ""[^0-9a-zA-Z .'Ã]"","""")"),"Danny Boyle")</f>
        <v>Danny Boyle</v>
      </c>
      <c r="C3178" s="18">
        <v>308.0</v>
      </c>
      <c r="D3178" s="19">
        <v>3675072.0</v>
      </c>
      <c r="E3178" s="18" t="s">
        <v>1317</v>
      </c>
      <c r="F3178" s="9">
        <f t="shared" si="1"/>
        <v>3</v>
      </c>
      <c r="G3178" s="18" t="s">
        <v>983</v>
      </c>
      <c r="H3178" s="11" t="str">
        <f>IFERROR(__xludf.DUMMYFUNCTION("REGEXREPLACE(G3178, ""[^0-9a-zA-Z .'Ã]"","""")"),"Chris Evans")</f>
        <v>Chris Evans</v>
      </c>
      <c r="I3178" s="20" t="s">
        <v>10003</v>
      </c>
      <c r="J3178" s="18">
        <v>190132.0</v>
      </c>
      <c r="K3178" s="18" t="s">
        <v>10004</v>
      </c>
      <c r="L3178" s="18">
        <v>801.0</v>
      </c>
      <c r="M3178" s="18" t="s">
        <v>24</v>
      </c>
      <c r="N3178" s="18" t="s">
        <v>130</v>
      </c>
      <c r="O3178" s="19">
        <v>2.6E7</v>
      </c>
      <c r="P3178" s="10">
        <f t="shared" si="2"/>
        <v>0</v>
      </c>
      <c r="Q3178" s="12">
        <f t="shared" si="3"/>
        <v>22324928</v>
      </c>
      <c r="R3178" s="18">
        <v>2007.0</v>
      </c>
      <c r="S3178" s="18">
        <v>7.3</v>
      </c>
    </row>
    <row r="3179" ht="15.75" customHeight="1">
      <c r="A3179" s="21" t="s">
        <v>4209</v>
      </c>
      <c r="B3179" s="8" t="str">
        <f>IFERROR(__xludf.DUMMYFUNCTION("REGEXREPLACE(A3179, ""[^0-9a-zA-Z .'Ã]"","""")"),"Kevin Greutert")</f>
        <v>Kevin Greutert</v>
      </c>
      <c r="C3179" s="22">
        <v>156.0</v>
      </c>
      <c r="D3179" s="23">
        <v>2.7669413E7</v>
      </c>
      <c r="E3179" s="22" t="s">
        <v>565</v>
      </c>
      <c r="F3179" s="9">
        <f t="shared" si="1"/>
        <v>2</v>
      </c>
      <c r="G3179" s="22" t="s">
        <v>3458</v>
      </c>
      <c r="H3179" s="11" t="str">
        <f>IFERROR(__xludf.DUMMYFUNCTION("REGEXREPLACE(G3179, ""[^0-9a-zA-Z .'Ã]"","""")"),"Costas Mandylor")</f>
        <v>Costas Mandylor</v>
      </c>
      <c r="I3179" s="24" t="s">
        <v>10005</v>
      </c>
      <c r="J3179" s="22">
        <v>76207.0</v>
      </c>
      <c r="K3179" s="22" t="s">
        <v>10006</v>
      </c>
      <c r="L3179" s="22">
        <v>194.0</v>
      </c>
      <c r="M3179" s="22" t="s">
        <v>24</v>
      </c>
      <c r="N3179" s="22" t="s">
        <v>624</v>
      </c>
      <c r="O3179" s="23">
        <v>1.1E7</v>
      </c>
      <c r="P3179" s="10">
        <f t="shared" si="2"/>
        <v>16669413</v>
      </c>
      <c r="Q3179" s="12">
        <f t="shared" si="3"/>
        <v>0</v>
      </c>
      <c r="R3179" s="22">
        <v>2009.0</v>
      </c>
      <c r="S3179" s="22">
        <v>6.0</v>
      </c>
    </row>
    <row r="3180" ht="15.75" customHeight="1">
      <c r="A3180" s="21" t="s">
        <v>10007</v>
      </c>
      <c r="B3180" s="8" t="str">
        <f>IFERROR(__xludf.DUMMYFUNCTION("REGEXREPLACE(A3180, ""[^0-9a-zA-Z .'Ã]"","""")"),"Antony Hoffman")</f>
        <v>Antony Hoffman</v>
      </c>
      <c r="C3180" s="22">
        <v>145.0</v>
      </c>
      <c r="D3180" s="23">
        <v>1.7473245E7</v>
      </c>
      <c r="E3180" s="22" t="s">
        <v>1734</v>
      </c>
      <c r="F3180" s="9">
        <f t="shared" si="1"/>
        <v>3</v>
      </c>
      <c r="G3180" s="22" t="s">
        <v>10008</v>
      </c>
      <c r="H3180" s="11" t="str">
        <f>IFERROR(__xludf.DUMMYFUNCTION("REGEXREPLACE(G3180, ""[^0-9a-zA-Z .'Ã]"","""")"),"Bob Neill")</f>
        <v>Bob Neill</v>
      </c>
      <c r="I3180" s="24" t="s">
        <v>10009</v>
      </c>
      <c r="J3180" s="22">
        <v>47612.0</v>
      </c>
      <c r="K3180" s="22" t="s">
        <v>10010</v>
      </c>
      <c r="L3180" s="22">
        <v>348.0</v>
      </c>
      <c r="M3180" s="22" t="s">
        <v>24</v>
      </c>
      <c r="N3180" s="22" t="s">
        <v>25</v>
      </c>
      <c r="O3180" s="23">
        <v>7.0E7</v>
      </c>
      <c r="P3180" s="10">
        <f t="shared" si="2"/>
        <v>0</v>
      </c>
      <c r="Q3180" s="12">
        <f t="shared" si="3"/>
        <v>52526755</v>
      </c>
      <c r="R3180" s="22">
        <v>2000.0</v>
      </c>
      <c r="S3180" s="22">
        <v>5.7</v>
      </c>
    </row>
    <row r="3181" ht="15.75" customHeight="1">
      <c r="A3181" s="21" t="s">
        <v>1868</v>
      </c>
      <c r="B3181" s="8" t="str">
        <f>IFERROR(__xludf.DUMMYFUNCTION("REGEXREPLACE(A3181, ""[^0-9a-zA-Z .'Ã]"","""")"),"Brett Ratner")</f>
        <v>Brett Ratner</v>
      </c>
      <c r="C3181" s="22">
        <v>162.0</v>
      </c>
      <c r="D3181" s="23">
        <v>1.4008085E8</v>
      </c>
      <c r="E3181" s="22" t="s">
        <v>790</v>
      </c>
      <c r="F3181" s="9">
        <f t="shared" si="1"/>
        <v>4</v>
      </c>
      <c r="G3181" s="22" t="s">
        <v>10011</v>
      </c>
      <c r="H3181" s="11" t="str">
        <f>IFERROR(__xludf.DUMMYFUNCTION("REGEXREPLACE(G3181, ""[^0-9a-zA-Z .'Ã]"","""")"),"Tzi Ma")</f>
        <v>Tzi Ma</v>
      </c>
      <c r="I3181" s="24" t="s">
        <v>10012</v>
      </c>
      <c r="J3181" s="22">
        <v>121084.0</v>
      </c>
      <c r="K3181" s="22" t="s">
        <v>10013</v>
      </c>
      <c r="L3181" s="22">
        <v>221.0</v>
      </c>
      <c r="M3181" s="22" t="s">
        <v>24</v>
      </c>
      <c r="N3181" s="22" t="s">
        <v>25</v>
      </c>
      <c r="O3181" s="23">
        <v>1.4E8</v>
      </c>
      <c r="P3181" s="10">
        <f t="shared" si="2"/>
        <v>80850</v>
      </c>
      <c r="Q3181" s="12">
        <f t="shared" si="3"/>
        <v>0</v>
      </c>
      <c r="R3181" s="22">
        <v>2007.0</v>
      </c>
      <c r="S3181" s="22">
        <v>6.2</v>
      </c>
    </row>
    <row r="3182" ht="15.75" customHeight="1">
      <c r="A3182" s="7" t="s">
        <v>6832</v>
      </c>
      <c r="B3182" s="8" t="str">
        <f>IFERROR(__xludf.DUMMYFUNCTION("REGEXREPLACE(A3182, ""[^0-9a-zA-Z .'Ã]"","""")"),"Tim Story")</f>
        <v>Tim Story</v>
      </c>
      <c r="C3182" s="9">
        <v>119.0</v>
      </c>
      <c r="D3182" s="10">
        <v>9.083503E7</v>
      </c>
      <c r="E3182" s="9" t="s">
        <v>968</v>
      </c>
      <c r="F3182" s="9">
        <f t="shared" si="1"/>
        <v>2</v>
      </c>
      <c r="G3182" s="9" t="s">
        <v>5699</v>
      </c>
      <c r="H3182" s="11" t="str">
        <f>IFERROR(__xludf.DUMMYFUNCTION("REGEXREPLACE(G3182, ""[^0-9a-zA-Z .'Ã]"","""")"),"Olivia Munn")</f>
        <v>Olivia Munn</v>
      </c>
      <c r="I3182" s="11" t="s">
        <v>10014</v>
      </c>
      <c r="J3182" s="9">
        <v>28621.0</v>
      </c>
      <c r="K3182" s="9" t="s">
        <v>10015</v>
      </c>
      <c r="L3182" s="9">
        <v>58.0</v>
      </c>
      <c r="M3182" s="9" t="s">
        <v>24</v>
      </c>
      <c r="N3182" s="9" t="s">
        <v>25</v>
      </c>
      <c r="O3182" s="10">
        <v>4.0E7</v>
      </c>
      <c r="P3182" s="10">
        <f t="shared" si="2"/>
        <v>50835030</v>
      </c>
      <c r="Q3182" s="12">
        <f t="shared" si="3"/>
        <v>0</v>
      </c>
      <c r="R3182" s="9">
        <v>2016.0</v>
      </c>
      <c r="S3182" s="9">
        <v>5.9</v>
      </c>
    </row>
    <row r="3183" ht="15.75" customHeight="1">
      <c r="A3183" s="7" t="s">
        <v>3916</v>
      </c>
      <c r="B3183" s="8" t="str">
        <f>IFERROR(__xludf.DUMMYFUNCTION("REGEXREPLACE(A3183, ""[^0-9a-zA-Z .'Ã]"","""")"),"Brad Bird")</f>
        <v>Brad Bird</v>
      </c>
      <c r="C3183" s="9">
        <v>283.0</v>
      </c>
      <c r="D3183" s="10">
        <v>2.61437578E8</v>
      </c>
      <c r="E3183" s="9" t="s">
        <v>10016</v>
      </c>
      <c r="F3183" s="9">
        <f t="shared" si="1"/>
        <v>4</v>
      </c>
      <c r="G3183" s="9" t="s">
        <v>2968</v>
      </c>
      <c r="H3183" s="11" t="str">
        <f>IFERROR(__xludf.DUMMYFUNCTION("REGEXREPLACE(G3183, ""[^0-9a-zA-Z .'Ã]"","""")"),"Holly Hunter")</f>
        <v>Holly Hunter</v>
      </c>
      <c r="I3183" s="11" t="s">
        <v>10017</v>
      </c>
      <c r="J3183" s="9">
        <v>479166.0</v>
      </c>
      <c r="K3183" s="9" t="s">
        <v>10018</v>
      </c>
      <c r="L3183" s="9">
        <v>815.0</v>
      </c>
      <c r="M3183" s="9" t="s">
        <v>24</v>
      </c>
      <c r="N3183" s="9" t="s">
        <v>25</v>
      </c>
      <c r="O3183" s="10">
        <v>9.2E7</v>
      </c>
      <c r="P3183" s="10">
        <f t="shared" si="2"/>
        <v>169437578</v>
      </c>
      <c r="Q3183" s="12">
        <f t="shared" si="3"/>
        <v>0</v>
      </c>
      <c r="R3183" s="9">
        <v>2004.0</v>
      </c>
      <c r="S3183" s="9">
        <v>8.0</v>
      </c>
    </row>
    <row r="3184" ht="15.75" customHeight="1">
      <c r="A3184" s="21" t="s">
        <v>4050</v>
      </c>
      <c r="B3184" s="8" t="str">
        <f>IFERROR(__xludf.DUMMYFUNCTION("REGEXREPLACE(A3184, ""[^0-9a-zA-Z -.'Ã]"","""")"),"Alfonso CuarÃn")</f>
        <v>Alfonso CuarÃn</v>
      </c>
      <c r="C3184" s="22">
        <v>173.0</v>
      </c>
      <c r="D3184" s="23">
        <v>1.3622333E7</v>
      </c>
      <c r="E3184" s="22" t="s">
        <v>4752</v>
      </c>
      <c r="F3184" s="9">
        <f t="shared" si="1"/>
        <v>4</v>
      </c>
      <c r="G3184" s="22" t="s">
        <v>10019</v>
      </c>
      <c r="H3184" s="11" t="str">
        <f>IFERROR(__xludf.DUMMYFUNCTION("REGEXREPLACE(G3184, ""[^0-9a-zA-Z .'Ã]"","""")"),"Maribel VerdÃ")</f>
        <v>Maribel VerdÃ</v>
      </c>
      <c r="I3184" s="24" t="s">
        <v>10020</v>
      </c>
      <c r="J3184" s="22">
        <v>91377.0</v>
      </c>
      <c r="K3184" s="22" t="s">
        <v>10021</v>
      </c>
      <c r="L3184" s="22">
        <v>385.0</v>
      </c>
      <c r="M3184" s="22" t="s">
        <v>1553</v>
      </c>
      <c r="N3184" s="22" t="s">
        <v>1893</v>
      </c>
      <c r="O3184" s="23">
        <v>2000000.0</v>
      </c>
      <c r="P3184" s="10">
        <f t="shared" si="2"/>
        <v>11622333</v>
      </c>
      <c r="Q3184" s="12">
        <f t="shared" si="3"/>
        <v>0</v>
      </c>
      <c r="R3184" s="22">
        <v>2001.0</v>
      </c>
      <c r="S3184" s="22">
        <v>7.7</v>
      </c>
    </row>
    <row r="3185" ht="15.75" customHeight="1">
      <c r="A3185" s="7" t="s">
        <v>305</v>
      </c>
      <c r="B3185" s="8" t="str">
        <f>IFERROR(__xludf.DUMMYFUNCTION("REGEXREPLACE(A3185, ""[^0-9a-zA-Z .'Ã]"","""")"),"M. Night Shyamalan")</f>
        <v>M. Night Shyamalan</v>
      </c>
      <c r="C3185" s="9">
        <v>349.0</v>
      </c>
      <c r="D3185" s="10">
        <v>6.0522097E7</v>
      </c>
      <c r="E3185" s="9" t="s">
        <v>185</v>
      </c>
      <c r="F3185" s="9">
        <f t="shared" si="1"/>
        <v>3</v>
      </c>
      <c r="G3185" s="9" t="s">
        <v>2717</v>
      </c>
      <c r="H3185" s="11" t="str">
        <f>IFERROR(__xludf.DUMMYFUNCTION("REGEXREPLACE(G3185, ""[^0-9a-zA-Z .'Ã]"","""")"),"Will Smith")</f>
        <v>Will Smith</v>
      </c>
      <c r="I3185" s="11" t="s">
        <v>10022</v>
      </c>
      <c r="J3185" s="9">
        <v>158720.0</v>
      </c>
      <c r="K3185" s="9" t="s">
        <v>10023</v>
      </c>
      <c r="L3185" s="9">
        <v>744.0</v>
      </c>
      <c r="M3185" s="9" t="s">
        <v>24</v>
      </c>
      <c r="N3185" s="9" t="s">
        <v>25</v>
      </c>
      <c r="O3185" s="10">
        <v>1.3E8</v>
      </c>
      <c r="P3185" s="10">
        <f t="shared" si="2"/>
        <v>0</v>
      </c>
      <c r="Q3185" s="12">
        <f t="shared" si="3"/>
        <v>69477903</v>
      </c>
      <c r="R3185" s="9">
        <v>2013.0</v>
      </c>
      <c r="S3185" s="9">
        <v>4.9</v>
      </c>
    </row>
    <row r="3186" ht="15.75" customHeight="1">
      <c r="A3186" s="7" t="s">
        <v>1679</v>
      </c>
      <c r="B3186" s="8" t="str">
        <f>IFERROR(__xludf.DUMMYFUNCTION("REGEXREPLACE(A3186, ""[^0-9a-zA-Z .'Ã]"","""")"),"John Hamburg")</f>
        <v>John Hamburg</v>
      </c>
      <c r="C3186" s="9">
        <v>33.0</v>
      </c>
      <c r="D3186" s="10">
        <v>21210.0</v>
      </c>
      <c r="E3186" s="9" t="s">
        <v>440</v>
      </c>
      <c r="F3186" s="9">
        <f t="shared" si="1"/>
        <v>2</v>
      </c>
      <c r="G3186" s="9" t="s">
        <v>10024</v>
      </c>
      <c r="H3186" s="11" t="str">
        <f>IFERROR(__xludf.DUMMYFUNCTION("REGEXREPLACE(G3186, ""[^0-9a-zA-Z .'Ã]"","""")"),"Harvey Fierstein")</f>
        <v>Harvey Fierstein</v>
      </c>
      <c r="I3186" s="11" t="s">
        <v>10025</v>
      </c>
      <c r="J3186" s="9">
        <v>2735.0</v>
      </c>
      <c r="K3186" s="9" t="s">
        <v>10026</v>
      </c>
      <c r="L3186" s="9">
        <v>52.0</v>
      </c>
      <c r="M3186" s="9" t="s">
        <v>24</v>
      </c>
      <c r="N3186" s="9" t="s">
        <v>25</v>
      </c>
      <c r="O3186" s="10">
        <v>1000000.0</v>
      </c>
      <c r="P3186" s="10">
        <f t="shared" si="2"/>
        <v>0</v>
      </c>
      <c r="Q3186" s="12">
        <f t="shared" si="3"/>
        <v>978790</v>
      </c>
      <c r="R3186" s="9">
        <v>1998.0</v>
      </c>
      <c r="S3186" s="9">
        <v>6.1</v>
      </c>
    </row>
    <row r="3187" ht="15.75" customHeight="1">
      <c r="A3187" s="21" t="s">
        <v>3158</v>
      </c>
      <c r="B3187" s="8" t="str">
        <f>IFERROR(__xludf.DUMMYFUNCTION("REGEXREPLACE(A3187, ""[^0-9a-zA-Z .'Ã]"","""")"),"Francis Lawrence")</f>
        <v>Francis Lawrence</v>
      </c>
      <c r="C3187" s="22">
        <v>389.0</v>
      </c>
      <c r="D3187" s="23">
        <v>2.81666058E8</v>
      </c>
      <c r="E3187" s="22" t="s">
        <v>10027</v>
      </c>
      <c r="F3187" s="9">
        <f t="shared" si="1"/>
        <v>2</v>
      </c>
      <c r="G3187" s="22" t="s">
        <v>1494</v>
      </c>
      <c r="H3187" s="11" t="str">
        <f>IFERROR(__xludf.DUMMYFUNCTION("REGEXREPLACE(G3187, ""[^0-9a-zA-Z .'Ã]"","""")"),"Jennifer Lawrence")</f>
        <v>Jennifer Lawrence</v>
      </c>
      <c r="I3187" s="24" t="s">
        <v>10028</v>
      </c>
      <c r="J3187" s="22">
        <v>166137.0</v>
      </c>
      <c r="K3187" s="22" t="s">
        <v>10029</v>
      </c>
      <c r="L3187" s="22">
        <v>383.0</v>
      </c>
      <c r="M3187" s="22" t="s">
        <v>24</v>
      </c>
      <c r="N3187" s="22" t="s">
        <v>25</v>
      </c>
      <c r="O3187" s="23">
        <v>1.6E8</v>
      </c>
      <c r="P3187" s="10">
        <f t="shared" si="2"/>
        <v>121666058</v>
      </c>
      <c r="Q3187" s="12">
        <f t="shared" si="3"/>
        <v>0</v>
      </c>
      <c r="R3187" s="22">
        <v>2015.0</v>
      </c>
      <c r="S3187" s="22">
        <v>6.6</v>
      </c>
    </row>
    <row r="3188" ht="15.75" customHeight="1">
      <c r="A3188" s="17" t="s">
        <v>6889</v>
      </c>
      <c r="B3188" s="8" t="str">
        <f>IFERROR(__xludf.DUMMYFUNCTION("REGEXREPLACE(A3188, ""[^0-9a-zA-Z .'Ã]"","""")"),"Callie Khouri")</f>
        <v>Callie Khouri</v>
      </c>
      <c r="C3188" s="18">
        <v>93.0</v>
      </c>
      <c r="D3188" s="19">
        <v>6.9586544E7</v>
      </c>
      <c r="E3188" s="18" t="s">
        <v>103</v>
      </c>
      <c r="F3188" s="9">
        <f t="shared" si="1"/>
        <v>1</v>
      </c>
      <c r="G3188" s="18" t="s">
        <v>133</v>
      </c>
      <c r="H3188" s="11" t="str">
        <f>IFERROR(__xludf.DUMMYFUNCTION("REGEXREPLACE(G3188, ""[^0-9a-zA-Z .'Ã]"","""")"),"Ellen Burstyn")</f>
        <v>Ellen Burstyn</v>
      </c>
      <c r="I3188" s="20" t="s">
        <v>10030</v>
      </c>
      <c r="J3188" s="18">
        <v>15352.0</v>
      </c>
      <c r="K3188" s="18" t="s">
        <v>10031</v>
      </c>
      <c r="L3188" s="18">
        <v>199.0</v>
      </c>
      <c r="M3188" s="18" t="s">
        <v>24</v>
      </c>
      <c r="N3188" s="18" t="s">
        <v>25</v>
      </c>
      <c r="O3188" s="19">
        <v>2.7E7</v>
      </c>
      <c r="P3188" s="10">
        <f t="shared" si="2"/>
        <v>42586544</v>
      </c>
      <c r="Q3188" s="12">
        <f t="shared" si="3"/>
        <v>0</v>
      </c>
      <c r="R3188" s="18">
        <v>2002.0</v>
      </c>
      <c r="S3188" s="18">
        <v>6.0</v>
      </c>
    </row>
    <row r="3189" ht="15.75" customHeight="1">
      <c r="A3189" s="21" t="s">
        <v>1573</v>
      </c>
      <c r="B3189" s="8" t="str">
        <f>IFERROR(__xludf.DUMMYFUNCTION("REGEXREPLACE(A3189, ""[^0-9a-zA-Z .'Ã]"","""")"),"Ethan Coen")</f>
        <v>Ethan Coen</v>
      </c>
      <c r="C3189" s="22">
        <v>341.0</v>
      </c>
      <c r="D3189" s="23">
        <v>9190525.0</v>
      </c>
      <c r="E3189" s="22" t="s">
        <v>454</v>
      </c>
      <c r="F3189" s="9">
        <f t="shared" si="1"/>
        <v>2</v>
      </c>
      <c r="G3189" s="22" t="s">
        <v>10032</v>
      </c>
      <c r="H3189" s="11" t="str">
        <f>IFERROR(__xludf.DUMMYFUNCTION("REGEXREPLACE(G3189, ""[^0-9a-zA-Z .'Ã]"","""")"),"Michael Stuhlbarg")</f>
        <v>Michael Stuhlbarg</v>
      </c>
      <c r="I3189" s="24" t="s">
        <v>10033</v>
      </c>
      <c r="J3189" s="22">
        <v>102125.0</v>
      </c>
      <c r="K3189" s="22" t="s">
        <v>10034</v>
      </c>
      <c r="L3189" s="22">
        <v>324.0</v>
      </c>
      <c r="M3189" s="22" t="s">
        <v>24</v>
      </c>
      <c r="N3189" s="22" t="s">
        <v>25</v>
      </c>
      <c r="O3189" s="23">
        <v>7000000.0</v>
      </c>
      <c r="P3189" s="10">
        <f t="shared" si="2"/>
        <v>2190525</v>
      </c>
      <c r="Q3189" s="12">
        <f t="shared" si="3"/>
        <v>0</v>
      </c>
      <c r="R3189" s="22">
        <v>2009.0</v>
      </c>
      <c r="S3189" s="22">
        <v>7.0</v>
      </c>
    </row>
    <row r="3190" ht="15.75" customHeight="1">
      <c r="A3190" s="25" t="s">
        <v>8962</v>
      </c>
      <c r="B3190" s="8" t="str">
        <f>IFERROR(__xludf.DUMMYFUNCTION("REGEXREPLACE(A3190, ""[^0-9a-zA-Z .'Ã]"","""")"),"Sean McNamara")</f>
        <v>Sean McNamara</v>
      </c>
      <c r="C3190" s="26">
        <v>46.0</v>
      </c>
      <c r="D3190" s="27">
        <v>1.041198E7</v>
      </c>
      <c r="E3190" s="26" t="s">
        <v>10035</v>
      </c>
      <c r="F3190" s="9">
        <f t="shared" si="1"/>
        <v>3</v>
      </c>
      <c r="G3190" s="26" t="s">
        <v>10036</v>
      </c>
      <c r="H3190" s="11" t="str">
        <f>IFERROR(__xludf.DUMMYFUNCTION("REGEXREPLACE(G3190, ""[^0-9a-zA-Z .'Ã]"","""")"),"Oliver James")</f>
        <v>Oliver James</v>
      </c>
      <c r="I3190" s="28" t="s">
        <v>10037</v>
      </c>
      <c r="J3190" s="26">
        <v>22649.0</v>
      </c>
      <c r="K3190" s="26" t="s">
        <v>10038</v>
      </c>
      <c r="L3190" s="26">
        <v>212.0</v>
      </c>
      <c r="M3190" s="26" t="s">
        <v>24</v>
      </c>
      <c r="N3190" s="26" t="s">
        <v>25</v>
      </c>
      <c r="O3190" s="27">
        <v>1.5E7</v>
      </c>
      <c r="P3190" s="10">
        <f t="shared" si="2"/>
        <v>0</v>
      </c>
      <c r="Q3190" s="12">
        <f t="shared" si="3"/>
        <v>4588020</v>
      </c>
      <c r="R3190" s="26">
        <v>2004.0</v>
      </c>
      <c r="S3190" s="26">
        <v>5.9</v>
      </c>
    </row>
    <row r="3191" ht="15.75" customHeight="1">
      <c r="A3191" s="7" t="s">
        <v>10039</v>
      </c>
      <c r="B3191" s="8" t="str">
        <f>IFERROR(__xludf.DUMMYFUNCTION("REGEXREPLACE(A3191, ""[^0-9a-zA-Z .'Ã]"","""")"),"Menno Meyjes")</f>
        <v>Menno Meyjes</v>
      </c>
      <c r="C3191" s="9">
        <v>118.0</v>
      </c>
      <c r="D3191" s="10">
        <v>7486906.0</v>
      </c>
      <c r="E3191" s="9" t="s">
        <v>1486</v>
      </c>
      <c r="F3191" s="9">
        <f t="shared" si="1"/>
        <v>3</v>
      </c>
      <c r="G3191" s="9" t="s">
        <v>109</v>
      </c>
      <c r="H3191" s="11" t="str">
        <f>IFERROR(__xludf.DUMMYFUNCTION("REGEXREPLACE(G3191, ""[^0-9a-zA-Z .'Ã]"","""")"),"Oliver Platt")</f>
        <v>Oliver Platt</v>
      </c>
      <c r="I3191" s="11" t="s">
        <v>10040</v>
      </c>
      <c r="J3191" s="9">
        <v>17436.0</v>
      </c>
      <c r="K3191" s="9" t="s">
        <v>10041</v>
      </c>
      <c r="L3191" s="9">
        <v>71.0</v>
      </c>
      <c r="M3191" s="9" t="s">
        <v>24</v>
      </c>
      <c r="N3191" s="9" t="s">
        <v>25</v>
      </c>
      <c r="O3191" s="10">
        <v>2.7E7</v>
      </c>
      <c r="P3191" s="10">
        <f t="shared" si="2"/>
        <v>0</v>
      </c>
      <c r="Q3191" s="12">
        <f t="shared" si="3"/>
        <v>19513094</v>
      </c>
      <c r="R3191" s="9">
        <v>2007.0</v>
      </c>
      <c r="S3191" s="9">
        <v>6.8</v>
      </c>
    </row>
    <row r="3192" ht="15.75" customHeight="1">
      <c r="A3192" s="7" t="s">
        <v>3089</v>
      </c>
      <c r="B3192" s="8" t="str">
        <f>IFERROR(__xludf.DUMMYFUNCTION("REGEXREPLACE(A3192, ""[^0-9a-zA-Z .'Ã]"","""")"),"John R. Leonetti")</f>
        <v>John R. Leonetti</v>
      </c>
      <c r="C3192" s="9">
        <v>271.0</v>
      </c>
      <c r="D3192" s="10">
        <v>8.4263837E7</v>
      </c>
      <c r="E3192" s="9" t="s">
        <v>565</v>
      </c>
      <c r="F3192" s="9">
        <f t="shared" si="1"/>
        <v>2</v>
      </c>
      <c r="G3192" s="9" t="s">
        <v>3363</v>
      </c>
      <c r="H3192" s="11" t="str">
        <f>IFERROR(__xludf.DUMMYFUNCTION("REGEXREPLACE(G3192, ""[^0-9a-zA-Z .'Ã]"","""")"),"Alfre Woodard")</f>
        <v>Alfre Woodard</v>
      </c>
      <c r="I3192" s="11" t="s">
        <v>10042</v>
      </c>
      <c r="J3192" s="9">
        <v>81699.0</v>
      </c>
      <c r="K3192" s="9" t="s">
        <v>10043</v>
      </c>
      <c r="L3192" s="9">
        <v>291.0</v>
      </c>
      <c r="M3192" s="9" t="s">
        <v>24</v>
      </c>
      <c r="N3192" s="9" t="s">
        <v>25</v>
      </c>
      <c r="O3192" s="10">
        <v>6500000.0</v>
      </c>
      <c r="P3192" s="10">
        <f t="shared" si="2"/>
        <v>77763837</v>
      </c>
      <c r="Q3192" s="12">
        <f t="shared" si="3"/>
        <v>0</v>
      </c>
      <c r="R3192" s="9">
        <v>2014.0</v>
      </c>
      <c r="S3192" s="9">
        <v>5.4</v>
      </c>
    </row>
    <row r="3193" ht="15.75" customHeight="1">
      <c r="A3193" s="21" t="s">
        <v>3199</v>
      </c>
      <c r="B3193" s="8" t="str">
        <f>IFERROR(__xludf.DUMMYFUNCTION("REGEXREPLACE(A3193, ""[^0-9a-zA-Z .'Ã]"","""")"),"Kenneth Branagh")</f>
        <v>Kenneth Branagh</v>
      </c>
      <c r="C3193" s="22">
        <v>85.0</v>
      </c>
      <c r="D3193" s="23">
        <v>4414535.0</v>
      </c>
      <c r="E3193" s="22" t="s">
        <v>103</v>
      </c>
      <c r="F3193" s="9">
        <f t="shared" si="1"/>
        <v>1</v>
      </c>
      <c r="G3193" s="22" t="s">
        <v>10044</v>
      </c>
      <c r="H3193" s="11" t="str">
        <f>IFERROR(__xludf.DUMMYFUNCTION("REGEXREPLACE(G3193, ""[^0-9a-zA-Z .'Ã]"","""")"),"Julie Christie")</f>
        <v>Julie Christie</v>
      </c>
      <c r="I3193" s="24" t="s">
        <v>10045</v>
      </c>
      <c r="J3193" s="22">
        <v>30618.0</v>
      </c>
      <c r="K3193" s="22" t="s">
        <v>10046</v>
      </c>
      <c r="L3193" s="22">
        <v>224.0</v>
      </c>
      <c r="M3193" s="22" t="s">
        <v>24</v>
      </c>
      <c r="N3193" s="22" t="s">
        <v>130</v>
      </c>
      <c r="O3193" s="23">
        <v>1.8E7</v>
      </c>
      <c r="P3193" s="10">
        <f t="shared" si="2"/>
        <v>0</v>
      </c>
      <c r="Q3193" s="12">
        <f t="shared" si="3"/>
        <v>13585465</v>
      </c>
      <c r="R3193" s="22">
        <v>1996.0</v>
      </c>
      <c r="S3193" s="22">
        <v>7.8</v>
      </c>
    </row>
    <row r="3194" ht="15.75" customHeight="1">
      <c r="A3194" s="7" t="s">
        <v>3988</v>
      </c>
      <c r="B3194" s="8" t="str">
        <f>IFERROR(__xludf.DUMMYFUNCTION("REGEXREPLACE(A3194, ""[^0-9a-zA-Z .'Ã]"","""")"),"Rob Reiner")</f>
        <v>Rob Reiner</v>
      </c>
      <c r="C3194" s="9">
        <v>107.0</v>
      </c>
      <c r="D3194" s="10">
        <v>1.5155772E7</v>
      </c>
      <c r="E3194" s="9" t="s">
        <v>159</v>
      </c>
      <c r="F3194" s="9">
        <f t="shared" si="1"/>
        <v>3</v>
      </c>
      <c r="G3194" s="9" t="s">
        <v>10047</v>
      </c>
      <c r="H3194" s="11" t="str">
        <f>IFERROR(__xludf.DUMMYFUNCTION("REGEXREPLACE(G3194, ""[^0-9a-zA-Z .'Ã]"","""")"),"Yaya DaCosta")</f>
        <v>Yaya DaCosta</v>
      </c>
      <c r="I3194" s="11" t="s">
        <v>10048</v>
      </c>
      <c r="J3194" s="9">
        <v>8895.0</v>
      </c>
      <c r="K3194" s="9" t="s">
        <v>10049</v>
      </c>
      <c r="L3194" s="9">
        <v>48.0</v>
      </c>
      <c r="M3194" s="9" t="s">
        <v>24</v>
      </c>
      <c r="N3194" s="9" t="s">
        <v>25</v>
      </c>
      <c r="O3194" s="10">
        <v>1.8E7</v>
      </c>
      <c r="P3194" s="10">
        <f t="shared" si="2"/>
        <v>0</v>
      </c>
      <c r="Q3194" s="12">
        <f t="shared" si="3"/>
        <v>2844228</v>
      </c>
      <c r="R3194" s="9">
        <v>2014.0</v>
      </c>
      <c r="S3194" s="9">
        <v>5.7</v>
      </c>
    </row>
    <row r="3195" ht="15.75" customHeight="1">
      <c r="A3195" s="25" t="s">
        <v>1716</v>
      </c>
      <c r="B3195" s="8" t="str">
        <f>IFERROR(__xludf.DUMMYFUNCTION("REGEXREPLACE(A3195, ""[^0-9a-zA-Z .'Ã]"","""")"),"Roger Michell")</f>
        <v>Roger Michell</v>
      </c>
      <c r="C3195" s="26">
        <v>167.0</v>
      </c>
      <c r="D3195" s="27">
        <v>6.6790248E7</v>
      </c>
      <c r="E3195" s="26" t="s">
        <v>369</v>
      </c>
      <c r="F3195" s="9">
        <f t="shared" si="1"/>
        <v>2</v>
      </c>
      <c r="G3195" s="26" t="s">
        <v>2371</v>
      </c>
      <c r="H3195" s="11" t="str">
        <f>IFERROR(__xludf.DUMMYFUNCTION("REGEXREPLACE(G3195, ""[^0-9a-zA-Z .'Ã]"","""")"),"Sydney Pollack")</f>
        <v>Sydney Pollack</v>
      </c>
      <c r="I3195" s="28" t="s">
        <v>10050</v>
      </c>
      <c r="J3195" s="26">
        <v>57281.0</v>
      </c>
      <c r="K3195" s="26" t="s">
        <v>10051</v>
      </c>
      <c r="L3195" s="26">
        <v>350.0</v>
      </c>
      <c r="M3195" s="26" t="s">
        <v>24</v>
      </c>
      <c r="N3195" s="26" t="s">
        <v>25</v>
      </c>
      <c r="O3195" s="27">
        <v>4.5E7</v>
      </c>
      <c r="P3195" s="10">
        <f t="shared" si="2"/>
        <v>21790248</v>
      </c>
      <c r="Q3195" s="12">
        <f t="shared" si="3"/>
        <v>0</v>
      </c>
      <c r="R3195" s="26">
        <v>2002.0</v>
      </c>
      <c r="S3195" s="26">
        <v>6.5</v>
      </c>
    </row>
    <row r="3196" ht="15.75" customHeight="1">
      <c r="A3196" s="21" t="s">
        <v>10052</v>
      </c>
      <c r="B3196" s="8" t="str">
        <f>IFERROR(__xludf.DUMMYFUNCTION("REGEXREPLACE(A3196, ""[^0-9a-zA-Z .'Ã]"","""")"),"Anthony Bell")</f>
        <v>Anthony Bell</v>
      </c>
      <c r="C3196" s="22">
        <v>84.0</v>
      </c>
      <c r="D3196" s="23">
        <v>2.5077977E7</v>
      </c>
      <c r="E3196" s="22" t="s">
        <v>4643</v>
      </c>
      <c r="F3196" s="9">
        <f t="shared" si="1"/>
        <v>5</v>
      </c>
      <c r="G3196" s="22" t="s">
        <v>10053</v>
      </c>
      <c r="H3196" s="11" t="str">
        <f>IFERROR(__xludf.DUMMYFUNCTION("REGEXREPLACE(G3196, ""[^0-9a-zA-Z .'Ã]"","""")"),"Kevin Sussman")</f>
        <v>Kevin Sussman</v>
      </c>
      <c r="I3196" s="24" t="s">
        <v>10054</v>
      </c>
      <c r="J3196" s="22">
        <v>10986.0</v>
      </c>
      <c r="K3196" s="22" t="s">
        <v>10055</v>
      </c>
      <c r="L3196" s="22">
        <v>84.0</v>
      </c>
      <c r="M3196" s="22" t="s">
        <v>24</v>
      </c>
      <c r="N3196" s="22" t="s">
        <v>25</v>
      </c>
      <c r="O3196" s="23">
        <v>2.0E7</v>
      </c>
      <c r="P3196" s="10">
        <f t="shared" si="2"/>
        <v>5077977</v>
      </c>
      <c r="Q3196" s="12">
        <f t="shared" si="3"/>
        <v>0</v>
      </c>
      <c r="R3196" s="22">
        <v>2010.0</v>
      </c>
      <c r="S3196" s="22">
        <v>5.3</v>
      </c>
    </row>
    <row r="3197" ht="15.75" customHeight="1">
      <c r="A3197" s="21" t="s">
        <v>10056</v>
      </c>
      <c r="B3197" s="8" t="str">
        <f>IFERROR(__xludf.DUMMYFUNCTION("REGEXREPLACE(A3197, ""[^0-9a-zA-Z .'Ã]"","""")"),"Christopher Leitch")</f>
        <v>Christopher Leitch</v>
      </c>
      <c r="C3197" s="22">
        <v>29.0</v>
      </c>
      <c r="D3197" s="23">
        <v>7888703.0</v>
      </c>
      <c r="E3197" s="22" t="s">
        <v>615</v>
      </c>
      <c r="F3197" s="9">
        <f t="shared" si="1"/>
        <v>2</v>
      </c>
      <c r="G3197" s="22" t="s">
        <v>10057</v>
      </c>
      <c r="H3197" s="11" t="str">
        <f>IFERROR(__xludf.DUMMYFUNCTION("REGEXREPLACE(G3197, ""[^0-9a-zA-Z .'Ã]"","""")"),"John Astin")</f>
        <v>John Astin</v>
      </c>
      <c r="I3197" s="24" t="s">
        <v>10058</v>
      </c>
      <c r="J3197" s="22">
        <v>8465.0</v>
      </c>
      <c r="K3197" s="22" t="s">
        <v>10059</v>
      </c>
      <c r="L3197" s="22">
        <v>65.0</v>
      </c>
      <c r="M3197" s="22" t="s">
        <v>24</v>
      </c>
      <c r="N3197" s="22" t="s">
        <v>25</v>
      </c>
      <c r="O3197" s="23">
        <v>3000000.0</v>
      </c>
      <c r="P3197" s="10">
        <f t="shared" si="2"/>
        <v>4888703</v>
      </c>
      <c r="Q3197" s="12">
        <f t="shared" si="3"/>
        <v>0</v>
      </c>
      <c r="R3197" s="22">
        <v>1987.0</v>
      </c>
      <c r="S3197" s="22">
        <v>3.2</v>
      </c>
    </row>
    <row r="3198" ht="15.75" customHeight="1">
      <c r="A3198" s="25" t="s">
        <v>10060</v>
      </c>
      <c r="B3198" s="8" t="str">
        <f>IFERROR(__xludf.DUMMYFUNCTION("REGEXREPLACE(A3198, ""[^0-9a-zA-Z .'Ã]"","""")"),"Ira Sachs")</f>
        <v>Ira Sachs</v>
      </c>
      <c r="C3198" s="26">
        <v>121.0</v>
      </c>
      <c r="D3198" s="27">
        <v>1506998.0</v>
      </c>
      <c r="E3198" s="26" t="s">
        <v>4961</v>
      </c>
      <c r="F3198" s="9">
        <f t="shared" si="1"/>
        <v>3</v>
      </c>
      <c r="G3198" s="26" t="s">
        <v>10061</v>
      </c>
      <c r="H3198" s="11" t="str">
        <f>IFERROR(__xludf.DUMMYFUNCTION("REGEXREPLACE(G3198, ""[^0-9a-zA-Z .'Ã]"","""")"),"David RichmondPeck")</f>
        <v>David RichmondPeck</v>
      </c>
      <c r="I3198" s="28" t="s">
        <v>10062</v>
      </c>
      <c r="J3198" s="26">
        <v>8014.0</v>
      </c>
      <c r="K3198" s="26" t="s">
        <v>10063</v>
      </c>
      <c r="L3198" s="26">
        <v>50.0</v>
      </c>
      <c r="M3198" s="26" t="s">
        <v>24</v>
      </c>
      <c r="N3198" s="26" t="s">
        <v>25</v>
      </c>
      <c r="O3198" s="27">
        <v>1.2E7</v>
      </c>
      <c r="P3198" s="10">
        <f t="shared" si="2"/>
        <v>0</v>
      </c>
      <c r="Q3198" s="12">
        <f t="shared" si="3"/>
        <v>10493002</v>
      </c>
      <c r="R3198" s="26">
        <v>2007.0</v>
      </c>
      <c r="S3198" s="26">
        <v>6.3</v>
      </c>
    </row>
    <row r="3199" ht="15.75" customHeight="1">
      <c r="A3199" s="7" t="s">
        <v>10064</v>
      </c>
      <c r="B3199" s="8" t="str">
        <f>IFERROR(__xludf.DUMMYFUNCTION("REGEXREPLACE(A3199, ""[^0-9a-zA-Z .'Ã]"","""")"),"Lenny Abrahamson")</f>
        <v>Lenny Abrahamson</v>
      </c>
      <c r="C3199" s="9">
        <v>421.0</v>
      </c>
      <c r="D3199" s="10">
        <v>1.4677654E7</v>
      </c>
      <c r="E3199" s="9" t="s">
        <v>103</v>
      </c>
      <c r="F3199" s="9">
        <f t="shared" si="1"/>
        <v>1</v>
      </c>
      <c r="G3199" s="9" t="s">
        <v>2213</v>
      </c>
      <c r="H3199" s="11" t="str">
        <f>IFERROR(__xludf.DUMMYFUNCTION("REGEXREPLACE(G3199, ""[^0-9a-zA-Z .'Ã]"","""")"),"Joan Allen")</f>
        <v>Joan Allen</v>
      </c>
      <c r="I3199" s="11" t="s">
        <v>10065</v>
      </c>
      <c r="J3199" s="9">
        <v>161288.0</v>
      </c>
      <c r="K3199" s="9" t="s">
        <v>10066</v>
      </c>
      <c r="L3199" s="9">
        <v>351.0</v>
      </c>
      <c r="M3199" s="9" t="s">
        <v>24</v>
      </c>
      <c r="N3199" s="9" t="s">
        <v>593</v>
      </c>
      <c r="O3199" s="10">
        <v>1.3E7</v>
      </c>
      <c r="P3199" s="10">
        <f t="shared" si="2"/>
        <v>1677654</v>
      </c>
      <c r="Q3199" s="12">
        <f t="shared" si="3"/>
        <v>0</v>
      </c>
      <c r="R3199" s="9">
        <v>2015.0</v>
      </c>
      <c r="S3199" s="9">
        <v>8.3</v>
      </c>
    </row>
    <row r="3200" ht="15.75" customHeight="1">
      <c r="A3200" s="13" t="s">
        <v>5755</v>
      </c>
      <c r="B3200" s="8" t="str">
        <f>IFERROR(__xludf.DUMMYFUNCTION("REGEXREPLACE(A3200, ""[^0-9a-zA-Z .'Ã]"","""")"),"Philip Kaufman")</f>
        <v>Philip Kaufman</v>
      </c>
      <c r="C3200" s="14">
        <v>132.0</v>
      </c>
      <c r="D3200" s="15">
        <v>7060876.0</v>
      </c>
      <c r="E3200" s="14" t="s">
        <v>359</v>
      </c>
      <c r="F3200" s="9">
        <f t="shared" si="1"/>
        <v>2</v>
      </c>
      <c r="G3200" s="14" t="s">
        <v>777</v>
      </c>
      <c r="H3200" s="11" t="str">
        <f>IFERROR(__xludf.DUMMYFUNCTION("REGEXREPLACE(G3200, ""[^0-9a-zA-Z .'Ã]"","""")"),"Kate Winslet")</f>
        <v>Kate Winslet</v>
      </c>
      <c r="I3200" s="16" t="s">
        <v>10067</v>
      </c>
      <c r="J3200" s="14">
        <v>44795.0</v>
      </c>
      <c r="K3200" s="14" t="s">
        <v>10068</v>
      </c>
      <c r="L3200" s="14">
        <v>314.0</v>
      </c>
      <c r="M3200" s="14" t="s">
        <v>24</v>
      </c>
      <c r="N3200" s="14" t="s">
        <v>130</v>
      </c>
      <c r="O3200" s="15">
        <v>1.35E7</v>
      </c>
      <c r="P3200" s="10">
        <f t="shared" si="2"/>
        <v>0</v>
      </c>
      <c r="Q3200" s="12">
        <f t="shared" si="3"/>
        <v>6439124</v>
      </c>
      <c r="R3200" s="14">
        <v>2000.0</v>
      </c>
      <c r="S3200" s="14">
        <v>7.4</v>
      </c>
    </row>
    <row r="3201" ht="15.75" customHeight="1">
      <c r="A3201" s="25" t="s">
        <v>10069</v>
      </c>
      <c r="B3201" s="8" t="str">
        <f>IFERROR(__xludf.DUMMYFUNCTION("REGEXREPLACE(A3201, ""[^0-9a-zA-Z .'Ã]"","""")"),"Drake Doremus")</f>
        <v>Drake Doremus</v>
      </c>
      <c r="C3201" s="26">
        <v>206.0</v>
      </c>
      <c r="D3201" s="27">
        <v>3388210.0</v>
      </c>
      <c r="E3201" s="26" t="s">
        <v>232</v>
      </c>
      <c r="F3201" s="9">
        <f t="shared" si="1"/>
        <v>2</v>
      </c>
      <c r="G3201" s="26" t="s">
        <v>1494</v>
      </c>
      <c r="H3201" s="11" t="str">
        <f>IFERROR(__xludf.DUMMYFUNCTION("REGEXREPLACE(G3201, ""[^0-9a-zA-Z .'Ã]"","""")"),"Jennifer Lawrence")</f>
        <v>Jennifer Lawrence</v>
      </c>
      <c r="I3201" s="28" t="s">
        <v>10070</v>
      </c>
      <c r="J3201" s="26">
        <v>46813.0</v>
      </c>
      <c r="K3201" s="26" t="s">
        <v>10071</v>
      </c>
      <c r="L3201" s="26">
        <v>150.0</v>
      </c>
      <c r="M3201" s="26" t="s">
        <v>24</v>
      </c>
      <c r="N3201" s="26" t="s">
        <v>25</v>
      </c>
      <c r="O3201" s="27">
        <v>250000.0</v>
      </c>
      <c r="P3201" s="10">
        <f t="shared" si="2"/>
        <v>3138210</v>
      </c>
      <c r="Q3201" s="12">
        <f t="shared" si="3"/>
        <v>0</v>
      </c>
      <c r="R3201" s="26">
        <v>2011.0</v>
      </c>
      <c r="S3201" s="26">
        <v>6.7</v>
      </c>
    </row>
    <row r="3202" ht="15.75" customHeight="1">
      <c r="A3202" s="21" t="s">
        <v>10072</v>
      </c>
      <c r="B3202" s="8" t="str">
        <f>IFERROR(__xludf.DUMMYFUNCTION("REGEXREPLACE(A3202, ""[^0-9a-zA-Z .'Ã]"","""")"),"Jorge Blanco")</f>
        <v>Jorge Blanco</v>
      </c>
      <c r="C3202" s="22">
        <v>156.0</v>
      </c>
      <c r="D3202" s="23">
        <v>4.219406E7</v>
      </c>
      <c r="E3202" s="22" t="s">
        <v>20</v>
      </c>
      <c r="F3202" s="9">
        <f t="shared" si="1"/>
        <v>5</v>
      </c>
      <c r="G3202" s="22" t="s">
        <v>50</v>
      </c>
      <c r="H3202" s="11" t="str">
        <f>IFERROR(__xludf.DUMMYFUNCTION("REGEXREPLACE(G3202, ""[^0-9a-zA-Z .'Ã]"","""")"),"Dwayne Johnson")</f>
        <v>Dwayne Johnson</v>
      </c>
      <c r="I3202" s="24" t="s">
        <v>10073</v>
      </c>
      <c r="J3202" s="22">
        <v>41259.0</v>
      </c>
      <c r="K3202" s="22" t="s">
        <v>10074</v>
      </c>
      <c r="L3202" s="22">
        <v>72.0</v>
      </c>
      <c r="M3202" s="22" t="s">
        <v>24</v>
      </c>
      <c r="N3202" s="22" t="s">
        <v>1108</v>
      </c>
      <c r="O3202" s="23">
        <v>7.0E7</v>
      </c>
      <c r="P3202" s="10">
        <f t="shared" si="2"/>
        <v>0</v>
      </c>
      <c r="Q3202" s="12">
        <f t="shared" si="3"/>
        <v>27805940</v>
      </c>
      <c r="R3202" s="22">
        <v>2009.0</v>
      </c>
      <c r="S3202" s="22">
        <v>6.1</v>
      </c>
    </row>
    <row r="3203" ht="15.75" customHeight="1">
      <c r="A3203" s="17" t="s">
        <v>760</v>
      </c>
      <c r="B3203" s="8" t="str">
        <f>IFERROR(__xludf.DUMMYFUNCTION("REGEXREPLACE(A3203, ""[^0-9a-zA-Z .'Ã]"","""")"),"Martin Scorsese")</f>
        <v>Martin Scorsese</v>
      </c>
      <c r="C3203" s="18">
        <v>114.0</v>
      </c>
      <c r="D3203" s="19">
        <v>8373585.0</v>
      </c>
      <c r="E3203" s="18" t="s">
        <v>103</v>
      </c>
      <c r="F3203" s="9">
        <f t="shared" si="1"/>
        <v>1</v>
      </c>
      <c r="G3203" s="18" t="s">
        <v>9269</v>
      </c>
      <c r="H3203" s="11" t="str">
        <f>IFERROR(__xludf.DUMMYFUNCTION("REGEXREPLACE(G3203, ""[^0-9a-zA-Z .'Ã]"","""")"),"Irvin Kershner")</f>
        <v>Irvin Kershner</v>
      </c>
      <c r="I3203" s="20" t="s">
        <v>10075</v>
      </c>
      <c r="J3203" s="18">
        <v>39680.0</v>
      </c>
      <c r="K3203" s="18" t="s">
        <v>10076</v>
      </c>
      <c r="L3203" s="18">
        <v>308.0</v>
      </c>
      <c r="M3203" s="18" t="s">
        <v>24</v>
      </c>
      <c r="N3203" s="18" t="s">
        <v>25</v>
      </c>
      <c r="O3203" s="19">
        <v>7000000.0</v>
      </c>
      <c r="P3203" s="10">
        <f t="shared" si="2"/>
        <v>1373585</v>
      </c>
      <c r="Q3203" s="12">
        <f t="shared" si="3"/>
        <v>0</v>
      </c>
      <c r="R3203" s="18">
        <v>1988.0</v>
      </c>
      <c r="S3203" s="18">
        <v>7.6</v>
      </c>
    </row>
    <row r="3204" ht="15.75" customHeight="1">
      <c r="A3204" s="13" t="s">
        <v>5432</v>
      </c>
      <c r="B3204" s="8" t="str">
        <f>IFERROR(__xludf.DUMMYFUNCTION("REGEXREPLACE(A3204, ""[^0-9a-zA-Z .'Ã]"","""")"),"Ariel Vromen")</f>
        <v>Ariel Vromen</v>
      </c>
      <c r="C3204" s="14">
        <v>221.0</v>
      </c>
      <c r="D3204" s="15">
        <v>1939441.0</v>
      </c>
      <c r="E3204" s="14" t="s">
        <v>1774</v>
      </c>
      <c r="F3204" s="9">
        <f t="shared" si="1"/>
        <v>3</v>
      </c>
      <c r="G3204" s="14" t="s">
        <v>983</v>
      </c>
      <c r="H3204" s="11" t="str">
        <f>IFERROR(__xludf.DUMMYFUNCTION("REGEXREPLACE(G3204, ""[^0-9a-zA-Z .'Ã]"","""")"),"Chris Evans")</f>
        <v>Chris Evans</v>
      </c>
      <c r="I3204" s="16" t="s">
        <v>10077</v>
      </c>
      <c r="J3204" s="14">
        <v>55567.0</v>
      </c>
      <c r="K3204" s="14" t="s">
        <v>10078</v>
      </c>
      <c r="L3204" s="14">
        <v>144.0</v>
      </c>
      <c r="M3204" s="14" t="s">
        <v>24</v>
      </c>
      <c r="N3204" s="14" t="s">
        <v>25</v>
      </c>
      <c r="O3204" s="15">
        <v>1.0E7</v>
      </c>
      <c r="P3204" s="10">
        <f t="shared" si="2"/>
        <v>0</v>
      </c>
      <c r="Q3204" s="12">
        <f t="shared" si="3"/>
        <v>8060559</v>
      </c>
      <c r="R3204" s="14">
        <v>2012.0</v>
      </c>
      <c r="S3204" s="14">
        <v>6.9</v>
      </c>
    </row>
    <row r="3205" ht="15.75" customHeight="1">
      <c r="A3205" s="13" t="s">
        <v>1652</v>
      </c>
      <c r="B3205" s="8" t="str">
        <f>IFERROR(__xludf.DUMMYFUNCTION("REGEXREPLACE(A3205, ""[^0-9a-zA-Z .'Ã]"","""")"),"John Carpenter")</f>
        <v>John Carpenter</v>
      </c>
      <c r="C3205" s="14">
        <v>104.0</v>
      </c>
      <c r="D3205" s="15">
        <v>2.540725E7</v>
      </c>
      <c r="E3205" s="14" t="s">
        <v>794</v>
      </c>
      <c r="F3205" s="9">
        <f t="shared" si="1"/>
        <v>4</v>
      </c>
      <c r="G3205" s="14" t="s">
        <v>453</v>
      </c>
      <c r="H3205" s="11" t="str">
        <f>IFERROR(__xludf.DUMMYFUNCTION("REGEXREPLACE(G3205, ""[^0-9a-zA-Z .'Ã]"","""")"),"Steve Buscemi")</f>
        <v>Steve Buscemi</v>
      </c>
      <c r="I3205" s="16" t="s">
        <v>10079</v>
      </c>
      <c r="J3205" s="14">
        <v>54021.0</v>
      </c>
      <c r="K3205" s="14" t="s">
        <v>10080</v>
      </c>
      <c r="L3205" s="14">
        <v>227.0</v>
      </c>
      <c r="M3205" s="14" t="s">
        <v>24</v>
      </c>
      <c r="N3205" s="14" t="s">
        <v>25</v>
      </c>
      <c r="O3205" s="15">
        <v>5.0E7</v>
      </c>
      <c r="P3205" s="10">
        <f t="shared" si="2"/>
        <v>0</v>
      </c>
      <c r="Q3205" s="12">
        <f t="shared" si="3"/>
        <v>24592750</v>
      </c>
      <c r="R3205" s="14">
        <v>1996.0</v>
      </c>
      <c r="S3205" s="14">
        <v>5.7</v>
      </c>
    </row>
    <row r="3206" ht="15.75" customHeight="1">
      <c r="A3206" s="21" t="s">
        <v>532</v>
      </c>
      <c r="B3206" s="8" t="str">
        <f>IFERROR(__xludf.DUMMYFUNCTION("REGEXREPLACE(A3206, ""[^0-9a-zA-Z .'Ã]"","""")"),"Donald Petrie")</f>
        <v>Donald Petrie</v>
      </c>
      <c r="C3206" s="22">
        <v>98.0</v>
      </c>
      <c r="D3206" s="23">
        <v>1.7324744E7</v>
      </c>
      <c r="E3206" s="22" t="s">
        <v>1741</v>
      </c>
      <c r="F3206" s="9">
        <f t="shared" si="1"/>
        <v>3</v>
      </c>
      <c r="G3206" s="22" t="s">
        <v>10081</v>
      </c>
      <c r="H3206" s="11" t="str">
        <f>IFERROR(__xludf.DUMMYFUNCTION("REGEXREPLACE(G3206, ""[^0-9a-zA-Z .'Ã]"","""")"),"Samaire Armstrong")</f>
        <v>Samaire Armstrong</v>
      </c>
      <c r="I3206" s="24" t="s">
        <v>10082</v>
      </c>
      <c r="J3206" s="22">
        <v>44103.0</v>
      </c>
      <c r="K3206" s="22" t="s">
        <v>10083</v>
      </c>
      <c r="L3206" s="22">
        <v>149.0</v>
      </c>
      <c r="M3206" s="22" t="s">
        <v>24</v>
      </c>
      <c r="N3206" s="22" t="s">
        <v>25</v>
      </c>
      <c r="O3206" s="23">
        <v>2.8E7</v>
      </c>
      <c r="P3206" s="10">
        <f t="shared" si="2"/>
        <v>0</v>
      </c>
      <c r="Q3206" s="12">
        <f t="shared" si="3"/>
        <v>10675256</v>
      </c>
      <c r="R3206" s="22">
        <v>2006.0</v>
      </c>
      <c r="S3206" s="22">
        <v>5.3</v>
      </c>
    </row>
    <row r="3207" ht="15.75" customHeight="1">
      <c r="A3207" s="25" t="s">
        <v>78</v>
      </c>
      <c r="B3207" s="8" t="str">
        <f>IFERROR(__xludf.DUMMYFUNCTION("REGEXREPLACE(A3207, ""[^0-9a-zA-Z .'Ã]"","""")"),"John Sayles")</f>
        <v>John Sayles</v>
      </c>
      <c r="C3207" s="26">
        <v>35.0</v>
      </c>
      <c r="D3207" s="27">
        <v>183490.0</v>
      </c>
      <c r="E3207" s="26" t="s">
        <v>679</v>
      </c>
      <c r="F3207" s="9">
        <f t="shared" si="1"/>
        <v>2</v>
      </c>
      <c r="G3207" s="26" t="s">
        <v>10084</v>
      </c>
      <c r="H3207" s="11" t="str">
        <f>IFERROR(__xludf.DUMMYFUNCTION("REGEXREPLACE(G3207, ""[^0-9a-zA-Z .'Ã]"","""")"),"Brian Lee Franklin")</f>
        <v>Brian Lee Franklin</v>
      </c>
      <c r="I3207" s="28" t="s">
        <v>10085</v>
      </c>
      <c r="J3207" s="26">
        <v>463.0</v>
      </c>
      <c r="K3207" s="26" t="s">
        <v>10086</v>
      </c>
      <c r="L3207" s="26">
        <v>8.0</v>
      </c>
      <c r="M3207" s="26" t="s">
        <v>24</v>
      </c>
      <c r="N3207" s="26" t="s">
        <v>25</v>
      </c>
      <c r="O3207" s="27">
        <v>1700000.0</v>
      </c>
      <c r="P3207" s="10">
        <f t="shared" si="2"/>
        <v>0</v>
      </c>
      <c r="Q3207" s="12">
        <f t="shared" si="3"/>
        <v>1516510</v>
      </c>
      <c r="R3207" s="26">
        <v>2010.0</v>
      </c>
      <c r="S3207" s="26">
        <v>5.8</v>
      </c>
    </row>
    <row r="3208" ht="15.75" customHeight="1">
      <c r="A3208" s="7" t="s">
        <v>7425</v>
      </c>
      <c r="B3208" s="8" t="str">
        <f>IFERROR(__xludf.DUMMYFUNCTION("REGEXREPLACE(A3208, ""[^0-9a-zA-Z .'Ã]"","""")"),"Andrew Bergman")</f>
        <v>Andrew Bergman</v>
      </c>
      <c r="C3208" s="9">
        <v>63.0</v>
      </c>
      <c r="D3208" s="10">
        <v>2954405.0</v>
      </c>
      <c r="E3208" s="9" t="s">
        <v>7062</v>
      </c>
      <c r="F3208" s="9">
        <f t="shared" si="1"/>
        <v>3</v>
      </c>
      <c r="G3208" s="9" t="s">
        <v>5960</v>
      </c>
      <c r="H3208" s="11" t="str">
        <f>IFERROR(__xludf.DUMMYFUNCTION("REGEXREPLACE(G3208, ""[^0-9a-zA-Z .'Ã]"","""")"),"Stockard Channing")</f>
        <v>Stockard Channing</v>
      </c>
      <c r="I3208" s="11" t="s">
        <v>10087</v>
      </c>
      <c r="J3208" s="9">
        <v>1977.0</v>
      </c>
      <c r="K3208" s="9" t="s">
        <v>10088</v>
      </c>
      <c r="L3208" s="9">
        <v>64.0</v>
      </c>
      <c r="M3208" s="9" t="s">
        <v>24</v>
      </c>
      <c r="N3208" s="9" t="s">
        <v>25</v>
      </c>
      <c r="O3208" s="10">
        <v>3.6E7</v>
      </c>
      <c r="P3208" s="10">
        <f t="shared" si="2"/>
        <v>0</v>
      </c>
      <c r="Q3208" s="12">
        <f t="shared" si="3"/>
        <v>33045595</v>
      </c>
      <c r="R3208" s="9">
        <v>2000.0</v>
      </c>
      <c r="S3208" s="9">
        <v>5.3</v>
      </c>
    </row>
    <row r="3209" ht="15.75" customHeight="1">
      <c r="A3209" s="17" t="s">
        <v>10089</v>
      </c>
      <c r="B3209" s="8" t="str">
        <f>IFERROR(__xludf.DUMMYFUNCTION("REGEXREPLACE(A3209, ""[^0-9a-zA-Z .'Ã]"","""")"),"Penelope Spheeris")</f>
        <v>Penelope Spheeris</v>
      </c>
      <c r="C3209" s="18">
        <v>61.0</v>
      </c>
      <c r="D3209" s="19">
        <v>1.2169735E8</v>
      </c>
      <c r="E3209" s="18" t="s">
        <v>321</v>
      </c>
      <c r="F3209" s="9">
        <f t="shared" si="1"/>
        <v>2</v>
      </c>
      <c r="G3209" s="18" t="s">
        <v>3018</v>
      </c>
      <c r="H3209" s="11" t="str">
        <f>IFERROR(__xludf.DUMMYFUNCTION("REGEXREPLACE(G3209, ""[^0-9a-zA-Z .'Ã]"","""")"),"Tia Carrere")</f>
        <v>Tia Carrere</v>
      </c>
      <c r="I3209" s="20" t="s">
        <v>10090</v>
      </c>
      <c r="J3209" s="18">
        <v>114610.0</v>
      </c>
      <c r="K3209" s="18" t="s">
        <v>10091</v>
      </c>
      <c r="L3209" s="18">
        <v>176.0</v>
      </c>
      <c r="M3209" s="18" t="s">
        <v>24</v>
      </c>
      <c r="N3209" s="18" t="s">
        <v>25</v>
      </c>
      <c r="O3209" s="19">
        <v>2.0E7</v>
      </c>
      <c r="P3209" s="10">
        <f t="shared" si="2"/>
        <v>101697350</v>
      </c>
      <c r="Q3209" s="12">
        <f t="shared" si="3"/>
        <v>0</v>
      </c>
      <c r="R3209" s="18">
        <v>1992.0</v>
      </c>
      <c r="S3209" s="18">
        <v>7.0</v>
      </c>
    </row>
    <row r="3210" ht="15.75" customHeight="1">
      <c r="A3210" s="7" t="s">
        <v>4700</v>
      </c>
      <c r="B3210" s="8" t="str">
        <f>IFERROR(__xludf.DUMMYFUNCTION("REGEXREPLACE(A3210, ""[^0-9a-zA-Z .'Ã]"","""")"),"Matt Reeves")</f>
        <v>Matt Reeves</v>
      </c>
      <c r="C3210" s="9">
        <v>390.0</v>
      </c>
      <c r="D3210" s="10">
        <v>1.213442E7</v>
      </c>
      <c r="E3210" s="9" t="s">
        <v>10092</v>
      </c>
      <c r="F3210" s="9">
        <f t="shared" si="1"/>
        <v>4</v>
      </c>
      <c r="G3210" s="9" t="s">
        <v>2259</v>
      </c>
      <c r="H3210" s="11" t="str">
        <f>IFERROR(__xludf.DUMMYFUNCTION("REGEXREPLACE(G3210, ""[^0-9a-zA-Z .'Ã]"","""")"),"ChloÃ Grace Moretz")</f>
        <v>ChloÃ Grace Moretz</v>
      </c>
      <c r="I3210" s="11" t="s">
        <v>10093</v>
      </c>
      <c r="J3210" s="9">
        <v>92237.0</v>
      </c>
      <c r="K3210" s="9" t="s">
        <v>10094</v>
      </c>
      <c r="L3210" s="9">
        <v>366.0</v>
      </c>
      <c r="M3210" s="9" t="s">
        <v>24</v>
      </c>
      <c r="N3210" s="9" t="s">
        <v>130</v>
      </c>
      <c r="O3210" s="10">
        <v>2.0E7</v>
      </c>
      <c r="P3210" s="10">
        <f t="shared" si="2"/>
        <v>0</v>
      </c>
      <c r="Q3210" s="12">
        <f t="shared" si="3"/>
        <v>7865580</v>
      </c>
      <c r="R3210" s="9">
        <v>2010.0</v>
      </c>
      <c r="S3210" s="9">
        <v>7.2</v>
      </c>
    </row>
    <row r="3211" ht="15.75" customHeight="1">
      <c r="A3211" s="13" t="s">
        <v>7104</v>
      </c>
      <c r="B3211" s="8" t="str">
        <f>IFERROR(__xludf.DUMMYFUNCTION("REGEXREPLACE(A3211, ""[^0-9a-zA-Z .'Ã]"","""")"),"Kurt Hale")</f>
        <v>Kurt Hale</v>
      </c>
      <c r="C3211" s="14">
        <v>3.0</v>
      </c>
      <c r="D3211" s="15">
        <v>1111615.0</v>
      </c>
      <c r="E3211" s="14" t="s">
        <v>4023</v>
      </c>
      <c r="F3211" s="9">
        <f t="shared" si="1"/>
        <v>3</v>
      </c>
      <c r="G3211" s="14" t="s">
        <v>7105</v>
      </c>
      <c r="H3211" s="11" t="str">
        <f>IFERROR(__xludf.DUMMYFUNCTION("REGEXREPLACE(G3211, ""[^0-9a-zA-Z .'Ã]"","""")"),"Kirby Heyborne")</f>
        <v>Kirby Heyborne</v>
      </c>
      <c r="I3211" s="16" t="s">
        <v>10095</v>
      </c>
      <c r="J3211" s="14">
        <v>651.0</v>
      </c>
      <c r="K3211" s="14" t="s">
        <v>10096</v>
      </c>
      <c r="L3211" s="14">
        <v>34.0</v>
      </c>
      <c r="M3211" s="14" t="s">
        <v>24</v>
      </c>
      <c r="N3211" s="14" t="s">
        <v>25</v>
      </c>
      <c r="O3211" s="15">
        <v>500000.0</v>
      </c>
      <c r="P3211" s="10">
        <f t="shared" si="2"/>
        <v>611615</v>
      </c>
      <c r="Q3211" s="12">
        <f t="shared" si="3"/>
        <v>0</v>
      </c>
      <c r="R3211" s="14">
        <v>2003.0</v>
      </c>
      <c r="S3211" s="14">
        <v>6.0</v>
      </c>
    </row>
    <row r="3212" ht="15.75" customHeight="1">
      <c r="A3212" s="7" t="s">
        <v>10097</v>
      </c>
      <c r="B3212" s="8" t="str">
        <f>IFERROR(__xludf.DUMMYFUNCTION("REGEXREPLACE(A3212, ""[^0-9a-zA-Z -.'Ã]"","""")"),"Todd Strauss-Schulson")</f>
        <v>Todd Strauss-Schulson</v>
      </c>
      <c r="C3212" s="9">
        <v>161.0</v>
      </c>
      <c r="D3212" s="10">
        <v>3.5033759E7</v>
      </c>
      <c r="E3212" s="9" t="s">
        <v>693</v>
      </c>
      <c r="F3212" s="9">
        <f t="shared" si="1"/>
        <v>2</v>
      </c>
      <c r="G3212" s="9" t="s">
        <v>5429</v>
      </c>
      <c r="H3212" s="11" t="str">
        <f>IFERROR(__xludf.DUMMYFUNCTION("REGEXREPLACE(G3212, ""[^0-9a-zA-Z .'Ã]"","""")"),"Patton Oswalt")</f>
        <v>Patton Oswalt</v>
      </c>
      <c r="I3212" s="11" t="s">
        <v>10098</v>
      </c>
      <c r="J3212" s="9">
        <v>55008.0</v>
      </c>
      <c r="K3212" s="9" t="s">
        <v>10099</v>
      </c>
      <c r="L3212" s="9">
        <v>93.0</v>
      </c>
      <c r="M3212" s="9" t="s">
        <v>24</v>
      </c>
      <c r="N3212" s="9" t="s">
        <v>25</v>
      </c>
      <c r="O3212" s="10">
        <v>1.9E7</v>
      </c>
      <c r="P3212" s="10">
        <f t="shared" si="2"/>
        <v>16033759</v>
      </c>
      <c r="Q3212" s="12">
        <f t="shared" si="3"/>
        <v>0</v>
      </c>
      <c r="R3212" s="9">
        <v>2011.0</v>
      </c>
      <c r="S3212" s="9">
        <v>6.3</v>
      </c>
    </row>
    <row r="3213" ht="15.75" customHeight="1">
      <c r="A3213" s="17" t="s">
        <v>1954</v>
      </c>
      <c r="B3213" s="8" t="str">
        <f>IFERROR(__xludf.DUMMYFUNCTION("REGEXREPLACE(A3213, ""[^0-9a-zA-Z .'Ã]"","""")"),"David R. Ellis")</f>
        <v>David R. Ellis</v>
      </c>
      <c r="C3213" s="18">
        <v>175.0</v>
      </c>
      <c r="D3213" s="19">
        <v>4.6455802E7</v>
      </c>
      <c r="E3213" s="18" t="s">
        <v>306</v>
      </c>
      <c r="F3213" s="9">
        <f t="shared" si="1"/>
        <v>2</v>
      </c>
      <c r="G3213" s="18" t="s">
        <v>10100</v>
      </c>
      <c r="H3213" s="11" t="str">
        <f>IFERROR(__xludf.DUMMYFUNCTION("REGEXREPLACE(G3213, ""[^0-9a-zA-Z .'Ã]"","""")"),"Sarah Carter")</f>
        <v>Sarah Carter</v>
      </c>
      <c r="I3213" s="20" t="s">
        <v>10101</v>
      </c>
      <c r="J3213" s="18">
        <v>120786.0</v>
      </c>
      <c r="K3213" s="18" t="s">
        <v>10102</v>
      </c>
      <c r="L3213" s="18">
        <v>472.0</v>
      </c>
      <c r="M3213" s="18" t="s">
        <v>24</v>
      </c>
      <c r="N3213" s="18" t="s">
        <v>25</v>
      </c>
      <c r="O3213" s="19">
        <v>2.6E7</v>
      </c>
      <c r="P3213" s="10">
        <f t="shared" si="2"/>
        <v>20455802</v>
      </c>
      <c r="Q3213" s="12">
        <f t="shared" si="3"/>
        <v>0</v>
      </c>
      <c r="R3213" s="18">
        <v>2003.0</v>
      </c>
      <c r="S3213" s="18">
        <v>6.2</v>
      </c>
    </row>
    <row r="3214" ht="15.75" customHeight="1">
      <c r="A3214" s="25" t="s">
        <v>10103</v>
      </c>
      <c r="B3214" s="8" t="str">
        <f>IFERROR(__xludf.DUMMYFUNCTION("REGEXREPLACE(A3214, ""[^0-9a-zA-Z .'Ã]"","""")"),"Cecil B. DeMille")</f>
        <v>Cecil B. DeMille</v>
      </c>
      <c r="C3214" s="26">
        <v>44.0</v>
      </c>
      <c r="D3214" s="27">
        <v>3.6E7</v>
      </c>
      <c r="E3214" s="26" t="s">
        <v>1578</v>
      </c>
      <c r="F3214" s="9">
        <f t="shared" si="1"/>
        <v>3</v>
      </c>
      <c r="G3214" s="26" t="s">
        <v>10104</v>
      </c>
      <c r="H3214" s="11" t="str">
        <f>IFERROR(__xludf.DUMMYFUNCTION("REGEXREPLACE(G3214, ""[^0-9a-zA-Z .'Ã]"","""")"),"Gloria Grahame")</f>
        <v>Gloria Grahame</v>
      </c>
      <c r="I3214" s="28" t="s">
        <v>10105</v>
      </c>
      <c r="J3214" s="26">
        <v>9456.0</v>
      </c>
      <c r="K3214" s="26" t="s">
        <v>10106</v>
      </c>
      <c r="L3214" s="26">
        <v>107.0</v>
      </c>
      <c r="M3214" s="26" t="s">
        <v>24</v>
      </c>
      <c r="N3214" s="26" t="s">
        <v>25</v>
      </c>
      <c r="O3214" s="27">
        <v>4000000.0</v>
      </c>
      <c r="P3214" s="10">
        <f t="shared" si="2"/>
        <v>32000000</v>
      </c>
      <c r="Q3214" s="12">
        <f t="shared" si="3"/>
        <v>0</v>
      </c>
      <c r="R3214" s="26">
        <v>1952.0</v>
      </c>
      <c r="S3214" s="26">
        <v>6.7</v>
      </c>
    </row>
    <row r="3215" ht="15.75" customHeight="1">
      <c r="A3215" s="21" t="s">
        <v>1282</v>
      </c>
      <c r="B3215" s="8" t="str">
        <f>IFERROR(__xludf.DUMMYFUNCTION("REGEXREPLACE(A3215, ""[^0-9a-zA-Z .'Ã]"","""")"),"George Lucas")</f>
        <v>George Lucas</v>
      </c>
      <c r="C3215" s="22">
        <v>100.0</v>
      </c>
      <c r="D3215" s="23">
        <v>1.15E8</v>
      </c>
      <c r="E3215" s="22" t="s">
        <v>462</v>
      </c>
      <c r="F3215" s="9">
        <f t="shared" si="1"/>
        <v>3</v>
      </c>
      <c r="G3215" s="22" t="s">
        <v>637</v>
      </c>
      <c r="H3215" s="11" t="str">
        <f>IFERROR(__xludf.DUMMYFUNCTION("REGEXREPLACE(G3215, ""[^0-9a-zA-Z .'Ã]"","""")"),"Harrison Ford")</f>
        <v>Harrison Ford</v>
      </c>
      <c r="I3215" s="24" t="s">
        <v>10107</v>
      </c>
      <c r="J3215" s="22">
        <v>63839.0</v>
      </c>
      <c r="K3215" s="22" t="s">
        <v>10108</v>
      </c>
      <c r="L3215" s="22">
        <v>238.0</v>
      </c>
      <c r="M3215" s="22" t="s">
        <v>24</v>
      </c>
      <c r="N3215" s="22" t="s">
        <v>25</v>
      </c>
      <c r="O3215" s="23">
        <v>777000.0</v>
      </c>
      <c r="P3215" s="10">
        <f t="shared" si="2"/>
        <v>114223000</v>
      </c>
      <c r="Q3215" s="12">
        <f t="shared" si="3"/>
        <v>0</v>
      </c>
      <c r="R3215" s="22">
        <v>1973.0</v>
      </c>
      <c r="S3215" s="22">
        <v>7.5</v>
      </c>
    </row>
    <row r="3216" ht="15.75" customHeight="1">
      <c r="A3216" s="29" t="s">
        <v>2477</v>
      </c>
      <c r="B3216" s="8" t="str">
        <f>IFERROR(__xludf.DUMMYFUNCTION("REGEXREPLACE(A3216, ""[^0-9a-zA-Z .'Ã]"","""")"),"Duncan Jones")</f>
        <v>Duncan Jones</v>
      </c>
      <c r="C3216" s="30">
        <v>522.0</v>
      </c>
      <c r="D3216" s="31">
        <v>5.4696902E7</v>
      </c>
      <c r="E3216" s="30" t="s">
        <v>5549</v>
      </c>
      <c r="F3216" s="9">
        <f t="shared" si="1"/>
        <v>3</v>
      </c>
      <c r="G3216" s="30" t="s">
        <v>2509</v>
      </c>
      <c r="H3216" s="11" t="str">
        <f>IFERROR(__xludf.DUMMYFUNCTION("REGEXREPLACE(G3216, ""[^0-9a-zA-Z .'Ã]"","""")"),"Jake Gyllenhaal")</f>
        <v>Jake Gyllenhaal</v>
      </c>
      <c r="I3216" s="32" t="s">
        <v>10109</v>
      </c>
      <c r="J3216" s="30">
        <v>379462.0</v>
      </c>
      <c r="K3216" s="30" t="s">
        <v>10110</v>
      </c>
      <c r="L3216" s="30">
        <v>571.0</v>
      </c>
      <c r="M3216" s="30" t="s">
        <v>24</v>
      </c>
      <c r="N3216" s="30" t="s">
        <v>25</v>
      </c>
      <c r="O3216" s="31">
        <v>3.2E7</v>
      </c>
      <c r="P3216" s="10">
        <f t="shared" si="2"/>
        <v>22696902</v>
      </c>
      <c r="Q3216" s="12">
        <f t="shared" si="3"/>
        <v>0</v>
      </c>
      <c r="R3216" s="30">
        <v>2011.0</v>
      </c>
      <c r="S3216" s="30">
        <v>7.5</v>
      </c>
    </row>
    <row r="3217" ht="15.75" customHeight="1">
      <c r="A3217" s="21" t="s">
        <v>1740</v>
      </c>
      <c r="B3217" s="8" t="str">
        <f>IFERROR(__xludf.DUMMYFUNCTION("REGEXREPLACE(A3217, ""[^0-9a-zA-Z .'Ã]"","""")"),"Woody Allen")</f>
        <v>Woody Allen</v>
      </c>
      <c r="C3217" s="22">
        <v>67.0</v>
      </c>
      <c r="D3217" s="23">
        <v>1.3383737E7</v>
      </c>
      <c r="E3217" s="22" t="s">
        <v>440</v>
      </c>
      <c r="F3217" s="9">
        <f t="shared" si="1"/>
        <v>2</v>
      </c>
      <c r="G3217" s="22" t="s">
        <v>1846</v>
      </c>
      <c r="H3217" s="11" t="str">
        <f>IFERROR(__xludf.DUMMYFUNCTION("REGEXREPLACE(G3217, ""[^0-9a-zA-Z .'Ã]"","""")"),"Jim Broadbent")</f>
        <v>Jim Broadbent</v>
      </c>
      <c r="I3217" s="24" t="s">
        <v>10111</v>
      </c>
      <c r="J3217" s="22">
        <v>29385.0</v>
      </c>
      <c r="K3217" s="22" t="s">
        <v>10112</v>
      </c>
      <c r="L3217" s="22">
        <v>86.0</v>
      </c>
      <c r="M3217" s="22" t="s">
        <v>24</v>
      </c>
      <c r="N3217" s="22" t="s">
        <v>25</v>
      </c>
      <c r="O3217" s="23">
        <v>2.0E7</v>
      </c>
      <c r="P3217" s="10">
        <f t="shared" si="2"/>
        <v>0</v>
      </c>
      <c r="Q3217" s="12">
        <f t="shared" si="3"/>
        <v>6616263</v>
      </c>
      <c r="R3217" s="22">
        <v>1994.0</v>
      </c>
      <c r="S3217" s="22">
        <v>7.5</v>
      </c>
    </row>
    <row r="3218" ht="15.75" customHeight="1">
      <c r="A3218" s="7" t="s">
        <v>10113</v>
      </c>
      <c r="B3218" s="8" t="str">
        <f>IFERROR(__xludf.DUMMYFUNCTION("REGEXREPLACE(A3218, ""[^0-9a-zA-Z .'Ã]"","""")"),"Paul King")</f>
        <v>Paul King</v>
      </c>
      <c r="C3218" s="9">
        <v>224.0</v>
      </c>
      <c r="D3218" s="10">
        <v>7.6137505E7</v>
      </c>
      <c r="E3218" s="9" t="s">
        <v>2756</v>
      </c>
      <c r="F3218" s="9">
        <f t="shared" si="1"/>
        <v>4</v>
      </c>
      <c r="G3218" s="9" t="s">
        <v>7306</v>
      </c>
      <c r="H3218" s="11" t="str">
        <f>IFERROR(__xludf.DUMMYFUNCTION("REGEXREPLACE(G3218, ""[^0-9a-zA-Z .'Ã]"","""")"),"Julie Walters")</f>
        <v>Julie Walters</v>
      </c>
      <c r="I3218" s="11" t="s">
        <v>10114</v>
      </c>
      <c r="J3218" s="9">
        <v>49207.0</v>
      </c>
      <c r="K3218" s="9" t="s">
        <v>10115</v>
      </c>
      <c r="L3218" s="9">
        <v>174.0</v>
      </c>
      <c r="M3218" s="9" t="s">
        <v>24</v>
      </c>
      <c r="N3218" s="9" t="s">
        <v>130</v>
      </c>
      <c r="O3218" s="10">
        <v>5.5E7</v>
      </c>
      <c r="P3218" s="10">
        <f t="shared" si="2"/>
        <v>21137505</v>
      </c>
      <c r="Q3218" s="12">
        <f t="shared" si="3"/>
        <v>0</v>
      </c>
      <c r="R3218" s="9">
        <v>2014.0</v>
      </c>
      <c r="S3218" s="9">
        <v>7.2</v>
      </c>
    </row>
    <row r="3219" ht="15.75" customHeight="1">
      <c r="A3219" s="21" t="s">
        <v>10116</v>
      </c>
      <c r="B3219" s="8" t="str">
        <f>IFERROR(__xludf.DUMMYFUNCTION("REGEXREPLACE(A3219, ""[^0-9a-zA-Z .'Ã]"","""")"),"Ole Christian Madsen")</f>
        <v>Ole Christian Madsen</v>
      </c>
      <c r="C3219" s="22">
        <v>80.0</v>
      </c>
      <c r="D3219" s="23">
        <v>145109.0</v>
      </c>
      <c r="E3219" s="22" t="s">
        <v>5461</v>
      </c>
      <c r="F3219" s="9">
        <f t="shared" si="1"/>
        <v>4</v>
      </c>
      <c r="G3219" s="22" t="s">
        <v>10117</v>
      </c>
      <c r="H3219" s="11" t="str">
        <f>IFERROR(__xludf.DUMMYFUNCTION("REGEXREPLACE(G3219, ""[^0-9a-zA-Z .'Ã]"","""")"),"Lars Mikkelsen")</f>
        <v>Lars Mikkelsen</v>
      </c>
      <c r="I3219" s="24" t="s">
        <v>10118</v>
      </c>
      <c r="J3219" s="22">
        <v>14247.0</v>
      </c>
      <c r="K3219" s="22" t="s">
        <v>10119</v>
      </c>
      <c r="L3219" s="22">
        <v>44.0</v>
      </c>
      <c r="M3219" s="22" t="s">
        <v>4252</v>
      </c>
      <c r="N3219" s="22" t="s">
        <v>4016</v>
      </c>
      <c r="O3219" s="23">
        <v>4.5E7</v>
      </c>
      <c r="P3219" s="10">
        <f t="shared" si="2"/>
        <v>0</v>
      </c>
      <c r="Q3219" s="12">
        <f t="shared" si="3"/>
        <v>44854891</v>
      </c>
      <c r="R3219" s="22">
        <v>2008.0</v>
      </c>
      <c r="S3219" s="22">
        <v>7.3</v>
      </c>
    </row>
    <row r="3220" ht="15.75" customHeight="1">
      <c r="A3220" s="7" t="s">
        <v>7703</v>
      </c>
      <c r="B3220" s="8" t="str">
        <f>IFERROR(__xludf.DUMMYFUNCTION("REGEXREPLACE(A3220, ""[^0-9a-zA-Z .'Ã]"","""")"),"Elizabeth Allen Rosenbaum")</f>
        <v>Elizabeth Allen Rosenbaum</v>
      </c>
      <c r="C3220" s="9">
        <v>81.0</v>
      </c>
      <c r="D3220" s="10">
        <v>2.6161406E7</v>
      </c>
      <c r="E3220" s="9" t="s">
        <v>1874</v>
      </c>
      <c r="F3220" s="9">
        <f t="shared" si="1"/>
        <v>4</v>
      </c>
      <c r="G3220" s="9" t="s">
        <v>10120</v>
      </c>
      <c r="H3220" s="11" t="str">
        <f>IFERROR(__xludf.DUMMYFUNCTION("REGEXREPLACE(G3220, ""[^0-9a-zA-Z .'Ã]"","""")"),"Sierra McCormick")</f>
        <v>Sierra McCormick</v>
      </c>
      <c r="I3220" s="11" t="s">
        <v>10121</v>
      </c>
      <c r="J3220" s="9">
        <v>13874.0</v>
      </c>
      <c r="K3220" s="9" t="s">
        <v>10122</v>
      </c>
      <c r="L3220" s="9">
        <v>52.0</v>
      </c>
      <c r="M3220" s="9" t="s">
        <v>24</v>
      </c>
      <c r="N3220" s="9" t="s">
        <v>25</v>
      </c>
      <c r="O3220" s="10">
        <v>1.5E7</v>
      </c>
      <c r="P3220" s="10">
        <f t="shared" si="2"/>
        <v>11161406</v>
      </c>
      <c r="Q3220" s="12">
        <f t="shared" si="3"/>
        <v>0</v>
      </c>
      <c r="R3220" s="9">
        <v>2010.0</v>
      </c>
      <c r="S3220" s="9">
        <v>6.7</v>
      </c>
    </row>
    <row r="3221" ht="15.75" customHeight="1">
      <c r="A3221" s="7" t="s">
        <v>860</v>
      </c>
      <c r="B3221" s="8" t="str">
        <f>IFERROR(__xludf.DUMMYFUNCTION("REGEXREPLACE(A3221, ""[^0-9a-zA-Z .'Ã]"","""")"),"Michael Bay")</f>
        <v>Michael Bay</v>
      </c>
      <c r="C3221" s="9">
        <v>94.0</v>
      </c>
      <c r="D3221" s="10">
        <v>1.38396624E8</v>
      </c>
      <c r="E3221" s="9" t="s">
        <v>790</v>
      </c>
      <c r="F3221" s="9">
        <f t="shared" si="1"/>
        <v>4</v>
      </c>
      <c r="G3221" s="9" t="s">
        <v>2717</v>
      </c>
      <c r="H3221" s="11" t="str">
        <f>IFERROR(__xludf.DUMMYFUNCTION("REGEXREPLACE(G3221, ""[^0-9a-zA-Z .'Ã]"","""")"),"Will Smith")</f>
        <v>Will Smith</v>
      </c>
      <c r="I3221" s="11" t="s">
        <v>10123</v>
      </c>
      <c r="J3221" s="9">
        <v>178126.0</v>
      </c>
      <c r="K3221" s="9" t="s">
        <v>10124</v>
      </c>
      <c r="L3221" s="9">
        <v>511.0</v>
      </c>
      <c r="M3221" s="9" t="s">
        <v>24</v>
      </c>
      <c r="N3221" s="9" t="s">
        <v>25</v>
      </c>
      <c r="O3221" s="10">
        <v>1.3E8</v>
      </c>
      <c r="P3221" s="10">
        <f t="shared" si="2"/>
        <v>8396624</v>
      </c>
      <c r="Q3221" s="12">
        <f t="shared" si="3"/>
        <v>0</v>
      </c>
      <c r="R3221" s="9">
        <v>2003.0</v>
      </c>
      <c r="S3221" s="9">
        <v>6.6</v>
      </c>
    </row>
    <row r="3222" ht="15.75" customHeight="1">
      <c r="A3222" s="21" t="s">
        <v>3977</v>
      </c>
      <c r="B3222" s="8" t="str">
        <f>IFERROR(__xludf.DUMMYFUNCTION("REGEXREPLACE(A3222, ""[^0-9a-zA-Z .'Ã]"","""")"),"David Lean")</f>
        <v>David Lean</v>
      </c>
      <c r="C3222" s="22">
        <v>89.0</v>
      </c>
      <c r="D3222" s="23">
        <v>1.11722E8</v>
      </c>
      <c r="E3222" s="22" t="s">
        <v>3427</v>
      </c>
      <c r="F3222" s="9">
        <f t="shared" si="1"/>
        <v>3</v>
      </c>
      <c r="G3222" s="22" t="s">
        <v>10044</v>
      </c>
      <c r="H3222" s="11" t="str">
        <f>IFERROR(__xludf.DUMMYFUNCTION("REGEXREPLACE(G3222, ""[^0-9a-zA-Z .'Ã]"","""")"),"Julie Christie")</f>
        <v>Julie Christie</v>
      </c>
      <c r="I3222" s="24" t="s">
        <v>10125</v>
      </c>
      <c r="J3222" s="22">
        <v>55816.0</v>
      </c>
      <c r="K3222" s="22" t="s">
        <v>10126</v>
      </c>
      <c r="L3222" s="22">
        <v>255.0</v>
      </c>
      <c r="M3222" s="22" t="s">
        <v>24</v>
      </c>
      <c r="N3222" s="22" t="s">
        <v>25</v>
      </c>
      <c r="O3222" s="23">
        <v>1.1E7</v>
      </c>
      <c r="P3222" s="10">
        <f t="shared" si="2"/>
        <v>100722000</v>
      </c>
      <c r="Q3222" s="12">
        <f t="shared" si="3"/>
        <v>0</v>
      </c>
      <c r="R3222" s="22">
        <v>1965.0</v>
      </c>
      <c r="S3222" s="22">
        <v>8.0</v>
      </c>
    </row>
    <row r="3223" ht="15.75" customHeight="1">
      <c r="A3223" s="7" t="s">
        <v>2409</v>
      </c>
      <c r="B3223" s="8" t="str">
        <f>IFERROR(__xludf.DUMMYFUNCTION("REGEXREPLACE(A3223, ""[^0-9a-zA-Z .'Ã]"","""")"),"Stephen Frears")</f>
        <v>Stephen Frears</v>
      </c>
      <c r="C3223" s="9">
        <v>137.0</v>
      </c>
      <c r="D3223" s="10">
        <v>1.1034436E7</v>
      </c>
      <c r="E3223" s="9" t="s">
        <v>10127</v>
      </c>
      <c r="F3223" s="9">
        <f t="shared" si="1"/>
        <v>4</v>
      </c>
      <c r="G3223" s="9" t="s">
        <v>597</v>
      </c>
      <c r="H3223" s="11" t="str">
        <f>IFERROR(__xludf.DUMMYFUNCTION("REGEXREPLACE(G3223, ""[^0-9a-zA-Z .'Ã]"","""")"),"Bob Hoskins")</f>
        <v>Bob Hoskins</v>
      </c>
      <c r="I3223" s="11" t="s">
        <v>10128</v>
      </c>
      <c r="J3223" s="9">
        <v>13505.0</v>
      </c>
      <c r="K3223" s="9" t="s">
        <v>10129</v>
      </c>
      <c r="L3223" s="9">
        <v>180.0</v>
      </c>
      <c r="M3223" s="9" t="s">
        <v>24</v>
      </c>
      <c r="N3223" s="9" t="s">
        <v>130</v>
      </c>
      <c r="O3223" s="10">
        <v>2.0E7</v>
      </c>
      <c r="P3223" s="10">
        <f t="shared" si="2"/>
        <v>0</v>
      </c>
      <c r="Q3223" s="12">
        <f t="shared" si="3"/>
        <v>8965564</v>
      </c>
      <c r="R3223" s="9">
        <v>2005.0</v>
      </c>
      <c r="S3223" s="9">
        <v>7.1</v>
      </c>
    </row>
    <row r="3224" ht="15.75" customHeight="1">
      <c r="A3224" s="21" t="s">
        <v>10130</v>
      </c>
      <c r="B3224" s="8" t="str">
        <f>IFERROR(__xludf.DUMMYFUNCTION("REGEXREPLACE(A3224, ""[^0-9a-zA-Z .'Ã]"","""")"),"Teddy Chan")</f>
        <v>Teddy Chan</v>
      </c>
      <c r="C3224" s="22">
        <v>65.0</v>
      </c>
      <c r="D3224" s="23">
        <v>129115.0</v>
      </c>
      <c r="E3224" s="22" t="s">
        <v>208</v>
      </c>
      <c r="F3224" s="9">
        <f t="shared" si="1"/>
        <v>2</v>
      </c>
      <c r="G3224" s="22" t="s">
        <v>10131</v>
      </c>
      <c r="H3224" s="11" t="str">
        <f>IFERROR(__xludf.DUMMYFUNCTION("REGEXREPLACE(G3224, ""[^0-9a-zA-Z .'Ã]"","""")"),"SiuWong Fan")</f>
        <v>SiuWong Fan</v>
      </c>
      <c r="I3224" s="24" t="s">
        <v>10132</v>
      </c>
      <c r="J3224" s="22">
        <v>5900.0</v>
      </c>
      <c r="K3224" s="22" t="s">
        <v>10133</v>
      </c>
      <c r="L3224" s="22">
        <v>26.0</v>
      </c>
      <c r="M3224" s="22" t="s">
        <v>156</v>
      </c>
      <c r="N3224" s="22" t="s">
        <v>217</v>
      </c>
      <c r="O3224" s="23">
        <v>2.5E7</v>
      </c>
      <c r="P3224" s="10">
        <f t="shared" si="2"/>
        <v>0</v>
      </c>
      <c r="Q3224" s="12">
        <f t="shared" si="3"/>
        <v>24870885</v>
      </c>
      <c r="R3224" s="22">
        <v>2014.0</v>
      </c>
      <c r="S3224" s="22">
        <v>6.5</v>
      </c>
    </row>
    <row r="3225" ht="15.75" customHeight="1">
      <c r="A3225" s="17" t="s">
        <v>4253</v>
      </c>
      <c r="B3225" s="8" t="str">
        <f>IFERROR(__xludf.DUMMYFUNCTION("REGEXREPLACE(A3225, ""[^0-9a-zA-Z .'Ã]"","""")"),"Peter Berg")</f>
        <v>Peter Berg</v>
      </c>
      <c r="C3225" s="18">
        <v>100.0</v>
      </c>
      <c r="D3225" s="19">
        <v>9801782.0</v>
      </c>
      <c r="E3225" s="18" t="s">
        <v>589</v>
      </c>
      <c r="F3225" s="9">
        <f t="shared" si="1"/>
        <v>3</v>
      </c>
      <c r="G3225" s="18" t="s">
        <v>505</v>
      </c>
      <c r="H3225" s="11" t="str">
        <f>IFERROR(__xludf.DUMMYFUNCTION("REGEXREPLACE(G3225, ""[^0-9a-zA-Z .'Ã]"","""")"),"Jon Favreau")</f>
        <v>Jon Favreau</v>
      </c>
      <c r="I3225" s="20" t="s">
        <v>10134</v>
      </c>
      <c r="J3225" s="18">
        <v>39331.0</v>
      </c>
      <c r="K3225" s="18" t="s">
        <v>10135</v>
      </c>
      <c r="L3225" s="18">
        <v>481.0</v>
      </c>
      <c r="M3225" s="18" t="s">
        <v>24</v>
      </c>
      <c r="N3225" s="18" t="s">
        <v>25</v>
      </c>
      <c r="O3225" s="19">
        <v>1.0E7</v>
      </c>
      <c r="P3225" s="10">
        <f t="shared" si="2"/>
        <v>0</v>
      </c>
      <c r="Q3225" s="12">
        <f t="shared" si="3"/>
        <v>198218</v>
      </c>
      <c r="R3225" s="18">
        <v>1998.0</v>
      </c>
      <c r="S3225" s="18">
        <v>6.3</v>
      </c>
    </row>
    <row r="3226" ht="15.75" customHeight="1">
      <c r="A3226" s="21" t="s">
        <v>4336</v>
      </c>
      <c r="B3226" s="8" t="str">
        <f>IFERROR(__xludf.DUMMYFUNCTION("REGEXREPLACE(A3226, ""[^0-9a-zA-Z .'Ã]"","""")"),"Geoffrey Sax")</f>
        <v>Geoffrey Sax</v>
      </c>
      <c r="C3226" s="22">
        <v>173.0</v>
      </c>
      <c r="D3226" s="23">
        <v>5.5865715E7</v>
      </c>
      <c r="E3226" s="22" t="s">
        <v>2384</v>
      </c>
      <c r="F3226" s="9">
        <f t="shared" si="1"/>
        <v>4</v>
      </c>
      <c r="G3226" s="22" t="s">
        <v>9149</v>
      </c>
      <c r="H3226" s="11" t="str">
        <f>IFERROR(__xludf.DUMMYFUNCTION("REGEXREPLACE(G3226, ""[^0-9a-zA-Z .'Ã]"","""")"),"Deborah Kara Unger")</f>
        <v>Deborah Kara Unger</v>
      </c>
      <c r="I3226" s="24" t="s">
        <v>10136</v>
      </c>
      <c r="J3226" s="22">
        <v>41763.0</v>
      </c>
      <c r="K3226" s="22" t="s">
        <v>10137</v>
      </c>
      <c r="L3226" s="22">
        <v>403.0</v>
      </c>
      <c r="M3226" s="22" t="s">
        <v>24</v>
      </c>
      <c r="N3226" s="22" t="s">
        <v>130</v>
      </c>
      <c r="O3226" s="23">
        <v>1.0E7</v>
      </c>
      <c r="P3226" s="10">
        <f t="shared" si="2"/>
        <v>45865715</v>
      </c>
      <c r="Q3226" s="12">
        <f t="shared" si="3"/>
        <v>0</v>
      </c>
      <c r="R3226" s="22">
        <v>2005.0</v>
      </c>
      <c r="S3226" s="22">
        <v>5.5</v>
      </c>
    </row>
    <row r="3227" ht="15.75" customHeight="1">
      <c r="A3227" s="25" t="s">
        <v>68</v>
      </c>
      <c r="B3227" s="8" t="str">
        <f>IFERROR(__xludf.DUMMYFUNCTION("REGEXREPLACE(A3227, ""[^0-9a-zA-Z .'Ã]"","""")"),"Spike Lee")</f>
        <v>Spike Lee</v>
      </c>
      <c r="C3227" s="26">
        <v>158.0</v>
      </c>
      <c r="D3227" s="27">
        <v>7916887.0</v>
      </c>
      <c r="E3227" s="26" t="s">
        <v>10138</v>
      </c>
      <c r="F3227" s="9">
        <f t="shared" si="1"/>
        <v>5</v>
      </c>
      <c r="G3227" s="26" t="s">
        <v>764</v>
      </c>
      <c r="H3227" s="11" t="str">
        <f>IFERROR(__xludf.DUMMYFUNCTION("REGEXREPLACE(G3227, ""[^0-9a-zA-Z .'Ã]"","""")"),"Joseph GordonLevitt")</f>
        <v>Joseph GordonLevitt</v>
      </c>
      <c r="I3227" s="28" t="s">
        <v>10139</v>
      </c>
      <c r="J3227" s="26">
        <v>15697.0</v>
      </c>
      <c r="K3227" s="26" t="s">
        <v>10140</v>
      </c>
      <c r="L3227" s="26">
        <v>182.0</v>
      </c>
      <c r="M3227" s="26" t="s">
        <v>24</v>
      </c>
      <c r="N3227" s="26" t="s">
        <v>25</v>
      </c>
      <c r="O3227" s="27">
        <v>4.5E7</v>
      </c>
      <c r="P3227" s="10">
        <f t="shared" si="2"/>
        <v>0</v>
      </c>
      <c r="Q3227" s="12">
        <f t="shared" si="3"/>
        <v>37083113</v>
      </c>
      <c r="R3227" s="26">
        <v>2008.0</v>
      </c>
      <c r="S3227" s="26">
        <v>6.0</v>
      </c>
    </row>
    <row r="3228" ht="15.75" customHeight="1">
      <c r="A3228" s="29" t="s">
        <v>2059</v>
      </c>
      <c r="B3228" s="8" t="str">
        <f>IFERROR(__xludf.DUMMYFUNCTION("REGEXREPLACE(A3228, ""[^0-9a-zA-Z .'Ã]"","""")"),"John Pasquin")</f>
        <v>John Pasquin</v>
      </c>
      <c r="C3228" s="30">
        <v>111.0</v>
      </c>
      <c r="D3228" s="31">
        <v>4.8472213E7</v>
      </c>
      <c r="E3228" s="30" t="s">
        <v>265</v>
      </c>
      <c r="F3228" s="9">
        <f t="shared" si="1"/>
        <v>3</v>
      </c>
      <c r="G3228" s="30" t="s">
        <v>2051</v>
      </c>
      <c r="H3228" s="11" t="str">
        <f>IFERROR(__xludf.DUMMYFUNCTION("REGEXREPLACE(G3228, ""[^0-9a-zA-Z .'Ã]"","""")"),"Eileen Brennan")</f>
        <v>Eileen Brennan</v>
      </c>
      <c r="I3228" s="32" t="s">
        <v>10141</v>
      </c>
      <c r="J3228" s="30">
        <v>51252.0</v>
      </c>
      <c r="K3228" s="30" t="s">
        <v>10142</v>
      </c>
      <c r="L3228" s="30">
        <v>156.0</v>
      </c>
      <c r="M3228" s="30" t="s">
        <v>24</v>
      </c>
      <c r="N3228" s="30" t="s">
        <v>25</v>
      </c>
      <c r="O3228" s="31">
        <v>4.5E7</v>
      </c>
      <c r="P3228" s="10">
        <f t="shared" si="2"/>
        <v>3472213</v>
      </c>
      <c r="Q3228" s="12">
        <f t="shared" si="3"/>
        <v>0</v>
      </c>
      <c r="R3228" s="30">
        <v>2005.0</v>
      </c>
      <c r="S3228" s="30">
        <v>5.0</v>
      </c>
    </row>
    <row r="3229" ht="15.75" customHeight="1">
      <c r="A3229" s="25" t="s">
        <v>3488</v>
      </c>
      <c r="B3229" s="8" t="str">
        <f>IFERROR(__xludf.DUMMYFUNCTION("REGEXREPLACE(A3229, ""[^0-9a-zA-Z .'Ã]"","""")"),"Takashi Shimizu")</f>
        <v>Takashi Shimizu</v>
      </c>
      <c r="C3229" s="26">
        <v>131.0</v>
      </c>
      <c r="D3229" s="27">
        <v>3.9143839E7</v>
      </c>
      <c r="E3229" s="26" t="s">
        <v>306</v>
      </c>
      <c r="F3229" s="9">
        <f t="shared" si="1"/>
        <v>2</v>
      </c>
      <c r="G3229" s="26" t="s">
        <v>3489</v>
      </c>
      <c r="H3229" s="11" t="str">
        <f>IFERROR(__xludf.DUMMYFUNCTION("REGEXREPLACE(G3229, ""[^0-9a-zA-Z .'Ã]"","""")"),"Sarah Michelle Gellar")</f>
        <v>Sarah Michelle Gellar</v>
      </c>
      <c r="I3229" s="28" t="s">
        <v>10143</v>
      </c>
      <c r="J3229" s="26">
        <v>38658.0</v>
      </c>
      <c r="K3229" s="26" t="s">
        <v>10144</v>
      </c>
      <c r="L3229" s="26">
        <v>284.0</v>
      </c>
      <c r="M3229" s="26" t="s">
        <v>24</v>
      </c>
      <c r="N3229" s="26" t="s">
        <v>25</v>
      </c>
      <c r="O3229" s="27">
        <v>2.0E7</v>
      </c>
      <c r="P3229" s="10">
        <f t="shared" si="2"/>
        <v>19143839</v>
      </c>
      <c r="Q3229" s="12">
        <f t="shared" si="3"/>
        <v>0</v>
      </c>
      <c r="R3229" s="26">
        <v>2006.0</v>
      </c>
      <c r="S3229" s="26">
        <v>5.0</v>
      </c>
    </row>
    <row r="3230" ht="15.75" customHeight="1">
      <c r="A3230" s="7" t="s">
        <v>255</v>
      </c>
      <c r="B3230" s="8" t="str">
        <f>IFERROR(__xludf.DUMMYFUNCTION("REGEXREPLACE(A3230, ""[^0-9a-zA-Z .'Ã]"","""")"),"Eric Darnell")</f>
        <v>Eric Darnell</v>
      </c>
      <c r="C3230" s="9">
        <v>131.0</v>
      </c>
      <c r="D3230" s="10">
        <v>9.0646554E7</v>
      </c>
      <c r="E3230" s="9" t="s">
        <v>1813</v>
      </c>
      <c r="F3230" s="9">
        <f t="shared" si="1"/>
        <v>4</v>
      </c>
      <c r="G3230" s="9" t="s">
        <v>2532</v>
      </c>
      <c r="H3230" s="11" t="str">
        <f>IFERROR(__xludf.DUMMYFUNCTION("REGEXREPLACE(G3230, ""[^0-9a-zA-Z .'Ã]"","""")"),"Sylvester Stallone")</f>
        <v>Sylvester Stallone</v>
      </c>
      <c r="I3230" s="11" t="s">
        <v>10145</v>
      </c>
      <c r="J3230" s="9">
        <v>124641.0</v>
      </c>
      <c r="K3230" s="9" t="s">
        <v>10146</v>
      </c>
      <c r="L3230" s="9">
        <v>289.0</v>
      </c>
      <c r="M3230" s="9" t="s">
        <v>24</v>
      </c>
      <c r="N3230" s="9" t="s">
        <v>25</v>
      </c>
      <c r="O3230" s="10">
        <v>1.05E8</v>
      </c>
      <c r="P3230" s="10">
        <f t="shared" si="2"/>
        <v>0</v>
      </c>
      <c r="Q3230" s="12">
        <f t="shared" si="3"/>
        <v>14353446</v>
      </c>
      <c r="R3230" s="9">
        <v>1998.0</v>
      </c>
      <c r="S3230" s="9">
        <v>6.6</v>
      </c>
    </row>
    <row r="3231" ht="15.75" customHeight="1">
      <c r="A3231" s="7" t="s">
        <v>10147</v>
      </c>
      <c r="B3231" s="8" t="str">
        <f>IFERROR(__xludf.DUMMYFUNCTION("REGEXREPLACE(A3231, ""[^0-9a-zA-Z .'Ã]"","""")"),"Harry Beaumont")</f>
        <v>Harry Beaumont</v>
      </c>
      <c r="C3231" s="9">
        <v>36.0</v>
      </c>
      <c r="D3231" s="10">
        <v>2808000.0</v>
      </c>
      <c r="E3231" s="9" t="s">
        <v>6146</v>
      </c>
      <c r="F3231" s="9">
        <f t="shared" si="1"/>
        <v>2</v>
      </c>
      <c r="G3231" s="9" t="s">
        <v>10148</v>
      </c>
      <c r="H3231" s="11" t="str">
        <f>IFERROR(__xludf.DUMMYFUNCTION("REGEXREPLACE(G3231, ""[^0-9a-zA-Z .'Ã]"","""")"),"Anita Page")</f>
        <v>Anita Page</v>
      </c>
      <c r="I3231" s="11" t="s">
        <v>10149</v>
      </c>
      <c r="J3231" s="9">
        <v>4546.0</v>
      </c>
      <c r="K3231" s="9" t="s">
        <v>10150</v>
      </c>
      <c r="L3231" s="9">
        <v>71.0</v>
      </c>
      <c r="M3231" s="9" t="s">
        <v>24</v>
      </c>
      <c r="N3231" s="9" t="s">
        <v>25</v>
      </c>
      <c r="O3231" s="10">
        <v>379000.0</v>
      </c>
      <c r="P3231" s="10">
        <f t="shared" si="2"/>
        <v>2429000</v>
      </c>
      <c r="Q3231" s="12">
        <f t="shared" si="3"/>
        <v>0</v>
      </c>
      <c r="R3231" s="9">
        <v>1929.0</v>
      </c>
      <c r="S3231" s="9">
        <v>6.3</v>
      </c>
    </row>
    <row r="3232" ht="15.75" customHeight="1">
      <c r="A3232" s="17" t="s">
        <v>1314</v>
      </c>
      <c r="B3232" s="8" t="str">
        <f>IFERROR(__xludf.DUMMYFUNCTION("REGEXREPLACE(A3232, ""[^0-9a-zA-Z .'Ã]"","""")"),"Bryan Singer")</f>
        <v>Bryan Singer</v>
      </c>
      <c r="C3232" s="18">
        <v>269.0</v>
      </c>
      <c r="D3232" s="19">
        <v>8.307747E7</v>
      </c>
      <c r="E3232" s="18" t="s">
        <v>5461</v>
      </c>
      <c r="F3232" s="9">
        <f t="shared" si="1"/>
        <v>4</v>
      </c>
      <c r="G3232" s="18" t="s">
        <v>220</v>
      </c>
      <c r="H3232" s="11" t="str">
        <f>IFERROR(__xludf.DUMMYFUNCTION("REGEXREPLACE(G3232, ""[^0-9a-zA-Z .'Ã]"","""")"),"Tom Cruise")</f>
        <v>Tom Cruise</v>
      </c>
      <c r="I3232" s="20" t="s">
        <v>10151</v>
      </c>
      <c r="J3232" s="18">
        <v>183247.0</v>
      </c>
      <c r="K3232" s="18" t="s">
        <v>10152</v>
      </c>
      <c r="L3232" s="18">
        <v>440.0</v>
      </c>
      <c r="M3232" s="18" t="s">
        <v>24</v>
      </c>
      <c r="N3232" s="18" t="s">
        <v>25</v>
      </c>
      <c r="O3232" s="19">
        <v>7.5E7</v>
      </c>
      <c r="P3232" s="10">
        <f t="shared" si="2"/>
        <v>8077470</v>
      </c>
      <c r="Q3232" s="12">
        <f t="shared" si="3"/>
        <v>0</v>
      </c>
      <c r="R3232" s="18">
        <v>2008.0</v>
      </c>
      <c r="S3232" s="18">
        <v>7.1</v>
      </c>
    </row>
    <row r="3233" ht="15.75" customHeight="1">
      <c r="A3233" s="13" t="s">
        <v>10153</v>
      </c>
      <c r="B3233" s="8" t="str">
        <f>IFERROR(__xludf.DUMMYFUNCTION("REGEXREPLACE(A3233, ""[^0-9a-zA-Z .'Ã]"","""")"),"Tamara Jenkins")</f>
        <v>Tamara Jenkins</v>
      </c>
      <c r="C3233" s="14">
        <v>60.0</v>
      </c>
      <c r="D3233" s="15">
        <v>5480318.0</v>
      </c>
      <c r="E3233" s="14" t="s">
        <v>454</v>
      </c>
      <c r="F3233" s="9">
        <f t="shared" si="1"/>
        <v>2</v>
      </c>
      <c r="G3233" s="14" t="s">
        <v>8102</v>
      </c>
      <c r="H3233" s="11" t="str">
        <f>IFERROR(__xludf.DUMMYFUNCTION("REGEXREPLACE(G3233, ""[^0-9a-zA-Z .'Ã]"","""")"),"Natasha Lyonne")</f>
        <v>Natasha Lyonne</v>
      </c>
      <c r="I3233" s="16" t="s">
        <v>10154</v>
      </c>
      <c r="J3233" s="14">
        <v>9427.0</v>
      </c>
      <c r="K3233" s="14" t="s">
        <v>10155</v>
      </c>
      <c r="L3233" s="14">
        <v>79.0</v>
      </c>
      <c r="M3233" s="14" t="s">
        <v>24</v>
      </c>
      <c r="N3233" s="14" t="s">
        <v>25</v>
      </c>
      <c r="O3233" s="15">
        <v>5000000.0</v>
      </c>
      <c r="P3233" s="10">
        <f t="shared" si="2"/>
        <v>480318</v>
      </c>
      <c r="Q3233" s="12">
        <f t="shared" si="3"/>
        <v>0</v>
      </c>
      <c r="R3233" s="14">
        <v>1998.0</v>
      </c>
      <c r="S3233" s="14">
        <v>6.6</v>
      </c>
    </row>
    <row r="3234" ht="15.75" customHeight="1">
      <c r="A3234" s="7" t="s">
        <v>1291</v>
      </c>
      <c r="B3234" s="8" t="str">
        <f>IFERROR(__xludf.DUMMYFUNCTION("REGEXREPLACE(A3234, ""[^0-9a-zA-Z .'Ã]"","""")"),"John Whitesell")</f>
        <v>John Whitesell</v>
      </c>
      <c r="C3234" s="9">
        <v>65.0</v>
      </c>
      <c r="D3234" s="10">
        <v>7.0163652E7</v>
      </c>
      <c r="E3234" s="9" t="s">
        <v>440</v>
      </c>
      <c r="F3234" s="9">
        <f t="shared" si="1"/>
        <v>2</v>
      </c>
      <c r="G3234" s="9" t="s">
        <v>2259</v>
      </c>
      <c r="H3234" s="11" t="str">
        <f>IFERROR(__xludf.DUMMYFUNCTION("REGEXREPLACE(G3234, ""[^0-9a-zA-Z .'Ã]"","""")"),"ChloÃ Grace Moretz")</f>
        <v>ChloÃ Grace Moretz</v>
      </c>
      <c r="I3234" s="11" t="s">
        <v>10156</v>
      </c>
      <c r="J3234" s="9">
        <v>31968.0</v>
      </c>
      <c r="K3234" s="9" t="s">
        <v>10157</v>
      </c>
      <c r="L3234" s="9">
        <v>82.0</v>
      </c>
      <c r="M3234" s="9" t="s">
        <v>24</v>
      </c>
      <c r="N3234" s="9" t="s">
        <v>25</v>
      </c>
      <c r="O3234" s="10">
        <v>4.0E7</v>
      </c>
      <c r="P3234" s="10">
        <f t="shared" si="2"/>
        <v>30163652</v>
      </c>
      <c r="Q3234" s="12">
        <f t="shared" si="3"/>
        <v>0</v>
      </c>
      <c r="R3234" s="9">
        <v>2006.0</v>
      </c>
      <c r="S3234" s="9">
        <v>4.6</v>
      </c>
    </row>
    <row r="3235" ht="15.75" customHeight="1">
      <c r="A3235" s="17" t="s">
        <v>7871</v>
      </c>
      <c r="B3235" s="8" t="str">
        <f>IFERROR(__xludf.DUMMYFUNCTION("REGEXREPLACE(A3235, ""[^0-9a-zA-Z .'Ã]"","""")"),"Alan Parker")</f>
        <v>Alan Parker</v>
      </c>
      <c r="C3235" s="18">
        <v>141.0</v>
      </c>
      <c r="D3235" s="19">
        <v>1.959374E7</v>
      </c>
      <c r="E3235" s="18" t="s">
        <v>113</v>
      </c>
      <c r="F3235" s="9">
        <f t="shared" si="1"/>
        <v>3</v>
      </c>
      <c r="G3235" s="18" t="s">
        <v>483</v>
      </c>
      <c r="H3235" s="11" t="str">
        <f>IFERROR(__xludf.DUMMYFUNCTION("REGEXREPLACE(G3235, ""[^0-9a-zA-Z .'Ã]"","""")"),"Kevin Spacey")</f>
        <v>Kevin Spacey</v>
      </c>
      <c r="I3235" s="20" t="s">
        <v>10158</v>
      </c>
      <c r="J3235" s="18">
        <v>88270.0</v>
      </c>
      <c r="K3235" s="18" t="s">
        <v>10159</v>
      </c>
      <c r="L3235" s="18">
        <v>420.0</v>
      </c>
      <c r="M3235" s="18" t="s">
        <v>24</v>
      </c>
      <c r="N3235" s="18" t="s">
        <v>25</v>
      </c>
      <c r="O3235" s="19">
        <v>5.0E7</v>
      </c>
      <c r="P3235" s="10">
        <f t="shared" si="2"/>
        <v>0</v>
      </c>
      <c r="Q3235" s="12">
        <f t="shared" si="3"/>
        <v>30406260</v>
      </c>
      <c r="R3235" s="18">
        <v>2003.0</v>
      </c>
      <c r="S3235" s="18">
        <v>7.5</v>
      </c>
    </row>
    <row r="3236" ht="15.75" customHeight="1">
      <c r="A3236" s="29" t="s">
        <v>1187</v>
      </c>
      <c r="B3236" s="8" t="str">
        <f>IFERROR(__xludf.DUMMYFUNCTION("REGEXREPLACE(A3236, ""[^0-9a-zA-Z .'Ã]"","""")"),"Ang Lee")</f>
        <v>Ang Lee</v>
      </c>
      <c r="C3236" s="30">
        <v>552.0</v>
      </c>
      <c r="D3236" s="31">
        <v>1.24976634E8</v>
      </c>
      <c r="E3236" s="30" t="s">
        <v>748</v>
      </c>
      <c r="F3236" s="9">
        <f t="shared" si="1"/>
        <v>3</v>
      </c>
      <c r="G3236" s="30" t="s">
        <v>10160</v>
      </c>
      <c r="H3236" s="11" t="str">
        <f>IFERROR(__xludf.DUMMYFUNCTION("REGEXREPLACE(G3236, ""[^0-9a-zA-Z .'Ã]"","""")"),"Suraj Sharma")</f>
        <v>Suraj Sharma</v>
      </c>
      <c r="I3236" s="32" t="s">
        <v>10161</v>
      </c>
      <c r="J3236" s="30">
        <v>440084.0</v>
      </c>
      <c r="K3236" s="30" t="s">
        <v>10162</v>
      </c>
      <c r="L3236" s="30">
        <v>755.0</v>
      </c>
      <c r="M3236" s="30" t="s">
        <v>24</v>
      </c>
      <c r="N3236" s="30" t="s">
        <v>25</v>
      </c>
      <c r="O3236" s="31">
        <v>1.2E8</v>
      </c>
      <c r="P3236" s="10">
        <f t="shared" si="2"/>
        <v>4976634</v>
      </c>
      <c r="Q3236" s="12">
        <f t="shared" si="3"/>
        <v>0</v>
      </c>
      <c r="R3236" s="30">
        <v>2012.0</v>
      </c>
      <c r="S3236" s="30">
        <v>8.0</v>
      </c>
    </row>
    <row r="3237" ht="15.75" customHeight="1">
      <c r="A3237" s="21" t="s">
        <v>10163</v>
      </c>
      <c r="B3237" s="8" t="str">
        <f>IFERROR(__xludf.DUMMYFUNCTION("REGEXREPLACE(A3237, ""[^0-9a-zA-Z .'Ã]"","""")"),"Ryan Murphy")</f>
        <v>Ryan Murphy</v>
      </c>
      <c r="C3237" s="22">
        <v>213.0</v>
      </c>
      <c r="D3237" s="23">
        <v>8.057401E7</v>
      </c>
      <c r="E3237" s="22" t="s">
        <v>232</v>
      </c>
      <c r="F3237" s="9">
        <f t="shared" si="1"/>
        <v>2</v>
      </c>
      <c r="G3237" s="22" t="s">
        <v>404</v>
      </c>
      <c r="H3237" s="11" t="str">
        <f>IFERROR(__xludf.DUMMYFUNCTION("REGEXREPLACE(G3237, ""[^0-9a-zA-Z .'Ã]"","""")"),"James Franco")</f>
        <v>James Franco</v>
      </c>
      <c r="I3237" s="24" t="s">
        <v>10164</v>
      </c>
      <c r="J3237" s="22">
        <v>63493.0</v>
      </c>
      <c r="K3237" s="22" t="s">
        <v>10165</v>
      </c>
      <c r="L3237" s="22">
        <v>302.0</v>
      </c>
      <c r="M3237" s="22" t="s">
        <v>24</v>
      </c>
      <c r="N3237" s="22" t="s">
        <v>25</v>
      </c>
      <c r="O3237" s="23">
        <v>6.0E7</v>
      </c>
      <c r="P3237" s="10">
        <f t="shared" si="2"/>
        <v>20574010</v>
      </c>
      <c r="Q3237" s="12">
        <f t="shared" si="3"/>
        <v>0</v>
      </c>
      <c r="R3237" s="22">
        <v>2010.0</v>
      </c>
      <c r="S3237" s="22">
        <v>5.7</v>
      </c>
    </row>
    <row r="3238" ht="15.75" customHeight="1">
      <c r="A3238" s="25" t="s">
        <v>7089</v>
      </c>
      <c r="B3238" s="8" t="str">
        <f>IFERROR(__xludf.DUMMYFUNCTION("REGEXREPLACE(A3238, ""[^0-9a-zA-Z .'Ã]"","""")"),"Tarsem Singh")</f>
        <v>Tarsem Singh</v>
      </c>
      <c r="C3238" s="26">
        <v>225.0</v>
      </c>
      <c r="D3238" s="27">
        <v>6.1280963E7</v>
      </c>
      <c r="E3238" s="26" t="s">
        <v>1017</v>
      </c>
      <c r="F3238" s="9">
        <f t="shared" si="1"/>
        <v>3</v>
      </c>
      <c r="G3238" s="26" t="s">
        <v>9703</v>
      </c>
      <c r="H3238" s="11" t="str">
        <f>IFERROR(__xludf.DUMMYFUNCTION("REGEXREPLACE(G3238, ""[^0-9a-zA-Z .'Ã]"","""")"),"Dylan Baker")</f>
        <v>Dylan Baker</v>
      </c>
      <c r="I3238" s="28" t="s">
        <v>10166</v>
      </c>
      <c r="J3238" s="26">
        <v>79877.0</v>
      </c>
      <c r="K3238" s="26" t="s">
        <v>10167</v>
      </c>
      <c r="L3238" s="26">
        <v>677.0</v>
      </c>
      <c r="M3238" s="26" t="s">
        <v>24</v>
      </c>
      <c r="N3238" s="26" t="s">
        <v>25</v>
      </c>
      <c r="O3238" s="27">
        <v>3.3E7</v>
      </c>
      <c r="P3238" s="10">
        <f t="shared" si="2"/>
        <v>28280963</v>
      </c>
      <c r="Q3238" s="12">
        <f t="shared" si="3"/>
        <v>0</v>
      </c>
      <c r="R3238" s="26">
        <v>2000.0</v>
      </c>
      <c r="S3238" s="26">
        <v>6.3</v>
      </c>
    </row>
    <row r="3239" ht="15.75" customHeight="1">
      <c r="A3239" s="21" t="s">
        <v>2430</v>
      </c>
      <c r="B3239" s="8" t="str">
        <f>IFERROR(__xludf.DUMMYFUNCTION("REGEXREPLACE(A3239, ""[^0-9a-zA-Z .'Ã]"","""")"),"Pete Docter")</f>
        <v>Pete Docter</v>
      </c>
      <c r="C3239" s="22">
        <v>250.0</v>
      </c>
      <c r="D3239" s="23">
        <v>2.89907418E8</v>
      </c>
      <c r="E3239" s="22" t="s">
        <v>301</v>
      </c>
      <c r="F3239" s="9">
        <f t="shared" si="1"/>
        <v>5</v>
      </c>
      <c r="G3239" s="22" t="s">
        <v>453</v>
      </c>
      <c r="H3239" s="11" t="str">
        <f>IFERROR(__xludf.DUMMYFUNCTION("REGEXREPLACE(G3239, ""[^0-9a-zA-Z .'Ã]"","""")"),"Steve Buscemi")</f>
        <v>Steve Buscemi</v>
      </c>
      <c r="I3239" s="24" t="s">
        <v>10168</v>
      </c>
      <c r="J3239" s="22">
        <v>585659.0</v>
      </c>
      <c r="K3239" s="22" t="s">
        <v>10169</v>
      </c>
      <c r="L3239" s="22">
        <v>593.0</v>
      </c>
      <c r="M3239" s="22" t="s">
        <v>24</v>
      </c>
      <c r="N3239" s="22" t="s">
        <v>25</v>
      </c>
      <c r="O3239" s="23">
        <v>1.15E8</v>
      </c>
      <c r="P3239" s="10">
        <f t="shared" si="2"/>
        <v>174907418</v>
      </c>
      <c r="Q3239" s="12">
        <f t="shared" si="3"/>
        <v>0</v>
      </c>
      <c r="R3239" s="22">
        <v>2001.0</v>
      </c>
      <c r="S3239" s="22">
        <v>8.1</v>
      </c>
    </row>
    <row r="3240" ht="15.75" customHeight="1">
      <c r="A3240" s="7" t="s">
        <v>700</v>
      </c>
      <c r="B3240" s="8" t="str">
        <f>IFERROR(__xludf.DUMMYFUNCTION("REGEXREPLACE(A3240, ""[^0-9a-zA-Z .'Ã]"","""")"),"Don Michael Paul")</f>
        <v>Don Michael Paul</v>
      </c>
      <c r="C3240" s="9">
        <v>25.0</v>
      </c>
      <c r="D3240" s="10">
        <v>5694308.0</v>
      </c>
      <c r="E3240" s="9" t="s">
        <v>3398</v>
      </c>
      <c r="F3240" s="9">
        <f t="shared" si="1"/>
        <v>2</v>
      </c>
      <c r="G3240" s="9" t="s">
        <v>4510</v>
      </c>
      <c r="H3240" s="11" t="str">
        <f>IFERROR(__xludf.DUMMYFUNCTION("REGEXREPLACE(G3240, ""[^0-9a-zA-Z .'Ã]"","""")"),"Jeffrey Jones")</f>
        <v>Jeffrey Jones</v>
      </c>
      <c r="I3240" s="11" t="s">
        <v>10170</v>
      </c>
      <c r="J3240" s="9">
        <v>13815.0</v>
      </c>
      <c r="K3240" s="9" t="s">
        <v>10171</v>
      </c>
      <c r="L3240" s="9">
        <v>46.0</v>
      </c>
      <c r="M3240" s="9" t="s">
        <v>24</v>
      </c>
      <c r="N3240" s="9" t="s">
        <v>25</v>
      </c>
      <c r="O3240" s="10">
        <v>7000000.0</v>
      </c>
      <c r="P3240" s="10">
        <f t="shared" si="2"/>
        <v>0</v>
      </c>
      <c r="Q3240" s="12">
        <f t="shared" si="3"/>
        <v>1305692</v>
      </c>
      <c r="R3240" s="9">
        <v>2007.0</v>
      </c>
      <c r="S3240" s="9">
        <v>2.0</v>
      </c>
    </row>
    <row r="3241" ht="15.75" customHeight="1">
      <c r="A3241" s="7" t="s">
        <v>2409</v>
      </c>
      <c r="B3241" s="8" t="str">
        <f>IFERROR(__xludf.DUMMYFUNCTION("REGEXREPLACE(A3241, ""[^0-9a-zA-Z .'Ã]"","""")"),"Stephen Frears")</f>
        <v>Stephen Frears</v>
      </c>
      <c r="C3241" s="9">
        <v>137.0</v>
      </c>
      <c r="D3241" s="10">
        <v>8111360.0</v>
      </c>
      <c r="E3241" s="9" t="s">
        <v>113</v>
      </c>
      <c r="F3241" s="9">
        <f t="shared" si="1"/>
        <v>3</v>
      </c>
      <c r="G3241" s="9" t="s">
        <v>10172</v>
      </c>
      <c r="H3241" s="11" t="str">
        <f>IFERROR(__xludf.DUMMYFUNCTION("REGEXREPLACE(G3241, ""[^0-9a-zA-Z .'Ã]"","""")"),"Sophie Okonedo")</f>
        <v>Sophie Okonedo</v>
      </c>
      <c r="I3241" s="11" t="s">
        <v>10173</v>
      </c>
      <c r="J3241" s="9">
        <v>34848.0</v>
      </c>
      <c r="K3241" s="9" t="s">
        <v>10174</v>
      </c>
      <c r="L3241" s="9">
        <v>203.0</v>
      </c>
      <c r="M3241" s="9" t="s">
        <v>24</v>
      </c>
      <c r="N3241" s="9" t="s">
        <v>130</v>
      </c>
      <c r="O3241" s="10">
        <v>1.0E7</v>
      </c>
      <c r="P3241" s="10">
        <f t="shared" si="2"/>
        <v>0</v>
      </c>
      <c r="Q3241" s="12">
        <f t="shared" si="3"/>
        <v>1888640</v>
      </c>
      <c r="R3241" s="9">
        <v>2002.0</v>
      </c>
      <c r="S3241" s="9">
        <v>7.4</v>
      </c>
    </row>
    <row r="3242" ht="15.75" customHeight="1">
      <c r="A3242" s="13" t="s">
        <v>5577</v>
      </c>
      <c r="B3242" s="8" t="str">
        <f>IFERROR(__xludf.DUMMYFUNCTION("REGEXREPLACE(A3242, ""[^0-9a-zA-Z .'Ã]"","""")"),"Jeff Wadlow")</f>
        <v>Jeff Wadlow</v>
      </c>
      <c r="C3242" s="14">
        <v>140.0</v>
      </c>
      <c r="D3242" s="15">
        <v>2.4848292E7</v>
      </c>
      <c r="E3242" s="14" t="s">
        <v>5401</v>
      </c>
      <c r="F3242" s="9">
        <f t="shared" si="1"/>
        <v>3</v>
      </c>
      <c r="G3242" s="14" t="s">
        <v>2785</v>
      </c>
      <c r="H3242" s="11" t="str">
        <f>IFERROR(__xludf.DUMMYFUNCTION("REGEXREPLACE(G3242, ""[^0-9a-zA-Z .'Ã]"","""")"),"Djimon Hounsou")</f>
        <v>Djimon Hounsou</v>
      </c>
      <c r="I3242" s="16" t="s">
        <v>10175</v>
      </c>
      <c r="J3242" s="14">
        <v>80556.0</v>
      </c>
      <c r="K3242" s="14" t="s">
        <v>10176</v>
      </c>
      <c r="L3242" s="14">
        <v>184.0</v>
      </c>
      <c r="M3242" s="14" t="s">
        <v>24</v>
      </c>
      <c r="N3242" s="14" t="s">
        <v>25</v>
      </c>
      <c r="O3242" s="15">
        <v>2.0E7</v>
      </c>
      <c r="P3242" s="10">
        <f t="shared" si="2"/>
        <v>4848292</v>
      </c>
      <c r="Q3242" s="12">
        <f t="shared" si="3"/>
        <v>0</v>
      </c>
      <c r="R3242" s="14">
        <v>2008.0</v>
      </c>
      <c r="S3242" s="14">
        <v>6.6</v>
      </c>
    </row>
    <row r="3243" ht="15.75" customHeight="1">
      <c r="A3243" s="7" t="s">
        <v>38</v>
      </c>
      <c r="B3243" s="8" t="str">
        <f>IFERROR(__xludf.DUMMYFUNCTION("REGEXREPLACE(A3243, ""[^0-9a-zA-Z .'Ã]"","""")"),"Clint Eastwood")</f>
        <v>Clint Eastwood</v>
      </c>
      <c r="C3243" s="9">
        <v>69.0</v>
      </c>
      <c r="D3243" s="10">
        <v>7.0960517E7</v>
      </c>
      <c r="E3243" s="9" t="s">
        <v>232</v>
      </c>
      <c r="F3243" s="9">
        <f t="shared" si="1"/>
        <v>2</v>
      </c>
      <c r="G3243" s="9" t="s">
        <v>38</v>
      </c>
      <c r="H3243" s="11" t="str">
        <f>IFERROR(__xludf.DUMMYFUNCTION("REGEXREPLACE(G3243, ""[^0-9a-zA-Z .'Ã]"","""")"),"Clint Eastwood")</f>
        <v>Clint Eastwood</v>
      </c>
      <c r="I3243" s="11" t="s">
        <v>10177</v>
      </c>
      <c r="J3243" s="9">
        <v>54631.0</v>
      </c>
      <c r="K3243" s="9" t="s">
        <v>10178</v>
      </c>
      <c r="L3243" s="9">
        <v>192.0</v>
      </c>
      <c r="M3243" s="9" t="s">
        <v>24</v>
      </c>
      <c r="N3243" s="9" t="s">
        <v>25</v>
      </c>
      <c r="O3243" s="10">
        <v>3.5E7</v>
      </c>
      <c r="P3243" s="10">
        <f t="shared" si="2"/>
        <v>35960517</v>
      </c>
      <c r="Q3243" s="12">
        <f t="shared" si="3"/>
        <v>0</v>
      </c>
      <c r="R3243" s="9">
        <v>1995.0</v>
      </c>
      <c r="S3243" s="9">
        <v>7.5</v>
      </c>
    </row>
    <row r="3244" ht="15.75" customHeight="1">
      <c r="A3244" s="7" t="s">
        <v>10179</v>
      </c>
      <c r="B3244" s="8" t="str">
        <f>IFERROR(__xludf.DUMMYFUNCTION("REGEXREPLACE(A3244, ""[^0-9a-zA-Z .'Ã]"","""")"),"Daniel Myrick")</f>
        <v>Daniel Myrick</v>
      </c>
      <c r="C3244" s="9">
        <v>360.0</v>
      </c>
      <c r="D3244" s="10">
        <v>1.40530114E8</v>
      </c>
      <c r="E3244" s="9" t="s">
        <v>148</v>
      </c>
      <c r="F3244" s="9">
        <f t="shared" si="1"/>
        <v>1</v>
      </c>
      <c r="G3244" s="9" t="s">
        <v>10180</v>
      </c>
      <c r="H3244" s="11" t="str">
        <f>IFERROR(__xludf.DUMMYFUNCTION("REGEXREPLACE(G3244, ""[^0-9a-zA-Z .'Ã]"","""")"),"Heather Donahue")</f>
        <v>Heather Donahue</v>
      </c>
      <c r="I3244" s="11" t="s">
        <v>10181</v>
      </c>
      <c r="J3244" s="9">
        <v>186786.0</v>
      </c>
      <c r="K3244" s="9" t="s">
        <v>10182</v>
      </c>
      <c r="L3244" s="9">
        <v>3400.0</v>
      </c>
      <c r="M3244" s="9" t="s">
        <v>24</v>
      </c>
      <c r="N3244" s="9" t="s">
        <v>25</v>
      </c>
      <c r="O3244" s="10">
        <v>60000.0</v>
      </c>
      <c r="P3244" s="10">
        <f t="shared" si="2"/>
        <v>140470114</v>
      </c>
      <c r="Q3244" s="12">
        <f t="shared" si="3"/>
        <v>0</v>
      </c>
      <c r="R3244" s="9">
        <v>1999.0</v>
      </c>
      <c r="S3244" s="9">
        <v>6.4</v>
      </c>
    </row>
    <row r="3245" ht="15.75" customHeight="1">
      <c r="A3245" s="25" t="s">
        <v>1111</v>
      </c>
      <c r="B3245" s="8" t="str">
        <f>IFERROR(__xludf.DUMMYFUNCTION("REGEXREPLACE(A3245, ""[^0-9a-zA-Z .'Ã]"","""")"),"Jan de Bont")</f>
        <v>Jan de Bont</v>
      </c>
      <c r="C3245" s="26">
        <v>157.0</v>
      </c>
      <c r="D3245" s="27">
        <v>6.5653758E7</v>
      </c>
      <c r="E3245" s="26" t="s">
        <v>278</v>
      </c>
      <c r="F3245" s="9">
        <f t="shared" si="1"/>
        <v>3</v>
      </c>
      <c r="G3245" s="26" t="s">
        <v>830</v>
      </c>
      <c r="H3245" s="11" t="str">
        <f>IFERROR(__xludf.DUMMYFUNCTION("REGEXREPLACE(G3245, ""[^0-9a-zA-Z .'Ã]"","""")"),"Gerard Butler")</f>
        <v>Gerard Butler</v>
      </c>
      <c r="I3245" s="28" t="s">
        <v>10183</v>
      </c>
      <c r="J3245" s="26">
        <v>102747.0</v>
      </c>
      <c r="K3245" s="26" t="s">
        <v>10184</v>
      </c>
      <c r="L3245" s="26">
        <v>316.0</v>
      </c>
      <c r="M3245" s="26" t="s">
        <v>24</v>
      </c>
      <c r="N3245" s="26" t="s">
        <v>25</v>
      </c>
      <c r="O3245" s="27">
        <v>9.5E7</v>
      </c>
      <c r="P3245" s="10">
        <f t="shared" si="2"/>
        <v>0</v>
      </c>
      <c r="Q3245" s="12">
        <f t="shared" si="3"/>
        <v>29346242</v>
      </c>
      <c r="R3245" s="26">
        <v>2003.0</v>
      </c>
      <c r="S3245" s="26">
        <v>5.5</v>
      </c>
    </row>
    <row r="3246" ht="15.75" customHeight="1">
      <c r="A3246" s="13" t="s">
        <v>4188</v>
      </c>
      <c r="B3246" s="8" t="str">
        <f>IFERROR(__xludf.DUMMYFUNCTION("REGEXREPLACE(A3246, ""[^0-9a-zA-Z .'Ã]"","""")"),"Stephen Hopkins")</f>
        <v>Stephen Hopkins</v>
      </c>
      <c r="C3246" s="14">
        <v>102.0</v>
      </c>
      <c r="D3246" s="15">
        <v>6.910291E7</v>
      </c>
      <c r="E3246" s="14" t="s">
        <v>10185</v>
      </c>
      <c r="F3246" s="9">
        <f t="shared" si="1"/>
        <v>5</v>
      </c>
      <c r="G3246" s="14" t="s">
        <v>772</v>
      </c>
      <c r="H3246" s="11" t="str">
        <f>IFERROR(__xludf.DUMMYFUNCTION("REGEXREPLACE(G3246, ""[^0-9a-zA-Z .'Ã]"","""")"),"Gary Oldman")</f>
        <v>Gary Oldman</v>
      </c>
      <c r="I3246" s="16" t="s">
        <v>10186</v>
      </c>
      <c r="J3246" s="14">
        <v>58402.0</v>
      </c>
      <c r="K3246" s="14" t="s">
        <v>10187</v>
      </c>
      <c r="L3246" s="14">
        <v>370.0</v>
      </c>
      <c r="M3246" s="14" t="s">
        <v>24</v>
      </c>
      <c r="N3246" s="14" t="s">
        <v>25</v>
      </c>
      <c r="O3246" s="15">
        <v>8.0E7</v>
      </c>
      <c r="P3246" s="10">
        <f t="shared" si="2"/>
        <v>0</v>
      </c>
      <c r="Q3246" s="12">
        <f t="shared" si="3"/>
        <v>10897090</v>
      </c>
      <c r="R3246" s="14">
        <v>1998.0</v>
      </c>
      <c r="S3246" s="14">
        <v>5.1</v>
      </c>
    </row>
    <row r="3247" ht="15.75" customHeight="1">
      <c r="A3247" s="21" t="s">
        <v>10188</v>
      </c>
      <c r="B3247" s="8" t="str">
        <f>IFERROR(__xludf.DUMMYFUNCTION("REGEXREPLACE(A3247, ""[^0-9a-zA-Z .'Ã]"","""")"),"Wayne Beach")</f>
        <v>Wayne Beach</v>
      </c>
      <c r="C3247" s="22">
        <v>40.0</v>
      </c>
      <c r="D3247" s="23">
        <v>1181197.0</v>
      </c>
      <c r="E3247" s="22" t="s">
        <v>311</v>
      </c>
      <c r="F3247" s="9">
        <f t="shared" si="1"/>
        <v>3</v>
      </c>
      <c r="G3247" s="22" t="s">
        <v>3176</v>
      </c>
      <c r="H3247" s="11" t="str">
        <f>IFERROR(__xludf.DUMMYFUNCTION("REGEXREPLACE(G3247, ""[^0-9a-zA-Z .'Ã]"","""")"),"Mekhi Phifer")</f>
        <v>Mekhi Phifer</v>
      </c>
      <c r="I3247" s="24" t="s">
        <v>10189</v>
      </c>
      <c r="J3247" s="22">
        <v>3299.0</v>
      </c>
      <c r="K3247" s="22" t="s">
        <v>10190</v>
      </c>
      <c r="L3247" s="22">
        <v>24.0</v>
      </c>
      <c r="M3247" s="22" t="s">
        <v>24</v>
      </c>
      <c r="N3247" s="22" t="s">
        <v>25</v>
      </c>
      <c r="O3247" s="23">
        <v>1.55E7</v>
      </c>
      <c r="P3247" s="10">
        <f t="shared" si="2"/>
        <v>0</v>
      </c>
      <c r="Q3247" s="12">
        <f t="shared" si="3"/>
        <v>14318803</v>
      </c>
      <c r="R3247" s="22">
        <v>2005.0</v>
      </c>
      <c r="S3247" s="22">
        <v>5.9</v>
      </c>
    </row>
    <row r="3248" ht="15.75" customHeight="1">
      <c r="A3248" s="7" t="s">
        <v>7526</v>
      </c>
      <c r="B3248" s="8" t="str">
        <f>IFERROR(__xludf.DUMMYFUNCTION("REGEXREPLACE(A3248, ""[^0-9a-zA-Z .'Ã]"","""")"),"Pierre Coffin")</f>
        <v>Pierre Coffin</v>
      </c>
      <c r="C3248" s="9">
        <v>306.0</v>
      </c>
      <c r="D3248" s="10">
        <v>3.68049635E8</v>
      </c>
      <c r="E3248" s="9" t="s">
        <v>8951</v>
      </c>
      <c r="F3248" s="9">
        <f t="shared" si="1"/>
        <v>4</v>
      </c>
      <c r="G3248" s="9" t="s">
        <v>1080</v>
      </c>
      <c r="H3248" s="11" t="str">
        <f>IFERROR(__xludf.DUMMYFUNCTION("REGEXREPLACE(G3248, ""[^0-9a-zA-Z .'Ã]"","""")"),"Steve Carell")</f>
        <v>Steve Carell</v>
      </c>
      <c r="I3248" s="11" t="s">
        <v>10191</v>
      </c>
      <c r="J3248" s="9">
        <v>286877.0</v>
      </c>
      <c r="K3248" s="9" t="s">
        <v>10192</v>
      </c>
      <c r="L3248" s="9">
        <v>284.0</v>
      </c>
      <c r="M3248" s="9" t="s">
        <v>24</v>
      </c>
      <c r="N3248" s="9" t="s">
        <v>25</v>
      </c>
      <c r="O3248" s="10">
        <v>7.6E7</v>
      </c>
      <c r="P3248" s="10">
        <f t="shared" si="2"/>
        <v>292049635</v>
      </c>
      <c r="Q3248" s="12">
        <f t="shared" si="3"/>
        <v>0</v>
      </c>
      <c r="R3248" s="9">
        <v>2013.0</v>
      </c>
      <c r="S3248" s="9">
        <v>7.5</v>
      </c>
    </row>
    <row r="3249" ht="15.75" customHeight="1">
      <c r="A3249" s="25" t="s">
        <v>687</v>
      </c>
      <c r="B3249" s="8" t="str">
        <f>IFERROR(__xludf.DUMMYFUNCTION("REGEXREPLACE(A3249, ""[^0-9a-zA-Z .'Ã]"","""")"),"John Moore")</f>
        <v>John Moore</v>
      </c>
      <c r="C3249" s="26">
        <v>412.0</v>
      </c>
      <c r="D3249" s="27">
        <v>6.7344392E7</v>
      </c>
      <c r="E3249" s="26" t="s">
        <v>1096</v>
      </c>
      <c r="F3249" s="9">
        <f t="shared" si="1"/>
        <v>2</v>
      </c>
      <c r="G3249" s="26" t="s">
        <v>55</v>
      </c>
      <c r="H3249" s="11" t="str">
        <f>IFERROR(__xludf.DUMMYFUNCTION("REGEXREPLACE(G3249, ""[^0-9a-zA-Z .'Ã]"","""")"),"Bruce Willis")</f>
        <v>Bruce Willis</v>
      </c>
      <c r="I3249" s="28" t="s">
        <v>10193</v>
      </c>
      <c r="J3249" s="26">
        <v>165618.0</v>
      </c>
      <c r="K3249" s="26" t="s">
        <v>10194</v>
      </c>
      <c r="L3249" s="26">
        <v>503.0</v>
      </c>
      <c r="M3249" s="26" t="s">
        <v>24</v>
      </c>
      <c r="N3249" s="26" t="s">
        <v>25</v>
      </c>
      <c r="O3249" s="27">
        <v>9.2E7</v>
      </c>
      <c r="P3249" s="10">
        <f t="shared" si="2"/>
        <v>0</v>
      </c>
      <c r="Q3249" s="12">
        <f t="shared" si="3"/>
        <v>24655608</v>
      </c>
      <c r="R3249" s="26">
        <v>2013.0</v>
      </c>
      <c r="S3249" s="26">
        <v>5.3</v>
      </c>
    </row>
    <row r="3250" ht="15.75" customHeight="1">
      <c r="A3250" s="17" t="s">
        <v>269</v>
      </c>
      <c r="B3250" s="8" t="str">
        <f>IFERROR(__xludf.DUMMYFUNCTION("REGEXREPLACE(A3250, ""[^0-9a-zA-Z .'Ã]"","""")"),"Lee Tamahori")</f>
        <v>Lee Tamahori</v>
      </c>
      <c r="C3250" s="18">
        <v>264.0</v>
      </c>
      <c r="D3250" s="19">
        <v>1.60201106E8</v>
      </c>
      <c r="E3250" s="18" t="s">
        <v>474</v>
      </c>
      <c r="F3250" s="9">
        <f t="shared" si="1"/>
        <v>3</v>
      </c>
      <c r="G3250" s="18" t="s">
        <v>6407</v>
      </c>
      <c r="H3250" s="11" t="str">
        <f>IFERROR(__xludf.DUMMYFUNCTION("REGEXREPLACE(G3250, ""[^0-9a-zA-Z .'Ã]"","""")"),"Toby Stephens")</f>
        <v>Toby Stephens</v>
      </c>
      <c r="I3250" s="20" t="s">
        <v>10195</v>
      </c>
      <c r="J3250" s="18">
        <v>169914.0</v>
      </c>
      <c r="K3250" s="18" t="s">
        <v>10196</v>
      </c>
      <c r="L3250" s="18">
        <v>1185.0</v>
      </c>
      <c r="M3250" s="18" t="s">
        <v>24</v>
      </c>
      <c r="N3250" s="18" t="s">
        <v>130</v>
      </c>
      <c r="O3250" s="19">
        <v>1.42E8</v>
      </c>
      <c r="P3250" s="10">
        <f t="shared" si="2"/>
        <v>18201106</v>
      </c>
      <c r="Q3250" s="12">
        <f t="shared" si="3"/>
        <v>0</v>
      </c>
      <c r="R3250" s="18">
        <v>2002.0</v>
      </c>
      <c r="S3250" s="18">
        <v>6.1</v>
      </c>
    </row>
    <row r="3251" ht="15.75" customHeight="1">
      <c r="A3251" s="29" t="s">
        <v>3067</v>
      </c>
      <c r="B3251" s="8" t="str">
        <f>IFERROR(__xludf.DUMMYFUNCTION("REGEXREPLACE(A3251, ""[^0-9a-zA-Z .'Ã]"","""")"),"Todd Phillips")</f>
        <v>Todd Phillips</v>
      </c>
      <c r="C3251" s="30">
        <v>173.0</v>
      </c>
      <c r="D3251" s="31">
        <v>8.8200225E7</v>
      </c>
      <c r="E3251" s="30" t="s">
        <v>440</v>
      </c>
      <c r="F3251" s="9">
        <f t="shared" si="1"/>
        <v>2</v>
      </c>
      <c r="G3251" s="30" t="s">
        <v>10197</v>
      </c>
      <c r="H3251" s="11" t="str">
        <f>IFERROR(__xludf.DUMMYFUNCTION("REGEXREPLACE(G3251, ""[^0-9a-zA-Z .'Ã]"","""")"),"Snoop Dogg")</f>
        <v>Snoop Dogg</v>
      </c>
      <c r="I3251" s="32" t="s">
        <v>10198</v>
      </c>
      <c r="J3251" s="30">
        <v>120795.0</v>
      </c>
      <c r="K3251" s="30" t="s">
        <v>10199</v>
      </c>
      <c r="L3251" s="30">
        <v>308.0</v>
      </c>
      <c r="M3251" s="30" t="s">
        <v>24</v>
      </c>
      <c r="N3251" s="30" t="s">
        <v>25</v>
      </c>
      <c r="O3251" s="31">
        <v>6.0E7</v>
      </c>
      <c r="P3251" s="10">
        <f t="shared" si="2"/>
        <v>28200225</v>
      </c>
      <c r="Q3251" s="12">
        <f t="shared" si="3"/>
        <v>0</v>
      </c>
      <c r="R3251" s="30">
        <v>2004.0</v>
      </c>
      <c r="S3251" s="30">
        <v>6.1</v>
      </c>
    </row>
    <row r="3252" ht="15.75" customHeight="1">
      <c r="A3252" s="21" t="s">
        <v>1461</v>
      </c>
      <c r="B3252" s="8" t="str">
        <f>IFERROR(__xludf.DUMMYFUNCTION("REGEXREPLACE(A3252, ""[^0-9a-zA-Z .'Ã]"","""")"),"Stefan Ruzowitzky")</f>
        <v>Stefan Ruzowitzky</v>
      </c>
      <c r="C3252" s="22">
        <v>19.0</v>
      </c>
      <c r="D3252" s="23">
        <v>22723.0</v>
      </c>
      <c r="E3252" s="22" t="s">
        <v>10200</v>
      </c>
      <c r="F3252" s="9">
        <f t="shared" si="1"/>
        <v>4</v>
      </c>
      <c r="G3252" s="22" t="s">
        <v>1467</v>
      </c>
      <c r="H3252" s="11" t="str">
        <f>IFERROR(__xludf.DUMMYFUNCTION("REGEXREPLACE(G3252, ""[^0-9a-zA-Z .'Ã]"","""")"),"Eddie Izzard")</f>
        <v>Eddie Izzard</v>
      </c>
      <c r="I3252" s="24" t="s">
        <v>10201</v>
      </c>
      <c r="J3252" s="22">
        <v>2236.0</v>
      </c>
      <c r="K3252" s="22" t="s">
        <v>10202</v>
      </c>
      <c r="L3252" s="22">
        <v>40.0</v>
      </c>
      <c r="M3252" s="22" t="s">
        <v>24</v>
      </c>
      <c r="N3252" s="22" t="s">
        <v>173</v>
      </c>
      <c r="O3252" s="23">
        <v>2.5E7</v>
      </c>
      <c r="P3252" s="10">
        <f t="shared" si="2"/>
        <v>0</v>
      </c>
      <c r="Q3252" s="12">
        <f t="shared" si="3"/>
        <v>24977277</v>
      </c>
      <c r="R3252" s="22">
        <v>2001.0</v>
      </c>
      <c r="S3252" s="22">
        <v>4.5</v>
      </c>
    </row>
    <row r="3253" ht="15.75" customHeight="1">
      <c r="A3253" s="21" t="s">
        <v>6316</v>
      </c>
      <c r="B3253" s="8" t="str">
        <f>IFERROR(__xludf.DUMMYFUNCTION("REGEXREPLACE(A3253, ""[^0-9a-zA-Z .'Ã]"","""")"),"Roman Polanski")</f>
        <v>Roman Polanski</v>
      </c>
      <c r="C3253" s="22">
        <v>193.0</v>
      </c>
      <c r="D3253" s="23">
        <v>3.2519322E7</v>
      </c>
      <c r="E3253" s="22" t="s">
        <v>6874</v>
      </c>
      <c r="F3253" s="9">
        <f t="shared" si="1"/>
        <v>3</v>
      </c>
      <c r="G3253" s="22" t="s">
        <v>10203</v>
      </c>
      <c r="H3253" s="11" t="str">
        <f>IFERROR(__xludf.DUMMYFUNCTION("REGEXREPLACE(G3253, ""[^0-9a-zA-Z .'Ã]"","""")"),"Emilia Fox")</f>
        <v>Emilia Fox</v>
      </c>
      <c r="I3253" s="24" t="s">
        <v>10204</v>
      </c>
      <c r="J3253" s="22">
        <v>497946.0</v>
      </c>
      <c r="K3253" s="22" t="s">
        <v>10205</v>
      </c>
      <c r="L3253" s="22">
        <v>761.0</v>
      </c>
      <c r="M3253" s="22" t="s">
        <v>24</v>
      </c>
      <c r="N3253" s="22" t="s">
        <v>608</v>
      </c>
      <c r="O3253" s="23">
        <v>3.5E7</v>
      </c>
      <c r="P3253" s="10">
        <f t="shared" si="2"/>
        <v>0</v>
      </c>
      <c r="Q3253" s="12">
        <f t="shared" si="3"/>
        <v>2480678</v>
      </c>
      <c r="R3253" s="22">
        <v>2002.0</v>
      </c>
      <c r="S3253" s="22">
        <v>8.5</v>
      </c>
    </row>
    <row r="3254" ht="15.75" customHeight="1">
      <c r="A3254" s="17" t="s">
        <v>10206</v>
      </c>
      <c r="B3254" s="8" t="str">
        <f>IFERROR(__xludf.DUMMYFUNCTION("REGEXREPLACE(A3254, ""[^0-9a-zA-Z .'Ã]"","""")"),"Dave McKean")</f>
        <v>Dave McKean</v>
      </c>
      <c r="C3254" s="18">
        <v>116.0</v>
      </c>
      <c r="D3254" s="19">
        <v>864959.0</v>
      </c>
      <c r="E3254" s="18" t="s">
        <v>3101</v>
      </c>
      <c r="F3254" s="9">
        <f t="shared" si="1"/>
        <v>2</v>
      </c>
      <c r="G3254" s="18" t="s">
        <v>10207</v>
      </c>
      <c r="H3254" s="11" t="str">
        <f>IFERROR(__xludf.DUMMYFUNCTION("REGEXREPLACE(G3254, ""[^0-9a-zA-Z .'Ã]"","""")"),"Stephanie Leonidas")</f>
        <v>Stephanie Leonidas</v>
      </c>
      <c r="I3254" s="20" t="s">
        <v>10208</v>
      </c>
      <c r="J3254" s="18">
        <v>20275.0</v>
      </c>
      <c r="K3254" s="18" t="s">
        <v>10209</v>
      </c>
      <c r="L3254" s="18">
        <v>151.0</v>
      </c>
      <c r="M3254" s="18" t="s">
        <v>24</v>
      </c>
      <c r="N3254" s="18" t="s">
        <v>130</v>
      </c>
      <c r="O3254" s="19">
        <v>4000000.0</v>
      </c>
      <c r="P3254" s="10">
        <f t="shared" si="2"/>
        <v>0</v>
      </c>
      <c r="Q3254" s="12">
        <f t="shared" si="3"/>
        <v>3135041</v>
      </c>
      <c r="R3254" s="18">
        <v>2005.0</v>
      </c>
      <c r="S3254" s="18">
        <v>6.9</v>
      </c>
    </row>
    <row r="3255" ht="15.75" customHeight="1">
      <c r="A3255" s="25" t="s">
        <v>10210</v>
      </c>
      <c r="B3255" s="8" t="str">
        <f>IFERROR(__xludf.DUMMYFUNCTION("REGEXREPLACE(A3255, ""[^0-9a-zA-Z .'Ã]"","""")"),"Matt Dillon")</f>
        <v>Matt Dillon</v>
      </c>
      <c r="C3255" s="26">
        <v>38.0</v>
      </c>
      <c r="D3255" s="27">
        <v>325491.0</v>
      </c>
      <c r="E3255" s="26" t="s">
        <v>113</v>
      </c>
      <c r="F3255" s="9">
        <f t="shared" si="1"/>
        <v>3</v>
      </c>
      <c r="G3255" s="26" t="s">
        <v>10211</v>
      </c>
      <c r="H3255" s="11" t="str">
        <f>IFERROR(__xludf.DUMMYFUNCTION("REGEXREPLACE(G3255, ""[^0-9a-zA-Z .'Ã]"","""")"),"Kirk Fox")</f>
        <v>Kirk Fox</v>
      </c>
      <c r="I3255" s="28" t="s">
        <v>10212</v>
      </c>
      <c r="J3255" s="26">
        <v>4387.0</v>
      </c>
      <c r="K3255" s="26" t="s">
        <v>10213</v>
      </c>
      <c r="L3255" s="26">
        <v>67.0</v>
      </c>
      <c r="M3255" s="26" t="s">
        <v>24</v>
      </c>
      <c r="N3255" s="26" t="s">
        <v>25</v>
      </c>
      <c r="O3255" s="27">
        <v>1.75E7</v>
      </c>
      <c r="P3255" s="10">
        <f t="shared" si="2"/>
        <v>0</v>
      </c>
      <c r="Q3255" s="12">
        <f t="shared" si="3"/>
        <v>17174509</v>
      </c>
      <c r="R3255" s="26">
        <v>2002.0</v>
      </c>
      <c r="S3255" s="26">
        <v>6.0</v>
      </c>
    </row>
    <row r="3256" ht="15.75" customHeight="1">
      <c r="A3256" s="29" t="s">
        <v>2715</v>
      </c>
      <c r="B3256" s="8" t="str">
        <f>IFERROR(__xludf.DUMMYFUNCTION("REGEXREPLACE(A3256, ""[^0-9a-zA-Z .'Ã]"","""")"),"Barry Sonnenfeld")</f>
        <v>Barry Sonnenfeld</v>
      </c>
      <c r="C3256" s="30">
        <v>55.0</v>
      </c>
      <c r="D3256" s="31">
        <v>1.13502246E8</v>
      </c>
      <c r="E3256" s="30" t="s">
        <v>615</v>
      </c>
      <c r="F3256" s="9">
        <f t="shared" si="1"/>
        <v>2</v>
      </c>
      <c r="G3256" s="30" t="s">
        <v>1601</v>
      </c>
      <c r="H3256" s="11" t="str">
        <f>IFERROR(__xludf.DUMMYFUNCTION("REGEXREPLACE(G3256, ""[^0-9a-zA-Z .'Ã]"","""")"),"Anjelica Huston")</f>
        <v>Anjelica Huston</v>
      </c>
      <c r="I3256" s="32" t="s">
        <v>10214</v>
      </c>
      <c r="J3256" s="30">
        <v>96607.0</v>
      </c>
      <c r="K3256" s="30" t="s">
        <v>10215</v>
      </c>
      <c r="L3256" s="30">
        <v>125.0</v>
      </c>
      <c r="M3256" s="30" t="s">
        <v>24</v>
      </c>
      <c r="N3256" s="30" t="s">
        <v>25</v>
      </c>
      <c r="O3256" s="31">
        <v>3.8E7</v>
      </c>
      <c r="P3256" s="10">
        <f t="shared" si="2"/>
        <v>75502246</v>
      </c>
      <c r="Q3256" s="12">
        <f t="shared" si="3"/>
        <v>0</v>
      </c>
      <c r="R3256" s="30">
        <v>1991.0</v>
      </c>
      <c r="S3256" s="30">
        <v>6.8</v>
      </c>
    </row>
    <row r="3257" ht="15.75" customHeight="1">
      <c r="A3257" s="25" t="s">
        <v>10216</v>
      </c>
      <c r="B3257" s="8" t="str">
        <f>IFERROR(__xludf.DUMMYFUNCTION("REGEXREPLACE(A3257, ""[^0-9a-zA-Z .'Ã]"","""")"),"Kinka Usher")</f>
        <v>Kinka Usher</v>
      </c>
      <c r="C3257" s="26">
        <v>125.0</v>
      </c>
      <c r="D3257" s="27">
        <v>2.965559E7</v>
      </c>
      <c r="E3257" s="26" t="s">
        <v>246</v>
      </c>
      <c r="F3257" s="9">
        <f t="shared" si="1"/>
        <v>4</v>
      </c>
      <c r="G3257" s="26" t="s">
        <v>2572</v>
      </c>
      <c r="H3257" s="11" t="str">
        <f>IFERROR(__xludf.DUMMYFUNCTION("REGEXREPLACE(G3257, ""[^0-9a-zA-Z .'Ã]"","""")"),"Janeane Garofalo")</f>
        <v>Janeane Garofalo</v>
      </c>
      <c r="I3257" s="28" t="s">
        <v>10217</v>
      </c>
      <c r="J3257" s="26">
        <v>53970.0</v>
      </c>
      <c r="K3257" s="26" t="s">
        <v>10218</v>
      </c>
      <c r="L3257" s="26">
        <v>435.0</v>
      </c>
      <c r="M3257" s="26" t="s">
        <v>24</v>
      </c>
      <c r="N3257" s="26" t="s">
        <v>25</v>
      </c>
      <c r="O3257" s="27">
        <v>6.5E7</v>
      </c>
      <c r="P3257" s="10">
        <f t="shared" si="2"/>
        <v>0</v>
      </c>
      <c r="Q3257" s="12">
        <f t="shared" si="3"/>
        <v>35344410</v>
      </c>
      <c r="R3257" s="26">
        <v>1999.0</v>
      </c>
      <c r="S3257" s="26">
        <v>6.0</v>
      </c>
    </row>
    <row r="3258" ht="15.75" customHeight="1">
      <c r="A3258" s="17" t="s">
        <v>315</v>
      </c>
      <c r="B3258" s="8" t="str">
        <f>IFERROR(__xludf.DUMMYFUNCTION("REGEXREPLACE(A3258, ""[^0-9a-zA-Z .'Ã]"","""")"),"Steven Soderbergh")</f>
        <v>Steven Soderbergh</v>
      </c>
      <c r="C3258" s="18">
        <v>223.0</v>
      </c>
      <c r="D3258" s="19">
        <v>1.24107476E8</v>
      </c>
      <c r="E3258" s="18" t="s">
        <v>113</v>
      </c>
      <c r="F3258" s="9">
        <f t="shared" si="1"/>
        <v>3</v>
      </c>
      <c r="G3258" s="18" t="s">
        <v>10219</v>
      </c>
      <c r="H3258" s="11" t="str">
        <f>IFERROR(__xludf.DUMMYFUNCTION("REGEXREPLACE(G3258, ""[^0-9a-zA-Z .'Ã]"","""")"),"Michael O'Neill")</f>
        <v>Michael O'Neill</v>
      </c>
      <c r="I3258" s="20" t="s">
        <v>10220</v>
      </c>
      <c r="J3258" s="18">
        <v>170684.0</v>
      </c>
      <c r="K3258" s="18" t="s">
        <v>10221</v>
      </c>
      <c r="L3258" s="18">
        <v>867.0</v>
      </c>
      <c r="M3258" s="18" t="s">
        <v>24</v>
      </c>
      <c r="N3258" s="18" t="s">
        <v>25</v>
      </c>
      <c r="O3258" s="19">
        <v>4.8E7</v>
      </c>
      <c r="P3258" s="10">
        <f t="shared" si="2"/>
        <v>76107476</v>
      </c>
      <c r="Q3258" s="12">
        <f t="shared" si="3"/>
        <v>0</v>
      </c>
      <c r="R3258" s="18">
        <v>2000.0</v>
      </c>
      <c r="S3258" s="18">
        <v>7.6</v>
      </c>
    </row>
    <row r="3259" ht="15.75" customHeight="1">
      <c r="A3259" s="17" t="s">
        <v>10222</v>
      </c>
      <c r="B3259" s="8" t="str">
        <f>IFERROR(__xludf.DUMMYFUNCTION("REGEXREPLACE(A3259, ""[^0-9a-zA-Z .'Ã]"","""")"),"Jennifer Yuh Nelson")</f>
        <v>Jennifer Yuh Nelson</v>
      </c>
      <c r="C3259" s="18">
        <v>284.0</v>
      </c>
      <c r="D3259" s="19">
        <v>1.65230261E8</v>
      </c>
      <c r="E3259" s="18" t="s">
        <v>256</v>
      </c>
      <c r="F3259" s="9">
        <f t="shared" si="1"/>
        <v>5</v>
      </c>
      <c r="G3259" s="18" t="s">
        <v>844</v>
      </c>
      <c r="H3259" s="11" t="str">
        <f>IFERROR(__xludf.DUMMYFUNCTION("REGEXREPLACE(G3259, ""[^0-9a-zA-Z .'Ã]"","""")"),"Angelina Jolie Pitt")</f>
        <v>Angelina Jolie Pitt</v>
      </c>
      <c r="I3259" s="20" t="s">
        <v>10223</v>
      </c>
      <c r="J3259" s="18">
        <v>182718.0</v>
      </c>
      <c r="K3259" s="18" t="s">
        <v>10224</v>
      </c>
      <c r="L3259" s="18">
        <v>209.0</v>
      </c>
      <c r="M3259" s="18" t="s">
        <v>24</v>
      </c>
      <c r="N3259" s="18" t="s">
        <v>25</v>
      </c>
      <c r="O3259" s="19">
        <v>1.5E8</v>
      </c>
      <c r="P3259" s="10">
        <f t="shared" si="2"/>
        <v>15230261</v>
      </c>
      <c r="Q3259" s="12">
        <f t="shared" si="3"/>
        <v>0</v>
      </c>
      <c r="R3259" s="18">
        <v>2011.0</v>
      </c>
      <c r="S3259" s="18">
        <v>7.3</v>
      </c>
    </row>
    <row r="3260" ht="15.75" customHeight="1">
      <c r="A3260" s="17" t="s">
        <v>9082</v>
      </c>
      <c r="B3260" s="8" t="str">
        <f>IFERROR(__xludf.DUMMYFUNCTION("REGEXREPLACE(A3260, ""[^0-9a-zA-Z .'Ã]"","""")"),"Victor Nunez")</f>
        <v>Victor Nunez</v>
      </c>
      <c r="C3260" s="18">
        <v>11.0</v>
      </c>
      <c r="D3260" s="19">
        <v>1001437.0</v>
      </c>
      <c r="E3260" s="18" t="s">
        <v>232</v>
      </c>
      <c r="F3260" s="9">
        <f t="shared" si="1"/>
        <v>2</v>
      </c>
      <c r="G3260" s="18" t="s">
        <v>10225</v>
      </c>
      <c r="H3260" s="11" t="str">
        <f>IFERROR(__xludf.DUMMYFUNCTION("REGEXREPLACE(G3260, ""[^0-9a-zA-Z .'Ã]"","""")"),"Allison Dean")</f>
        <v>Allison Dean</v>
      </c>
      <c r="I3260" s="20" t="s">
        <v>10226</v>
      </c>
      <c r="J3260" s="18">
        <v>2039.0</v>
      </c>
      <c r="K3260" s="18" t="s">
        <v>10227</v>
      </c>
      <c r="L3260" s="18">
        <v>28.0</v>
      </c>
      <c r="M3260" s="18" t="s">
        <v>24</v>
      </c>
      <c r="N3260" s="18" t="s">
        <v>25</v>
      </c>
      <c r="O3260" s="19">
        <v>800000.0</v>
      </c>
      <c r="P3260" s="10">
        <f t="shared" si="2"/>
        <v>201437</v>
      </c>
      <c r="Q3260" s="12">
        <f t="shared" si="3"/>
        <v>0</v>
      </c>
      <c r="R3260" s="18">
        <v>1993.0</v>
      </c>
      <c r="S3260" s="18">
        <v>7.2</v>
      </c>
    </row>
    <row r="3261" ht="15.75" customHeight="1">
      <c r="A3261" s="7" t="s">
        <v>179</v>
      </c>
      <c r="B3261" s="8" t="str">
        <f>IFERROR(__xludf.DUMMYFUNCTION("REGEXREPLACE(A3261, ""[^0-9a-zA-Z .'Ã]"","""")"),"Tim Burton")</f>
        <v>Tim Burton</v>
      </c>
      <c r="C3261" s="9">
        <v>235.0</v>
      </c>
      <c r="D3261" s="10">
        <v>6.6257002E7</v>
      </c>
      <c r="E3261" s="9" t="s">
        <v>748</v>
      </c>
      <c r="F3261" s="9">
        <f t="shared" si="1"/>
        <v>3</v>
      </c>
      <c r="G3261" s="9" t="s">
        <v>453</v>
      </c>
      <c r="H3261" s="11" t="str">
        <f>IFERROR(__xludf.DUMMYFUNCTION("REGEXREPLACE(G3261, ""[^0-9a-zA-Z .'Ã]"","""")"),"Steve Buscemi")</f>
        <v>Steve Buscemi</v>
      </c>
      <c r="I3261" s="11" t="s">
        <v>10228</v>
      </c>
      <c r="J3261" s="9">
        <v>350698.0</v>
      </c>
      <c r="K3261" s="9" t="s">
        <v>10229</v>
      </c>
      <c r="L3261" s="9">
        <v>816.0</v>
      </c>
      <c r="M3261" s="9" t="s">
        <v>24</v>
      </c>
      <c r="N3261" s="9" t="s">
        <v>25</v>
      </c>
      <c r="O3261" s="10">
        <v>7.0E7</v>
      </c>
      <c r="P3261" s="10">
        <f t="shared" si="2"/>
        <v>0</v>
      </c>
      <c r="Q3261" s="12">
        <f t="shared" si="3"/>
        <v>3742998</v>
      </c>
      <c r="R3261" s="9">
        <v>2003.0</v>
      </c>
      <c r="S3261" s="9">
        <v>8.0</v>
      </c>
    </row>
    <row r="3262" ht="15.75" customHeight="1">
      <c r="A3262" s="13" t="s">
        <v>1752</v>
      </c>
      <c r="B3262" s="8" t="str">
        <f>IFERROR(__xludf.DUMMYFUNCTION("REGEXREPLACE(A3262, ""[^0-9a-zA-Z .'Ã]"","""")"),"Douglas McGrath")</f>
        <v>Douglas McGrath</v>
      </c>
      <c r="C3262" s="14">
        <v>169.0</v>
      </c>
      <c r="D3262" s="15">
        <v>9639242.0</v>
      </c>
      <c r="E3262" s="14" t="s">
        <v>89</v>
      </c>
      <c r="F3262" s="9">
        <f t="shared" si="1"/>
        <v>2</v>
      </c>
      <c r="G3262" s="14" t="s">
        <v>5699</v>
      </c>
      <c r="H3262" s="11" t="str">
        <f>IFERROR(__xludf.DUMMYFUNCTION("REGEXREPLACE(G3262, ""[^0-9a-zA-Z .'Ã]"","""")"),"Olivia Munn")</f>
        <v>Olivia Munn</v>
      </c>
      <c r="I3262" s="16" t="s">
        <v>10230</v>
      </c>
      <c r="J3262" s="14">
        <v>16437.0</v>
      </c>
      <c r="K3262" s="14" t="s">
        <v>10231</v>
      </c>
      <c r="L3262" s="14">
        <v>68.0</v>
      </c>
      <c r="M3262" s="14" t="s">
        <v>24</v>
      </c>
      <c r="N3262" s="14" t="s">
        <v>25</v>
      </c>
      <c r="O3262" s="15">
        <v>2.4E7</v>
      </c>
      <c r="P3262" s="10">
        <f t="shared" si="2"/>
        <v>0</v>
      </c>
      <c r="Q3262" s="12">
        <f t="shared" si="3"/>
        <v>14360758</v>
      </c>
      <c r="R3262" s="14">
        <v>2011.0</v>
      </c>
      <c r="S3262" s="14">
        <v>4.9</v>
      </c>
    </row>
    <row r="3263" ht="15.75" customHeight="1">
      <c r="A3263" s="17" t="s">
        <v>10163</v>
      </c>
      <c r="B3263" s="8" t="str">
        <f>IFERROR(__xludf.DUMMYFUNCTION("REGEXREPLACE(A3263, ""[^0-9a-zA-Z .'Ã]"","""")"),"Ryan Murphy")</f>
        <v>Ryan Murphy</v>
      </c>
      <c r="C3263" s="18">
        <v>132.0</v>
      </c>
      <c r="D3263" s="19">
        <v>6754898.0</v>
      </c>
      <c r="E3263" s="18" t="s">
        <v>454</v>
      </c>
      <c r="F3263" s="9">
        <f t="shared" si="1"/>
        <v>2</v>
      </c>
      <c r="G3263" s="18" t="s">
        <v>10232</v>
      </c>
      <c r="H3263" s="11" t="str">
        <f>IFERROR(__xludf.DUMMYFUNCTION("REGEXREPLACE(G3263, ""[^0-9a-zA-Z .'Ã]"","""")"),"Jill Clayburgh")</f>
        <v>Jill Clayburgh</v>
      </c>
      <c r="I3263" s="20" t="s">
        <v>10233</v>
      </c>
      <c r="J3263" s="18">
        <v>20000.0</v>
      </c>
      <c r="K3263" s="18" t="s">
        <v>10234</v>
      </c>
      <c r="L3263" s="18">
        <v>188.0</v>
      </c>
      <c r="M3263" s="18" t="s">
        <v>24</v>
      </c>
      <c r="N3263" s="18" t="s">
        <v>25</v>
      </c>
      <c r="O3263" s="19">
        <v>1.2E7</v>
      </c>
      <c r="P3263" s="10">
        <f t="shared" si="2"/>
        <v>0</v>
      </c>
      <c r="Q3263" s="12">
        <f t="shared" si="3"/>
        <v>5245102</v>
      </c>
      <c r="R3263" s="18">
        <v>2006.0</v>
      </c>
      <c r="S3263" s="18">
        <v>6.2</v>
      </c>
    </row>
    <row r="3264" ht="15.75" customHeight="1">
      <c r="A3264" s="21" t="s">
        <v>10235</v>
      </c>
      <c r="B3264" s="8" t="str">
        <f>IFERROR(__xludf.DUMMYFUNCTION("REGEXREPLACE(A3264, ""[^0-9a-zA-Z .'Ã]"","""")"),"Alessandro Carloni")</f>
        <v>Alessandro Carloni</v>
      </c>
      <c r="C3264" s="22">
        <v>210.0</v>
      </c>
      <c r="D3264" s="23">
        <v>1.43523463E8</v>
      </c>
      <c r="E3264" s="22" t="s">
        <v>256</v>
      </c>
      <c r="F3264" s="9">
        <f t="shared" si="1"/>
        <v>5</v>
      </c>
      <c r="G3264" s="22" t="s">
        <v>878</v>
      </c>
      <c r="H3264" s="11" t="str">
        <f>IFERROR(__xludf.DUMMYFUNCTION("REGEXREPLACE(G3264, ""[^0-9a-zA-Z .'Ã]"","""")"),"J.K. Simmons")</f>
        <v>J.K. Simmons</v>
      </c>
      <c r="I3264" s="24" t="s">
        <v>10236</v>
      </c>
      <c r="J3264" s="22">
        <v>64322.0</v>
      </c>
      <c r="K3264" s="22" t="s">
        <v>10237</v>
      </c>
      <c r="L3264" s="22">
        <v>145.0</v>
      </c>
      <c r="M3264" s="22" t="s">
        <v>24</v>
      </c>
      <c r="N3264" s="22" t="s">
        <v>25</v>
      </c>
      <c r="O3264" s="23">
        <v>1.45E8</v>
      </c>
      <c r="P3264" s="10">
        <f t="shared" si="2"/>
        <v>0</v>
      </c>
      <c r="Q3264" s="12">
        <f t="shared" si="3"/>
        <v>1476537</v>
      </c>
      <c r="R3264" s="22">
        <v>2016.0</v>
      </c>
      <c r="S3264" s="22">
        <v>7.2</v>
      </c>
    </row>
    <row r="3265" ht="15.75" customHeight="1">
      <c r="A3265" s="7" t="s">
        <v>3148</v>
      </c>
      <c r="B3265" s="8" t="str">
        <f>IFERROR(__xludf.DUMMYFUNCTION("REGEXREPLACE(A3265, ""[^0-9a-zA-Z .'Ã]"","""")"),"Roger Kumble")</f>
        <v>Roger Kumble</v>
      </c>
      <c r="C3265" s="9">
        <v>101.0</v>
      </c>
      <c r="D3265" s="10">
        <v>1.7596256E7</v>
      </c>
      <c r="E3265" s="9" t="s">
        <v>857</v>
      </c>
      <c r="F3265" s="9">
        <f t="shared" si="1"/>
        <v>2</v>
      </c>
      <c r="G3265" s="9" t="s">
        <v>21</v>
      </c>
      <c r="H3265" s="11" t="str">
        <f>IFERROR(__xludf.DUMMYFUNCTION("REGEXREPLACE(G3265, ""[^0-9a-zA-Z .'Ã]"","""")"),"Brendan Fraser")</f>
        <v>Brendan Fraser</v>
      </c>
      <c r="I3265" s="11" t="s">
        <v>10238</v>
      </c>
      <c r="J3265" s="9">
        <v>12399.0</v>
      </c>
      <c r="K3265" s="9" t="s">
        <v>10239</v>
      </c>
      <c r="L3265" s="9">
        <v>84.0</v>
      </c>
      <c r="M3265" s="9" t="s">
        <v>24</v>
      </c>
      <c r="N3265" s="9" t="s">
        <v>25</v>
      </c>
      <c r="O3265" s="10">
        <v>3.5E7</v>
      </c>
      <c r="P3265" s="10">
        <f t="shared" si="2"/>
        <v>0</v>
      </c>
      <c r="Q3265" s="12">
        <f t="shared" si="3"/>
        <v>17403744</v>
      </c>
      <c r="R3265" s="9">
        <v>2010.0</v>
      </c>
      <c r="S3265" s="9">
        <v>3.8</v>
      </c>
    </row>
    <row r="3266" ht="15.75" customHeight="1">
      <c r="A3266" s="25" t="s">
        <v>2674</v>
      </c>
      <c r="B3266" s="8" t="str">
        <f>IFERROR(__xludf.DUMMYFUNCTION("REGEXREPLACE(A3266, ""[^0-9a-zA-Z .'Ã]"","""")"),"Michael Mann")</f>
        <v>Michael Mann</v>
      </c>
      <c r="C3266" s="26">
        <v>261.0</v>
      </c>
      <c r="D3266" s="27">
        <v>7097125.0</v>
      </c>
      <c r="E3266" s="26" t="s">
        <v>610</v>
      </c>
      <c r="F3266" s="9">
        <f t="shared" si="1"/>
        <v>5</v>
      </c>
      <c r="G3266" s="26" t="s">
        <v>1439</v>
      </c>
      <c r="H3266" s="11" t="str">
        <f>IFERROR(__xludf.DUMMYFUNCTION("REGEXREPLACE(G3266, ""[^0-9a-zA-Z .'Ã]"","""")"),"Chris Hemsworth")</f>
        <v>Chris Hemsworth</v>
      </c>
      <c r="I3266" s="28" t="s">
        <v>10240</v>
      </c>
      <c r="J3266" s="26">
        <v>38983.0</v>
      </c>
      <c r="K3266" s="26" t="s">
        <v>10241</v>
      </c>
      <c r="L3266" s="26">
        <v>207.0</v>
      </c>
      <c r="M3266" s="26" t="s">
        <v>24</v>
      </c>
      <c r="N3266" s="26" t="s">
        <v>25</v>
      </c>
      <c r="O3266" s="27">
        <v>7.0E7</v>
      </c>
      <c r="P3266" s="10">
        <f t="shared" si="2"/>
        <v>0</v>
      </c>
      <c r="Q3266" s="12">
        <f t="shared" si="3"/>
        <v>62902875</v>
      </c>
      <c r="R3266" s="26">
        <v>2015.0</v>
      </c>
      <c r="S3266" s="26">
        <v>5.4</v>
      </c>
    </row>
    <row r="3267" ht="15.75" customHeight="1">
      <c r="A3267" s="21" t="s">
        <v>5028</v>
      </c>
      <c r="B3267" s="8" t="str">
        <f>IFERROR(__xludf.DUMMYFUNCTION("REGEXREPLACE(A3267, ""[^0-9a-zA-Z .'Ã]"","""")"),"Evan Goldberg")</f>
        <v>Evan Goldberg</v>
      </c>
      <c r="C3267" s="22">
        <v>293.0</v>
      </c>
      <c r="D3267" s="23">
        <v>6105175.0</v>
      </c>
      <c r="E3267" s="22" t="s">
        <v>137</v>
      </c>
      <c r="F3267" s="9">
        <f t="shared" si="1"/>
        <v>1</v>
      </c>
      <c r="G3267" s="22" t="s">
        <v>404</v>
      </c>
      <c r="H3267" s="11" t="str">
        <f>IFERROR(__xludf.DUMMYFUNCTION("REGEXREPLACE(G3267, ""[^0-9a-zA-Z .'Ã]"","""")"),"James Franco")</f>
        <v>James Franco</v>
      </c>
      <c r="I3267" s="24" t="s">
        <v>10242</v>
      </c>
      <c r="J3267" s="22">
        <v>247020.0</v>
      </c>
      <c r="K3267" s="22" t="s">
        <v>10243</v>
      </c>
      <c r="L3267" s="22">
        <v>835.0</v>
      </c>
      <c r="M3267" s="22" t="s">
        <v>24</v>
      </c>
      <c r="N3267" s="22" t="s">
        <v>25</v>
      </c>
      <c r="O3267" s="23">
        <v>4.4E7</v>
      </c>
      <c r="P3267" s="10">
        <f t="shared" si="2"/>
        <v>0</v>
      </c>
      <c r="Q3267" s="12">
        <f t="shared" si="3"/>
        <v>37894825</v>
      </c>
      <c r="R3267" s="22">
        <v>2014.0</v>
      </c>
      <c r="S3267" s="22">
        <v>6.6</v>
      </c>
    </row>
    <row r="3268" ht="15.75" customHeight="1">
      <c r="A3268" s="13" t="s">
        <v>1844</v>
      </c>
      <c r="B3268" s="8" t="str">
        <f>IFERROR(__xludf.DUMMYFUNCTION("REGEXREPLACE(A3268, ""[^0-9a-zA-Z .'Ã]"","""")"),"Mike Leigh")</f>
        <v>Mike Leigh</v>
      </c>
      <c r="C3268" s="14">
        <v>169.0</v>
      </c>
      <c r="D3268" s="15">
        <v>3753806.0</v>
      </c>
      <c r="E3268" s="14" t="s">
        <v>54</v>
      </c>
      <c r="F3268" s="9">
        <f t="shared" si="1"/>
        <v>2</v>
      </c>
      <c r="G3268" s="14" t="s">
        <v>5449</v>
      </c>
      <c r="H3268" s="11" t="str">
        <f>IFERROR(__xludf.DUMMYFUNCTION("REGEXREPLACE(G3268, ""[^0-9a-zA-Z .'Ã]"","""")"),"Eddie Marsan")</f>
        <v>Eddie Marsan</v>
      </c>
      <c r="I3268" s="16" t="s">
        <v>10244</v>
      </c>
      <c r="J3268" s="14">
        <v>20307.0</v>
      </c>
      <c r="K3268" s="14" t="s">
        <v>10245</v>
      </c>
      <c r="L3268" s="14">
        <v>165.0</v>
      </c>
      <c r="M3268" s="14" t="s">
        <v>24</v>
      </c>
      <c r="N3268" s="14" t="s">
        <v>130</v>
      </c>
      <c r="O3268" s="15">
        <v>1.1E7</v>
      </c>
      <c r="P3268" s="10">
        <f t="shared" si="2"/>
        <v>0</v>
      </c>
      <c r="Q3268" s="12">
        <f t="shared" si="3"/>
        <v>7246194</v>
      </c>
      <c r="R3268" s="14">
        <v>2004.0</v>
      </c>
      <c r="S3268" s="14">
        <v>7.7</v>
      </c>
    </row>
    <row r="3269" ht="15.75" customHeight="1">
      <c r="A3269" s="25" t="s">
        <v>609</v>
      </c>
      <c r="B3269" s="8" t="str">
        <f>IFERROR(__xludf.DUMMYFUNCTION("REGEXREPLACE(A3269, ""[^0-9a-zA-Z .'Ã]"","""")"),"Jonathan Mostow")</f>
        <v>Jonathan Mostow</v>
      </c>
      <c r="C3269" s="26">
        <v>258.0</v>
      </c>
      <c r="D3269" s="27">
        <v>3.8542418E7</v>
      </c>
      <c r="E3269" s="26" t="s">
        <v>1734</v>
      </c>
      <c r="F3269" s="9">
        <f t="shared" si="1"/>
        <v>3</v>
      </c>
      <c r="G3269" s="26" t="s">
        <v>55</v>
      </c>
      <c r="H3269" s="11" t="str">
        <f>IFERROR(__xludf.DUMMYFUNCTION("REGEXREPLACE(G3269, ""[^0-9a-zA-Z .'Ã]"","""")"),"Bruce Willis")</f>
        <v>Bruce Willis</v>
      </c>
      <c r="I3269" s="28" t="s">
        <v>10246</v>
      </c>
      <c r="J3269" s="26">
        <v>151424.0</v>
      </c>
      <c r="K3269" s="26" t="s">
        <v>10247</v>
      </c>
      <c r="L3269" s="26">
        <v>252.0</v>
      </c>
      <c r="M3269" s="26" t="s">
        <v>24</v>
      </c>
      <c r="N3269" s="26" t="s">
        <v>25</v>
      </c>
      <c r="O3269" s="27">
        <v>8.0E7</v>
      </c>
      <c r="P3269" s="10">
        <f t="shared" si="2"/>
        <v>0</v>
      </c>
      <c r="Q3269" s="12">
        <f t="shared" si="3"/>
        <v>41457582</v>
      </c>
      <c r="R3269" s="26">
        <v>2009.0</v>
      </c>
      <c r="S3269" s="26">
        <v>6.3</v>
      </c>
    </row>
    <row r="3270" ht="15.75" customHeight="1">
      <c r="A3270" s="7" t="s">
        <v>10248</v>
      </c>
      <c r="B3270" s="8" t="str">
        <f>IFERROR(__xludf.DUMMYFUNCTION("REGEXREPLACE(A3270, ""[^0-9a-zA-Z .'Ã]"","""")"),"Kelly Asbury")</f>
        <v>Kelly Asbury</v>
      </c>
      <c r="C3270" s="9">
        <v>106.0</v>
      </c>
      <c r="D3270" s="10">
        <v>7.321531E7</v>
      </c>
      <c r="E3270" s="9" t="s">
        <v>10249</v>
      </c>
      <c r="F3270" s="9">
        <f t="shared" si="1"/>
        <v>4</v>
      </c>
      <c r="G3270" s="9" t="s">
        <v>585</v>
      </c>
      <c r="H3270" s="11" t="str">
        <f>IFERROR(__xludf.DUMMYFUNCTION("REGEXREPLACE(G3270, ""[^0-9a-zA-Z .'Ã]"","""")"),"Matt Damon")</f>
        <v>Matt Damon</v>
      </c>
      <c r="I3270" s="11" t="s">
        <v>10250</v>
      </c>
      <c r="J3270" s="9">
        <v>44143.0</v>
      </c>
      <c r="K3270" s="9" t="s">
        <v>10251</v>
      </c>
      <c r="L3270" s="9">
        <v>216.0</v>
      </c>
      <c r="M3270" s="9" t="s">
        <v>24</v>
      </c>
      <c r="N3270" s="9" t="s">
        <v>25</v>
      </c>
      <c r="O3270" s="10">
        <v>8.0E7</v>
      </c>
      <c r="P3270" s="10">
        <f t="shared" si="2"/>
        <v>0</v>
      </c>
      <c r="Q3270" s="12">
        <f t="shared" si="3"/>
        <v>6784690</v>
      </c>
      <c r="R3270" s="9">
        <v>2002.0</v>
      </c>
      <c r="S3270" s="9">
        <v>7.0</v>
      </c>
    </row>
    <row r="3271" ht="15.75" customHeight="1">
      <c r="A3271" s="25" t="s">
        <v>1003</v>
      </c>
      <c r="B3271" s="8" t="str">
        <f>IFERROR(__xludf.DUMMYFUNCTION("REGEXREPLACE(A3271, ""[^0-9a-zA-Z .'Ã]"","""")"),"Morgan Spurlock")</f>
        <v>Morgan Spurlock</v>
      </c>
      <c r="C3271" s="26">
        <v>83.0</v>
      </c>
      <c r="D3271" s="27">
        <v>2.8873374E7</v>
      </c>
      <c r="E3271" s="26" t="s">
        <v>715</v>
      </c>
      <c r="F3271" s="9">
        <f t="shared" si="1"/>
        <v>2</v>
      </c>
      <c r="G3271" s="26" t="s">
        <v>10252</v>
      </c>
      <c r="H3271" s="11" t="str">
        <f>IFERROR(__xludf.DUMMYFUNCTION("REGEXREPLACE(G3271, ""[^0-9a-zA-Z .'Ã]"","""")"),"Harry Styles")</f>
        <v>Harry Styles</v>
      </c>
      <c r="I3271" s="28" t="s">
        <v>10253</v>
      </c>
      <c r="J3271" s="26">
        <v>22161.0</v>
      </c>
      <c r="K3271" s="26" t="s">
        <v>10254</v>
      </c>
      <c r="L3271" s="26">
        <v>68.0</v>
      </c>
      <c r="M3271" s="26" t="s">
        <v>24</v>
      </c>
      <c r="N3271" s="26" t="s">
        <v>25</v>
      </c>
      <c r="O3271" s="27">
        <v>1.0E7</v>
      </c>
      <c r="P3271" s="10">
        <f t="shared" si="2"/>
        <v>18873374</v>
      </c>
      <c r="Q3271" s="12">
        <f t="shared" si="3"/>
        <v>0</v>
      </c>
      <c r="R3271" s="26">
        <v>2013.0</v>
      </c>
      <c r="S3271" s="26">
        <v>4.1</v>
      </c>
    </row>
    <row r="3272" ht="15.75" customHeight="1">
      <c r="A3272" s="7" t="s">
        <v>1668</v>
      </c>
      <c r="B3272" s="8" t="str">
        <f>IFERROR(__xludf.DUMMYFUNCTION("REGEXREPLACE(A3272, ""[^0-9a-zA-Z .'Ã]"","""")"),"George A. Romero")</f>
        <v>George A. Romero</v>
      </c>
      <c r="C3272" s="9">
        <v>280.0</v>
      </c>
      <c r="D3272" s="10">
        <v>952620.0</v>
      </c>
      <c r="E3272" s="9" t="s">
        <v>148</v>
      </c>
      <c r="F3272" s="9">
        <f t="shared" si="1"/>
        <v>1</v>
      </c>
      <c r="G3272" s="9" t="s">
        <v>10255</v>
      </c>
      <c r="H3272" s="11" t="str">
        <f>IFERROR(__xludf.DUMMYFUNCTION("REGEXREPLACE(G3272, ""[^0-9a-zA-Z .'Ã]"","""")"),"Megan Park")</f>
        <v>Megan Park</v>
      </c>
      <c r="I3272" s="11" t="s">
        <v>10256</v>
      </c>
      <c r="J3272" s="9">
        <v>40800.0</v>
      </c>
      <c r="K3272" s="9" t="s">
        <v>10257</v>
      </c>
      <c r="L3272" s="9">
        <v>332.0</v>
      </c>
      <c r="M3272" s="9" t="s">
        <v>24</v>
      </c>
      <c r="N3272" s="9" t="s">
        <v>25</v>
      </c>
      <c r="O3272" s="10">
        <v>2000000.0</v>
      </c>
      <c r="P3272" s="10">
        <f t="shared" si="2"/>
        <v>0</v>
      </c>
      <c r="Q3272" s="12">
        <f t="shared" si="3"/>
        <v>1047380</v>
      </c>
      <c r="R3272" s="9">
        <v>2007.0</v>
      </c>
      <c r="S3272" s="9">
        <v>5.7</v>
      </c>
    </row>
    <row r="3273" ht="15.75" customHeight="1">
      <c r="A3273" s="21" t="s">
        <v>1767</v>
      </c>
      <c r="B3273" s="8" t="str">
        <f>IFERROR(__xludf.DUMMYFUNCTION("REGEXREPLACE(A3273, ""[^0-9a-zA-Z .'Ã]"","""")"),"Barry Levinson")</f>
        <v>Barry Levinson</v>
      </c>
      <c r="C3273" s="22">
        <v>100.0</v>
      </c>
      <c r="D3273" s="23">
        <v>1.72825435E8</v>
      </c>
      <c r="E3273" s="22" t="s">
        <v>103</v>
      </c>
      <c r="F3273" s="9">
        <f t="shared" si="1"/>
        <v>1</v>
      </c>
      <c r="G3273" s="22" t="s">
        <v>220</v>
      </c>
      <c r="H3273" s="11" t="str">
        <f>IFERROR(__xludf.DUMMYFUNCTION("REGEXREPLACE(G3273, ""[^0-9a-zA-Z .'Ã]"","""")"),"Tom Cruise")</f>
        <v>Tom Cruise</v>
      </c>
      <c r="I3273" s="24" t="s">
        <v>10258</v>
      </c>
      <c r="J3273" s="22">
        <v>383784.0</v>
      </c>
      <c r="K3273" s="22" t="s">
        <v>10259</v>
      </c>
      <c r="L3273" s="22">
        <v>331.0</v>
      </c>
      <c r="M3273" s="22" t="s">
        <v>24</v>
      </c>
      <c r="N3273" s="22" t="s">
        <v>25</v>
      </c>
      <c r="O3273" s="23">
        <v>2.5E7</v>
      </c>
      <c r="P3273" s="10">
        <f t="shared" si="2"/>
        <v>147825435</v>
      </c>
      <c r="Q3273" s="12">
        <f t="shared" si="3"/>
        <v>0</v>
      </c>
      <c r="R3273" s="22">
        <v>1988.0</v>
      </c>
      <c r="S3273" s="22">
        <v>8.0</v>
      </c>
    </row>
    <row r="3274" ht="15.75" customHeight="1">
      <c r="A3274" s="25" t="s">
        <v>1095</v>
      </c>
      <c r="B3274" s="8" t="str">
        <f>IFERROR(__xludf.DUMMYFUNCTION("REGEXREPLACE(A3274, ""[^0-9a-zA-Z .'Ã]"","""")"),"Renny Harlin")</f>
        <v>Renny Harlin</v>
      </c>
      <c r="C3274" s="26">
        <v>48.0</v>
      </c>
      <c r="D3274" s="27">
        <v>2.1413502E7</v>
      </c>
      <c r="E3274" s="26" t="s">
        <v>10260</v>
      </c>
      <c r="F3274" s="9">
        <f t="shared" si="1"/>
        <v>6</v>
      </c>
      <c r="G3274" s="26" t="s">
        <v>1203</v>
      </c>
      <c r="H3274" s="11" t="str">
        <f>IFERROR(__xludf.DUMMYFUNCTION("REGEXREPLACE(G3274, ""[^0-9a-zA-Z .'Ã]"","""")"),"Lauren Holly")</f>
        <v>Lauren Holly</v>
      </c>
      <c r="I3274" s="28" t="s">
        <v>10261</v>
      </c>
      <c r="J3274" s="26">
        <v>14429.0</v>
      </c>
      <c r="K3274" s="26" t="s">
        <v>10262</v>
      </c>
      <c r="L3274" s="26">
        <v>113.0</v>
      </c>
      <c r="M3274" s="26" t="s">
        <v>24</v>
      </c>
      <c r="N3274" s="26" t="s">
        <v>25</v>
      </c>
      <c r="O3274" s="27">
        <v>4.0E7</v>
      </c>
      <c r="P3274" s="10">
        <f t="shared" si="2"/>
        <v>0</v>
      </c>
      <c r="Q3274" s="12">
        <f t="shared" si="3"/>
        <v>18586498</v>
      </c>
      <c r="R3274" s="26">
        <v>1990.0</v>
      </c>
      <c r="S3274" s="26">
        <v>6.3</v>
      </c>
    </row>
    <row r="3275" ht="15.75" customHeight="1">
      <c r="A3275" s="21" t="s">
        <v>10263</v>
      </c>
      <c r="B3275" s="8" t="str">
        <f>IFERROR(__xludf.DUMMYFUNCTION("REGEXREPLACE(A3275, ""[^0-9a-zA-Z .'Ã]"","""")"),"Elia Kazan")</f>
        <v>Elia Kazan</v>
      </c>
      <c r="C3275" s="22">
        <v>134.0</v>
      </c>
      <c r="D3275" s="23">
        <v>9600000.0</v>
      </c>
      <c r="E3275" s="22" t="s">
        <v>4961</v>
      </c>
      <c r="F3275" s="9">
        <f t="shared" si="1"/>
        <v>3</v>
      </c>
      <c r="G3275" s="22" t="s">
        <v>1930</v>
      </c>
      <c r="H3275" s="11" t="str">
        <f>IFERROR(__xludf.DUMMYFUNCTION("REGEXREPLACE(G3275, ""[^0-9a-zA-Z .'Ã]"","""")"),"Marlon Brando")</f>
        <v>Marlon Brando</v>
      </c>
      <c r="I3275" s="24" t="s">
        <v>10264</v>
      </c>
      <c r="J3275" s="22">
        <v>100890.0</v>
      </c>
      <c r="K3275" s="22" t="s">
        <v>10265</v>
      </c>
      <c r="L3275" s="22">
        <v>281.0</v>
      </c>
      <c r="M3275" s="22" t="s">
        <v>24</v>
      </c>
      <c r="N3275" s="22" t="s">
        <v>25</v>
      </c>
      <c r="O3275" s="23">
        <v>910000.0</v>
      </c>
      <c r="P3275" s="10">
        <f t="shared" si="2"/>
        <v>8690000</v>
      </c>
      <c r="Q3275" s="12">
        <f t="shared" si="3"/>
        <v>0</v>
      </c>
      <c r="R3275" s="22">
        <v>1954.0</v>
      </c>
      <c r="S3275" s="22">
        <v>8.2</v>
      </c>
    </row>
    <row r="3276" ht="15.75" customHeight="1">
      <c r="A3276" s="25" t="s">
        <v>823</v>
      </c>
      <c r="B3276" s="8" t="str">
        <f>IFERROR(__xludf.DUMMYFUNCTION("REGEXREPLACE(A3276, ""[^0-9a-zA-Z .'Ã]"","""")"),"Jon Amiel")</f>
        <v>Jon Amiel</v>
      </c>
      <c r="C3276" s="26">
        <v>34.0</v>
      </c>
      <c r="D3276" s="27">
        <v>1.3801755E7</v>
      </c>
      <c r="E3276" s="26" t="s">
        <v>790</v>
      </c>
      <c r="F3276" s="9">
        <f t="shared" si="1"/>
        <v>4</v>
      </c>
      <c r="G3276" s="26" t="s">
        <v>470</v>
      </c>
      <c r="H3276" s="11" t="str">
        <f>IFERROR(__xludf.DUMMYFUNCTION("REGEXREPLACE(G3276, ""[^0-9a-zA-Z .'Ã]"","""")"),"Bill Murray")</f>
        <v>Bill Murray</v>
      </c>
      <c r="I3276" s="28" t="s">
        <v>10266</v>
      </c>
      <c r="J3276" s="26">
        <v>23928.0</v>
      </c>
      <c r="K3276" s="26" t="s">
        <v>10267</v>
      </c>
      <c r="L3276" s="26">
        <v>100.0</v>
      </c>
      <c r="M3276" s="26" t="s">
        <v>24</v>
      </c>
      <c r="N3276" s="26" t="s">
        <v>25</v>
      </c>
      <c r="O3276" s="27">
        <v>2.0E7</v>
      </c>
      <c r="P3276" s="10">
        <f t="shared" si="2"/>
        <v>0</v>
      </c>
      <c r="Q3276" s="12">
        <f t="shared" si="3"/>
        <v>6198245</v>
      </c>
      <c r="R3276" s="26">
        <v>1997.0</v>
      </c>
      <c r="S3276" s="26">
        <v>6.6</v>
      </c>
    </row>
    <row r="3277" ht="15.75" customHeight="1">
      <c r="A3277" s="21" t="s">
        <v>10268</v>
      </c>
      <c r="B3277" s="8" t="str">
        <f>IFERROR(__xludf.DUMMYFUNCTION("REGEXREPLACE(A3277, ""[^0-9a-zA-Z -.'Ã]"","""")"),"Jorge R. GutiÃrrez")</f>
        <v>Jorge R. GutiÃrrez</v>
      </c>
      <c r="C3277" s="22">
        <v>156.0</v>
      </c>
      <c r="D3277" s="23">
        <v>5.0150619E7</v>
      </c>
      <c r="E3277" s="22" t="s">
        <v>545</v>
      </c>
      <c r="F3277" s="9">
        <f t="shared" si="1"/>
        <v>6</v>
      </c>
      <c r="G3277" s="22" t="s">
        <v>176</v>
      </c>
      <c r="H3277" s="11" t="str">
        <f>IFERROR(__xludf.DUMMYFUNCTION("REGEXREPLACE(G3277, ""[^0-9a-zA-Z .'Ã]"","""")"),"Channing Tatum")</f>
        <v>Channing Tatum</v>
      </c>
      <c r="I3277" s="24" t="s">
        <v>10269</v>
      </c>
      <c r="J3277" s="22">
        <v>45580.0</v>
      </c>
      <c r="K3277" s="22" t="s">
        <v>10270</v>
      </c>
      <c r="L3277" s="22">
        <v>102.0</v>
      </c>
      <c r="M3277" s="22" t="s">
        <v>24</v>
      </c>
      <c r="N3277" s="22" t="s">
        <v>25</v>
      </c>
      <c r="O3277" s="23">
        <v>5.0E7</v>
      </c>
      <c r="P3277" s="10">
        <f t="shared" si="2"/>
        <v>150619</v>
      </c>
      <c r="Q3277" s="12">
        <f t="shared" si="3"/>
        <v>0</v>
      </c>
      <c r="R3277" s="22">
        <v>2014.0</v>
      </c>
      <c r="S3277" s="22">
        <v>7.3</v>
      </c>
    </row>
    <row r="3278" ht="15.75" customHeight="1">
      <c r="A3278" s="29" t="s">
        <v>10271</v>
      </c>
      <c r="B3278" s="8" t="str">
        <f>IFERROR(__xludf.DUMMYFUNCTION("REGEXREPLACE(A3278, ""[^0-9a-zA-Z .'Ã]"","""")"),"Kelly Reichardt")</f>
        <v>Kelly Reichardt</v>
      </c>
      <c r="C3278" s="30">
        <v>189.0</v>
      </c>
      <c r="D3278" s="31">
        <v>856942.0</v>
      </c>
      <c r="E3278" s="30" t="s">
        <v>103</v>
      </c>
      <c r="F3278" s="9">
        <f t="shared" si="1"/>
        <v>1</v>
      </c>
      <c r="G3278" s="30" t="s">
        <v>10272</v>
      </c>
      <c r="H3278" s="11" t="str">
        <f>IFERROR(__xludf.DUMMYFUNCTION("REGEXREPLACE(G3278, ""[^0-9a-zA-Z .'Ã]"","""")"),"John Robinson")</f>
        <v>John Robinson</v>
      </c>
      <c r="I3278" s="32" t="s">
        <v>10273</v>
      </c>
      <c r="J3278" s="30">
        <v>12241.0</v>
      </c>
      <c r="K3278" s="30" t="s">
        <v>10274</v>
      </c>
      <c r="L3278" s="30">
        <v>112.0</v>
      </c>
      <c r="M3278" s="30" t="s">
        <v>24</v>
      </c>
      <c r="N3278" s="30" t="s">
        <v>25</v>
      </c>
      <c r="O3278" s="31">
        <v>200000.0</v>
      </c>
      <c r="P3278" s="10">
        <f t="shared" si="2"/>
        <v>656942</v>
      </c>
      <c r="Q3278" s="12">
        <f t="shared" si="3"/>
        <v>0</v>
      </c>
      <c r="R3278" s="30">
        <v>2008.0</v>
      </c>
      <c r="S3278" s="30">
        <v>7.1</v>
      </c>
    </row>
    <row r="3279" ht="15.75" customHeight="1">
      <c r="A3279" s="17" t="s">
        <v>3740</v>
      </c>
      <c r="B3279" s="8" t="str">
        <f>IFERROR(__xludf.DUMMYFUNCTION("REGEXREPLACE(A3279, ""[^0-9a-zA-Z .'Ã]"","""")"),"Sam Mendes")</f>
        <v>Sam Mendes</v>
      </c>
      <c r="C3279" s="18">
        <v>602.0</v>
      </c>
      <c r="D3279" s="19">
        <v>2.00074175E8</v>
      </c>
      <c r="E3279" s="18" t="s">
        <v>474</v>
      </c>
      <c r="F3279" s="9">
        <f t="shared" si="1"/>
        <v>3</v>
      </c>
      <c r="G3279" s="18" t="s">
        <v>3800</v>
      </c>
      <c r="H3279" s="11" t="str">
        <f>IFERROR(__xludf.DUMMYFUNCTION("REGEXREPLACE(G3279, ""[^0-9a-zA-Z .'Ã]"","""")"),"Christoph Waltz")</f>
        <v>Christoph Waltz</v>
      </c>
      <c r="I3279" s="18" t="s">
        <v>10275</v>
      </c>
      <c r="J3279" s="18">
        <v>275868.0</v>
      </c>
      <c r="K3279" s="18" t="s">
        <v>10276</v>
      </c>
      <c r="L3279" s="18">
        <v>994.0</v>
      </c>
      <c r="M3279" s="18" t="s">
        <v>24</v>
      </c>
      <c r="N3279" s="18" t="s">
        <v>130</v>
      </c>
      <c r="O3279" s="19">
        <v>2.45E8</v>
      </c>
      <c r="P3279" s="10">
        <f t="shared" si="2"/>
        <v>0</v>
      </c>
      <c r="Q3279" s="12">
        <f t="shared" si="3"/>
        <v>44925825</v>
      </c>
      <c r="R3279" s="18">
        <v>2015.0</v>
      </c>
      <c r="S3279" s="18">
        <v>6.8</v>
      </c>
    </row>
    <row r="3280" ht="15.75" customHeight="1">
      <c r="A3280" s="7" t="s">
        <v>760</v>
      </c>
      <c r="B3280" s="8" t="str">
        <f>IFERROR(__xludf.DUMMYFUNCTION("REGEXREPLACE(A3280, ""[^0-9a-zA-Z .'Ã]"","""")"),"Martin Scorsese")</f>
        <v>Martin Scorsese</v>
      </c>
      <c r="C3280" s="9">
        <v>112.0</v>
      </c>
      <c r="D3280" s="10">
        <v>32645.0</v>
      </c>
      <c r="E3280" s="9" t="s">
        <v>810</v>
      </c>
      <c r="F3280" s="9">
        <f t="shared" si="1"/>
        <v>4</v>
      </c>
      <c r="G3280" s="9" t="s">
        <v>883</v>
      </c>
      <c r="H3280" s="11" t="str">
        <f>IFERROR(__xludf.DUMMYFUNCTION("REGEXREPLACE(G3280, ""[^0-9a-zA-Z .'Ã]"","""")"),"Robert De Niro")</f>
        <v>Robert De Niro</v>
      </c>
      <c r="I3280" s="11" t="s">
        <v>10277</v>
      </c>
      <c r="J3280" s="9">
        <v>67797.0</v>
      </c>
      <c r="K3280" s="9" t="s">
        <v>10278</v>
      </c>
      <c r="L3280" s="9">
        <v>223.0</v>
      </c>
      <c r="M3280" s="9" t="s">
        <v>24</v>
      </c>
      <c r="N3280" s="9" t="s">
        <v>25</v>
      </c>
      <c r="O3280" s="10">
        <v>500000.0</v>
      </c>
      <c r="P3280" s="10">
        <f t="shared" si="2"/>
        <v>0</v>
      </c>
      <c r="Q3280" s="12">
        <f t="shared" si="3"/>
        <v>467355</v>
      </c>
      <c r="R3280" s="9">
        <v>1973.0</v>
      </c>
      <c r="S3280" s="9">
        <v>7.4</v>
      </c>
    </row>
    <row r="3281" ht="15.75" customHeight="1">
      <c r="A3281" s="21" t="s">
        <v>36</v>
      </c>
      <c r="B3281" s="8" t="str">
        <f>IFERROR(__xludf.DUMMYFUNCTION("REGEXREPLACE(A3281, ""[^0-9a-zA-Z .'Ã]"","""")"),"Sergio Leone")</f>
        <v>Sergio Leone</v>
      </c>
      <c r="C3281" s="22">
        <v>111.0</v>
      </c>
      <c r="D3281" s="23">
        <v>5300000.0</v>
      </c>
      <c r="E3281" s="22" t="s">
        <v>54</v>
      </c>
      <c r="F3281" s="9">
        <f t="shared" si="1"/>
        <v>2</v>
      </c>
      <c r="G3281" s="22" t="s">
        <v>883</v>
      </c>
      <c r="H3281" s="11" t="str">
        <f>IFERROR(__xludf.DUMMYFUNCTION("REGEXREPLACE(G3281, ""[^0-9a-zA-Z .'Ã]"","""")"),"Robert De Niro")</f>
        <v>Robert De Niro</v>
      </c>
      <c r="I3281" s="24" t="s">
        <v>10279</v>
      </c>
      <c r="J3281" s="22">
        <v>221000.0</v>
      </c>
      <c r="K3281" s="22" t="s">
        <v>10280</v>
      </c>
      <c r="L3281" s="22">
        <v>495.0</v>
      </c>
      <c r="M3281" s="22" t="s">
        <v>24</v>
      </c>
      <c r="N3281" s="22" t="s">
        <v>42</v>
      </c>
      <c r="O3281" s="23">
        <v>3.0E7</v>
      </c>
      <c r="P3281" s="10">
        <f t="shared" si="2"/>
        <v>0</v>
      </c>
      <c r="Q3281" s="12">
        <f t="shared" si="3"/>
        <v>24700000</v>
      </c>
      <c r="R3281" s="22">
        <v>1984.0</v>
      </c>
      <c r="S3281" s="22">
        <v>8.4</v>
      </c>
    </row>
    <row r="3282" ht="15.75" customHeight="1">
      <c r="A3282" s="17" t="s">
        <v>3195</v>
      </c>
      <c r="B3282" s="8" t="str">
        <f>IFERROR(__xludf.DUMMYFUNCTION("REGEXREPLACE(A3282, ""[^0-9a-zA-Z .'Ã]"","""")"),"James DeMonaco")</f>
        <v>James DeMonaco</v>
      </c>
      <c r="C3282" s="18">
        <v>285.0</v>
      </c>
      <c r="D3282" s="19">
        <v>7.151923E7</v>
      </c>
      <c r="E3282" s="18" t="s">
        <v>64</v>
      </c>
      <c r="F3282" s="9">
        <f t="shared" si="1"/>
        <v>4</v>
      </c>
      <c r="G3282" s="18" t="s">
        <v>10281</v>
      </c>
      <c r="H3282" s="11" t="str">
        <f>IFERROR(__xludf.DUMMYFUNCTION("REGEXREPLACE(G3282, ""[^0-9a-zA-Z .'Ã]"","""")"),"Noel Gugliemi")</f>
        <v>Noel Gugliemi</v>
      </c>
      <c r="I3282" s="20" t="s">
        <v>10282</v>
      </c>
      <c r="J3282" s="18">
        <v>92364.0</v>
      </c>
      <c r="K3282" s="18" t="s">
        <v>10283</v>
      </c>
      <c r="L3282" s="18">
        <v>244.0</v>
      </c>
      <c r="M3282" s="18" t="s">
        <v>24</v>
      </c>
      <c r="N3282" s="18" t="s">
        <v>25</v>
      </c>
      <c r="O3282" s="19">
        <v>9000000.0</v>
      </c>
      <c r="P3282" s="10">
        <f t="shared" si="2"/>
        <v>62519230</v>
      </c>
      <c r="Q3282" s="12">
        <f t="shared" si="3"/>
        <v>0</v>
      </c>
      <c r="R3282" s="18">
        <v>2014.0</v>
      </c>
      <c r="S3282" s="18">
        <v>6.5</v>
      </c>
    </row>
    <row r="3283" ht="15.75" customHeight="1">
      <c r="A3283" s="7" t="s">
        <v>10284</v>
      </c>
      <c r="B3283" s="8" t="str">
        <f>IFERROR(__xludf.DUMMYFUNCTION("REGEXREPLACE(A3283, ""[^0-9a-zA-Z .'Ã]"","""")"),"Christophe Gans")</f>
        <v>Christophe Gans</v>
      </c>
      <c r="C3283" s="9">
        <v>267.0</v>
      </c>
      <c r="D3283" s="10">
        <v>4.6982632E7</v>
      </c>
      <c r="E3283" s="9" t="s">
        <v>10285</v>
      </c>
      <c r="F3283" s="9">
        <f t="shared" si="1"/>
        <v>3</v>
      </c>
      <c r="G3283" s="9" t="s">
        <v>4097</v>
      </c>
      <c r="H3283" s="11" t="str">
        <f>IFERROR(__xludf.DUMMYFUNCTION("REGEXREPLACE(G3283, ""[^0-9a-zA-Z .'Ã]"","""")"),"Radha Mitchell")</f>
        <v>Radha Mitchell</v>
      </c>
      <c r="I3283" s="11" t="s">
        <v>10286</v>
      </c>
      <c r="J3283" s="9">
        <v>172792.0</v>
      </c>
      <c r="K3283" s="9" t="s">
        <v>10287</v>
      </c>
      <c r="L3283" s="9">
        <v>1740.0</v>
      </c>
      <c r="M3283" s="9" t="s">
        <v>24</v>
      </c>
      <c r="N3283" s="9" t="s">
        <v>624</v>
      </c>
      <c r="O3283" s="10">
        <v>5.0E7</v>
      </c>
      <c r="P3283" s="10">
        <f t="shared" si="2"/>
        <v>0</v>
      </c>
      <c r="Q3283" s="12">
        <f t="shared" si="3"/>
        <v>3017368</v>
      </c>
      <c r="R3283" s="9">
        <v>2006.0</v>
      </c>
      <c r="S3283" s="9">
        <v>6.6</v>
      </c>
    </row>
    <row r="3284" ht="15.75" customHeight="1">
      <c r="A3284" s="17" t="s">
        <v>10288</v>
      </c>
      <c r="B3284" s="8" t="str">
        <f>IFERROR(__xludf.DUMMYFUNCTION("REGEXREPLACE(A3284, ""[^0-9a-zA-Z .'Ã]"","""")"),"Lee Unkrich")</f>
        <v>Lee Unkrich</v>
      </c>
      <c r="C3284" s="18">
        <v>453.0</v>
      </c>
      <c r="D3284" s="19">
        <v>4.14984497E8</v>
      </c>
      <c r="E3284" s="18" t="s">
        <v>301</v>
      </c>
      <c r="F3284" s="9">
        <f t="shared" si="1"/>
        <v>5</v>
      </c>
      <c r="G3284" s="18" t="s">
        <v>461</v>
      </c>
      <c r="H3284" s="11" t="str">
        <f>IFERROR(__xludf.DUMMYFUNCTION("REGEXREPLACE(G3284, ""[^0-9a-zA-Z .'Ã]"","""")"),"Tom Hanks")</f>
        <v>Tom Hanks</v>
      </c>
      <c r="I3284" s="20" t="s">
        <v>10289</v>
      </c>
      <c r="J3284" s="18">
        <v>544884.0</v>
      </c>
      <c r="K3284" s="18" t="s">
        <v>10290</v>
      </c>
      <c r="L3284" s="18">
        <v>733.0</v>
      </c>
      <c r="M3284" s="18" t="s">
        <v>24</v>
      </c>
      <c r="N3284" s="18" t="s">
        <v>25</v>
      </c>
      <c r="O3284" s="19">
        <v>2.0E8</v>
      </c>
      <c r="P3284" s="10">
        <f t="shared" si="2"/>
        <v>214984497</v>
      </c>
      <c r="Q3284" s="12">
        <f t="shared" si="3"/>
        <v>0</v>
      </c>
      <c r="R3284" s="18">
        <v>2010.0</v>
      </c>
      <c r="S3284" s="18">
        <v>8.3</v>
      </c>
    </row>
    <row r="3285" ht="15.75" customHeight="1">
      <c r="A3285" s="13" t="s">
        <v>8105</v>
      </c>
      <c r="B3285" s="8" t="str">
        <f>IFERROR(__xludf.DUMMYFUNCTION("REGEXREPLACE(A3285, ""[^0-9a-zA-Z .'Ã]"","""")"),"Scott Hicks")</f>
        <v>Scott Hicks</v>
      </c>
      <c r="C3285" s="14">
        <v>171.0</v>
      </c>
      <c r="D3285" s="15">
        <v>4.3097652E7</v>
      </c>
      <c r="E3285" s="14" t="s">
        <v>159</v>
      </c>
      <c r="F3285" s="9">
        <f t="shared" si="1"/>
        <v>3</v>
      </c>
      <c r="G3285" s="14" t="s">
        <v>1052</v>
      </c>
      <c r="H3285" s="11" t="str">
        <f>IFERROR(__xludf.DUMMYFUNCTION("REGEXREPLACE(G3285, ""[^0-9a-zA-Z .'Ã]"","""")"),"ZoÃ Kravitz")</f>
        <v>ZoÃ Kravitz</v>
      </c>
      <c r="I3285" s="16" t="s">
        <v>10291</v>
      </c>
      <c r="J3285" s="14">
        <v>59068.0</v>
      </c>
      <c r="K3285" s="14" t="s">
        <v>10292</v>
      </c>
      <c r="L3285" s="14">
        <v>128.0</v>
      </c>
      <c r="M3285" s="14" t="s">
        <v>24</v>
      </c>
      <c r="N3285" s="14" t="s">
        <v>25</v>
      </c>
      <c r="O3285" s="15">
        <v>2.8E7</v>
      </c>
      <c r="P3285" s="10">
        <f t="shared" si="2"/>
        <v>15097652</v>
      </c>
      <c r="Q3285" s="12">
        <f t="shared" si="3"/>
        <v>0</v>
      </c>
      <c r="R3285" s="14">
        <v>2007.0</v>
      </c>
      <c r="S3285" s="14">
        <v>6.3</v>
      </c>
    </row>
    <row r="3286" ht="15.75" customHeight="1">
      <c r="A3286" s="17" t="s">
        <v>10293</v>
      </c>
      <c r="B3286" s="8" t="str">
        <f>IFERROR(__xludf.DUMMYFUNCTION("REGEXREPLACE(A3286, ""[^0-9a-zA-Z .'Ã]"","""")"),"Jeannot Szwarc")</f>
        <v>Jeannot Szwarc</v>
      </c>
      <c r="C3286" s="18">
        <v>75.0</v>
      </c>
      <c r="D3286" s="19">
        <v>1.02922376E8</v>
      </c>
      <c r="E3286" s="18" t="s">
        <v>2036</v>
      </c>
      <c r="F3286" s="9">
        <f t="shared" si="1"/>
        <v>3</v>
      </c>
      <c r="G3286" s="18" t="s">
        <v>3097</v>
      </c>
      <c r="H3286" s="11" t="str">
        <f>IFERROR(__xludf.DUMMYFUNCTION("REGEXREPLACE(G3286, ""[^0-9a-zA-Z .'Ã]"","""")"),"Roy Scheider")</f>
        <v>Roy Scheider</v>
      </c>
      <c r="I3286" s="20" t="s">
        <v>10294</v>
      </c>
      <c r="J3286" s="18">
        <v>51314.0</v>
      </c>
      <c r="K3286" s="18" t="s">
        <v>10295</v>
      </c>
      <c r="L3286" s="18">
        <v>265.0</v>
      </c>
      <c r="M3286" s="18" t="s">
        <v>24</v>
      </c>
      <c r="N3286" s="18" t="s">
        <v>25</v>
      </c>
      <c r="O3286" s="19">
        <v>2.0E7</v>
      </c>
      <c r="P3286" s="10">
        <f t="shared" si="2"/>
        <v>82922376</v>
      </c>
      <c r="Q3286" s="12">
        <f t="shared" si="3"/>
        <v>0</v>
      </c>
      <c r="R3286" s="18">
        <v>1978.0</v>
      </c>
      <c r="S3286" s="18">
        <v>5.7</v>
      </c>
    </row>
    <row r="3287" ht="15.75" customHeight="1">
      <c r="A3287" s="17" t="s">
        <v>3651</v>
      </c>
      <c r="B3287" s="8" t="str">
        <f>IFERROR(__xludf.DUMMYFUNCTION("REGEXREPLACE(A3287, ""[^0-9a-zA-Z .'Ã]"","""")"),"Uwe Boll")</f>
        <v>Uwe Boll</v>
      </c>
      <c r="C3287" s="18">
        <v>143.0</v>
      </c>
      <c r="D3287" s="19">
        <v>1550000.0</v>
      </c>
      <c r="E3287" s="18" t="s">
        <v>10296</v>
      </c>
      <c r="F3287" s="9">
        <f t="shared" si="1"/>
        <v>4</v>
      </c>
      <c r="G3287" s="18" t="s">
        <v>5650</v>
      </c>
      <c r="H3287" s="11" t="str">
        <f>IFERROR(__xludf.DUMMYFUNCTION("REGEXREPLACE(G3287, ""[^0-9a-zA-Z .'Ã]"","""")"),"Meat Loaf")</f>
        <v>Meat Loaf</v>
      </c>
      <c r="I3287" s="20" t="s">
        <v>10297</v>
      </c>
      <c r="J3287" s="18">
        <v>30628.0</v>
      </c>
      <c r="K3287" s="18" t="s">
        <v>10298</v>
      </c>
      <c r="L3287" s="18">
        <v>471.0</v>
      </c>
      <c r="M3287" s="18" t="s">
        <v>24</v>
      </c>
      <c r="N3287" s="18" t="s">
        <v>25</v>
      </c>
      <c r="O3287" s="19">
        <v>2.5E7</v>
      </c>
      <c r="P3287" s="10">
        <f t="shared" si="2"/>
        <v>0</v>
      </c>
      <c r="Q3287" s="12">
        <f t="shared" si="3"/>
        <v>23450000</v>
      </c>
      <c r="R3287" s="18">
        <v>2005.0</v>
      </c>
      <c r="S3287" s="18">
        <v>2.9</v>
      </c>
    </row>
    <row r="3288" ht="15.75" customHeight="1">
      <c r="A3288" s="17" t="s">
        <v>10299</v>
      </c>
      <c r="B3288" s="8" t="str">
        <f>IFERROR(__xludf.DUMMYFUNCTION("REGEXREPLACE(A3288, ""[^0-9a-zA-Z .'Ã]"","""")"),"Jim Fall")</f>
        <v>Jim Fall</v>
      </c>
      <c r="C3288" s="18">
        <v>66.0</v>
      </c>
      <c r="D3288" s="19">
        <v>4.267263E7</v>
      </c>
      <c r="E3288" s="18" t="s">
        <v>10300</v>
      </c>
      <c r="F3288" s="9">
        <f t="shared" si="1"/>
        <v>5</v>
      </c>
      <c r="G3288" s="18" t="s">
        <v>10301</v>
      </c>
      <c r="H3288" s="11" t="str">
        <f>IFERROR(__xludf.DUMMYFUNCTION("REGEXREPLACE(G3288, ""[^0-9a-zA-Z .'Ã]"","""")"),"Clayton Snyder")</f>
        <v>Clayton Snyder</v>
      </c>
      <c r="I3288" s="20" t="s">
        <v>10302</v>
      </c>
      <c r="J3288" s="18">
        <v>27580.0</v>
      </c>
      <c r="K3288" s="18" t="s">
        <v>10303</v>
      </c>
      <c r="L3288" s="18">
        <v>172.0</v>
      </c>
      <c r="M3288" s="18" t="s">
        <v>24</v>
      </c>
      <c r="N3288" s="18" t="s">
        <v>25</v>
      </c>
      <c r="O3288" s="19">
        <v>1.7E7</v>
      </c>
      <c r="P3288" s="10">
        <f t="shared" si="2"/>
        <v>25672630</v>
      </c>
      <c r="Q3288" s="12">
        <f t="shared" si="3"/>
        <v>0</v>
      </c>
      <c r="R3288" s="18">
        <v>2003.0</v>
      </c>
      <c r="S3288" s="18">
        <v>5.3</v>
      </c>
    </row>
    <row r="3289" ht="15.75" customHeight="1">
      <c r="A3289" s="25" t="s">
        <v>2859</v>
      </c>
      <c r="B3289" s="8" t="str">
        <f>IFERROR(__xludf.DUMMYFUNCTION("REGEXREPLACE(A3289, ""[^0-9a-zA-Z .'Ã]"","""")"),"Louis Leterrier")</f>
        <v>Louis Leterrier</v>
      </c>
      <c r="C3289" s="26">
        <v>384.0</v>
      </c>
      <c r="D3289" s="27">
        <v>1.17698894E8</v>
      </c>
      <c r="E3289" s="26" t="s">
        <v>575</v>
      </c>
      <c r="F3289" s="9">
        <f t="shared" si="1"/>
        <v>3</v>
      </c>
      <c r="G3289" s="26" t="s">
        <v>170</v>
      </c>
      <c r="H3289" s="11" t="str">
        <f>IFERROR(__xludf.DUMMYFUNCTION("REGEXREPLACE(G3289, ""[^0-9a-zA-Z .'Ã]"","""")"),"Morgan Freeman")</f>
        <v>Morgan Freeman</v>
      </c>
      <c r="I3289" s="28" t="s">
        <v>10304</v>
      </c>
      <c r="J3289" s="26">
        <v>447979.0</v>
      </c>
      <c r="K3289" s="26" t="s">
        <v>10305</v>
      </c>
      <c r="L3289" s="26">
        <v>629.0</v>
      </c>
      <c r="M3289" s="26" t="s">
        <v>24</v>
      </c>
      <c r="N3289" s="26" t="s">
        <v>25</v>
      </c>
      <c r="O3289" s="27">
        <v>7.5E7</v>
      </c>
      <c r="P3289" s="10">
        <f t="shared" si="2"/>
        <v>42698894</v>
      </c>
      <c r="Q3289" s="12">
        <f t="shared" si="3"/>
        <v>0</v>
      </c>
      <c r="R3289" s="26">
        <v>2013.0</v>
      </c>
      <c r="S3289" s="26">
        <v>7.3</v>
      </c>
    </row>
    <row r="3290" ht="15.75" customHeight="1">
      <c r="A3290" s="7" t="s">
        <v>500</v>
      </c>
      <c r="B3290" s="8" t="str">
        <f>IFERROR(__xludf.DUMMYFUNCTION("REGEXREPLACE(A3290, ""[^0-9a-zA-Z .'Ã]"","""")"),"Brian Helgeland")</f>
        <v>Brian Helgeland</v>
      </c>
      <c r="C3290" s="9">
        <v>216.0</v>
      </c>
      <c r="D3290" s="10">
        <v>9.5001343E7</v>
      </c>
      <c r="E3290" s="9" t="s">
        <v>1124</v>
      </c>
      <c r="F3290" s="9">
        <f t="shared" si="1"/>
        <v>3</v>
      </c>
      <c r="G3290" s="9" t="s">
        <v>637</v>
      </c>
      <c r="H3290" s="11" t="str">
        <f>IFERROR(__xludf.DUMMYFUNCTION("REGEXREPLACE(G3290, ""[^0-9a-zA-Z .'Ã]"","""")"),"Harrison Ford")</f>
        <v>Harrison Ford</v>
      </c>
      <c r="I3290" s="11" t="s">
        <v>10306</v>
      </c>
      <c r="J3290" s="9">
        <v>66511.0</v>
      </c>
      <c r="K3290" s="9" t="s">
        <v>10307</v>
      </c>
      <c r="L3290" s="9">
        <v>200.0</v>
      </c>
      <c r="M3290" s="9" t="s">
        <v>24</v>
      </c>
      <c r="N3290" s="9" t="s">
        <v>25</v>
      </c>
      <c r="O3290" s="10">
        <v>4.0E7</v>
      </c>
      <c r="P3290" s="10">
        <f t="shared" si="2"/>
        <v>55001343</v>
      </c>
      <c r="Q3290" s="12">
        <f t="shared" si="3"/>
        <v>0</v>
      </c>
      <c r="R3290" s="9">
        <v>2013.0</v>
      </c>
      <c r="S3290" s="9">
        <v>7.5</v>
      </c>
    </row>
    <row r="3291" ht="15.75" customHeight="1">
      <c r="A3291" s="29" t="s">
        <v>7374</v>
      </c>
      <c r="B3291" s="8" t="str">
        <f>IFERROR(__xludf.DUMMYFUNCTION("REGEXREPLACE(A3291, ""[^0-9a-zA-Z .'Ã]"","""")"),"George P. Cosmatos")</f>
        <v>George P. Cosmatos</v>
      </c>
      <c r="C3291" s="30">
        <v>24.0</v>
      </c>
      <c r="D3291" s="31">
        <v>2154540.0</v>
      </c>
      <c r="E3291" s="30" t="s">
        <v>1096</v>
      </c>
      <c r="F3291" s="9">
        <f t="shared" si="1"/>
        <v>2</v>
      </c>
      <c r="G3291" s="30" t="s">
        <v>10308</v>
      </c>
      <c r="H3291" s="11" t="str">
        <f>IFERROR(__xludf.DUMMYFUNCTION("REGEXREPLACE(G3291, ""[^0-9a-zA-Z .'Ã]"","""")"),"Sam Waterston")</f>
        <v>Sam Waterston</v>
      </c>
      <c r="I3291" s="32" t="s">
        <v>10309</v>
      </c>
      <c r="J3291" s="30">
        <v>3803.0</v>
      </c>
      <c r="K3291" s="30" t="s">
        <v>10310</v>
      </c>
      <c r="L3291" s="30">
        <v>41.0</v>
      </c>
      <c r="M3291" s="30" t="s">
        <v>24</v>
      </c>
      <c r="N3291" s="30" t="s">
        <v>25</v>
      </c>
      <c r="O3291" s="31">
        <v>4.5E7</v>
      </c>
      <c r="P3291" s="10">
        <f t="shared" si="2"/>
        <v>0</v>
      </c>
      <c r="Q3291" s="12">
        <f t="shared" si="3"/>
        <v>42845460</v>
      </c>
      <c r="R3291" s="30">
        <v>1997.0</v>
      </c>
      <c r="S3291" s="30">
        <v>4.9</v>
      </c>
    </row>
    <row r="3292" ht="15.75" customHeight="1">
      <c r="A3292" s="7" t="s">
        <v>10311</v>
      </c>
      <c r="B3292" s="8" t="str">
        <f>IFERROR(__xludf.DUMMYFUNCTION("REGEXREPLACE(A3292, ""[^0-9a-zA-Z .'Ã]"","""")"),"Charlie Kaufman")</f>
        <v>Charlie Kaufman</v>
      </c>
      <c r="C3292" s="9">
        <v>245.0</v>
      </c>
      <c r="D3292" s="10">
        <v>3081925.0</v>
      </c>
      <c r="E3292" s="9" t="s">
        <v>159</v>
      </c>
      <c r="F3292" s="9">
        <f t="shared" si="1"/>
        <v>3</v>
      </c>
      <c r="G3292" s="9" t="s">
        <v>1340</v>
      </c>
      <c r="H3292" s="11" t="str">
        <f>IFERROR(__xludf.DUMMYFUNCTION("REGEXREPLACE(G3292, ""[^0-9a-zA-Z .'Ã]"","""")"),"Philip Seymour Hoffman")</f>
        <v>Philip Seymour Hoffman</v>
      </c>
      <c r="I3292" s="11" t="s">
        <v>10312</v>
      </c>
      <c r="J3292" s="9">
        <v>55842.0</v>
      </c>
      <c r="K3292" s="9" t="s">
        <v>10313</v>
      </c>
      <c r="L3292" s="9">
        <v>274.0</v>
      </c>
      <c r="M3292" s="9" t="s">
        <v>24</v>
      </c>
      <c r="N3292" s="9" t="s">
        <v>25</v>
      </c>
      <c r="O3292" s="10">
        <v>2.1E7</v>
      </c>
      <c r="P3292" s="10">
        <f t="shared" si="2"/>
        <v>0</v>
      </c>
      <c r="Q3292" s="12">
        <f t="shared" si="3"/>
        <v>17918075</v>
      </c>
      <c r="R3292" s="9">
        <v>2008.0</v>
      </c>
      <c r="S3292" s="9">
        <v>7.5</v>
      </c>
    </row>
    <row r="3293" ht="15.75" customHeight="1">
      <c r="A3293" s="21" t="s">
        <v>10314</v>
      </c>
      <c r="B3293" s="8" t="str">
        <f>IFERROR(__xludf.DUMMYFUNCTION("REGEXREPLACE(A3293, ""[^0-9a-zA-Z .'Ã]"","""")"),"Thea Sharrock")</f>
        <v>Thea Sharrock</v>
      </c>
      <c r="C3293" s="22">
        <v>151.0</v>
      </c>
      <c r="D3293" s="23">
        <v>5.6154094E7</v>
      </c>
      <c r="E3293" s="22" t="s">
        <v>232</v>
      </c>
      <c r="F3293" s="9">
        <f t="shared" si="1"/>
        <v>2</v>
      </c>
      <c r="G3293" s="22" t="s">
        <v>10315</v>
      </c>
      <c r="H3293" s="11" t="str">
        <f>IFERROR(__xludf.DUMMYFUNCTION("REGEXREPLACE(G3293, ""[^0-9a-zA-Z .'Ã]"","""")"),"Sam Claflin")</f>
        <v>Sam Claflin</v>
      </c>
      <c r="I3293" s="24" t="s">
        <v>10316</v>
      </c>
      <c r="J3293" s="22">
        <v>44723.0</v>
      </c>
      <c r="K3293" s="22" t="s">
        <v>10317</v>
      </c>
      <c r="L3293" s="22">
        <v>130.0</v>
      </c>
      <c r="M3293" s="22" t="s">
        <v>24</v>
      </c>
      <c r="N3293" s="22" t="s">
        <v>130</v>
      </c>
      <c r="O3293" s="23">
        <v>2.0E7</v>
      </c>
      <c r="P3293" s="10">
        <f t="shared" si="2"/>
        <v>36154094</v>
      </c>
      <c r="Q3293" s="12">
        <f t="shared" si="3"/>
        <v>0</v>
      </c>
      <c r="R3293" s="22">
        <v>2016.0</v>
      </c>
      <c r="S3293" s="22">
        <v>7.6</v>
      </c>
    </row>
    <row r="3294" ht="15.75" customHeight="1">
      <c r="A3294" s="7" t="s">
        <v>6156</v>
      </c>
      <c r="B3294" s="8" t="str">
        <f>IFERROR(__xludf.DUMMYFUNCTION("REGEXREPLACE(A3294, ""[^0-9a-zA-Z .'Ã]"","""")"),"Jared Hess")</f>
        <v>Jared Hess</v>
      </c>
      <c r="C3294" s="9">
        <v>163.0</v>
      </c>
      <c r="D3294" s="10">
        <v>8.0197993E7</v>
      </c>
      <c r="E3294" s="9" t="s">
        <v>9972</v>
      </c>
      <c r="F3294" s="9">
        <f t="shared" si="1"/>
        <v>3</v>
      </c>
      <c r="G3294" s="9" t="s">
        <v>10318</v>
      </c>
      <c r="H3294" s="11" t="str">
        <f>IFERROR(__xludf.DUMMYFUNCTION("REGEXREPLACE(G3294, ""[^0-9a-zA-Z .'Ã]"","""")"),"Ana de la Reguera")</f>
        <v>Ana de la Reguera</v>
      </c>
      <c r="I3294" s="11" t="s">
        <v>10319</v>
      </c>
      <c r="J3294" s="9">
        <v>65551.0</v>
      </c>
      <c r="K3294" s="9" t="s">
        <v>10320</v>
      </c>
      <c r="L3294" s="9">
        <v>441.0</v>
      </c>
      <c r="M3294" s="9" t="s">
        <v>24</v>
      </c>
      <c r="N3294" s="9" t="s">
        <v>173</v>
      </c>
      <c r="O3294" s="10">
        <v>3.2E7</v>
      </c>
      <c r="P3294" s="10">
        <f t="shared" si="2"/>
        <v>48197993</v>
      </c>
      <c r="Q3294" s="12">
        <f t="shared" si="3"/>
        <v>0</v>
      </c>
      <c r="R3294" s="9">
        <v>2006.0</v>
      </c>
      <c r="S3294" s="9">
        <v>5.7</v>
      </c>
    </row>
    <row r="3295" ht="15.75" customHeight="1">
      <c r="A3295" s="29" t="s">
        <v>1682</v>
      </c>
      <c r="B3295" s="8" t="str">
        <f>IFERROR(__xludf.DUMMYFUNCTION("REGEXREPLACE(A3295, ""[^0-9a-zA-Z .'Ã]"","""")"),"Paul W.S. Anderson")</f>
        <v>Paul W.S. Anderson</v>
      </c>
      <c r="C3295" s="30">
        <v>239.0</v>
      </c>
      <c r="D3295" s="31">
        <v>4.2345531E7</v>
      </c>
      <c r="E3295" s="30" t="s">
        <v>64</v>
      </c>
      <c r="F3295" s="9">
        <f t="shared" si="1"/>
        <v>4</v>
      </c>
      <c r="G3295" s="30" t="s">
        <v>65</v>
      </c>
      <c r="H3295" s="11" t="str">
        <f>IFERROR(__xludf.DUMMYFUNCTION("REGEXREPLACE(G3295, ""[^0-9a-zA-Z .'Ã]"","""")"),"Milla Jovovich")</f>
        <v>Milla Jovovich</v>
      </c>
      <c r="I3295" s="32" t="s">
        <v>10321</v>
      </c>
      <c r="J3295" s="30">
        <v>104831.0</v>
      </c>
      <c r="K3295" s="30" t="s">
        <v>10322</v>
      </c>
      <c r="L3295" s="30">
        <v>423.0</v>
      </c>
      <c r="M3295" s="30" t="s">
        <v>24</v>
      </c>
      <c r="N3295" s="30" t="s">
        <v>173</v>
      </c>
      <c r="O3295" s="31">
        <v>6.5E7</v>
      </c>
      <c r="P3295" s="10">
        <f t="shared" si="2"/>
        <v>0</v>
      </c>
      <c r="Q3295" s="12">
        <f t="shared" si="3"/>
        <v>22654469</v>
      </c>
      <c r="R3295" s="30">
        <v>2012.0</v>
      </c>
      <c r="S3295" s="30">
        <v>5.4</v>
      </c>
    </row>
    <row r="3296" ht="15.75" customHeight="1">
      <c r="A3296" s="7" t="s">
        <v>1558</v>
      </c>
      <c r="B3296" s="8" t="str">
        <f>IFERROR(__xludf.DUMMYFUNCTION("REGEXREPLACE(A3296, ""[^0-9a-zA-Z .'Ã]"","""")"),"McG")</f>
        <v>McG</v>
      </c>
      <c r="C3296" s="9">
        <v>422.0</v>
      </c>
      <c r="D3296" s="10">
        <v>1.25320003E8</v>
      </c>
      <c r="E3296" s="9" t="s">
        <v>185</v>
      </c>
      <c r="F3296" s="9">
        <f t="shared" si="1"/>
        <v>3</v>
      </c>
      <c r="G3296" s="9" t="s">
        <v>1579</v>
      </c>
      <c r="H3296" s="11" t="str">
        <f>IFERROR(__xludf.DUMMYFUNCTION("REGEXREPLACE(G3296, ""[^0-9a-zA-Z .'Ã]"","""")"),"Christian Bale")</f>
        <v>Christian Bale</v>
      </c>
      <c r="I3296" s="11" t="s">
        <v>10323</v>
      </c>
      <c r="J3296" s="9">
        <v>286095.0</v>
      </c>
      <c r="K3296" s="9" t="s">
        <v>10324</v>
      </c>
      <c r="L3296" s="9">
        <v>974.0</v>
      </c>
      <c r="M3296" s="9" t="s">
        <v>24</v>
      </c>
      <c r="N3296" s="9" t="s">
        <v>25</v>
      </c>
      <c r="O3296" s="10">
        <v>2.0E8</v>
      </c>
      <c r="P3296" s="10">
        <f t="shared" si="2"/>
        <v>0</v>
      </c>
      <c r="Q3296" s="12">
        <f t="shared" si="3"/>
        <v>74679997</v>
      </c>
      <c r="R3296" s="9">
        <v>2009.0</v>
      </c>
      <c r="S3296" s="9">
        <v>6.6</v>
      </c>
    </row>
    <row r="3297" ht="15.75" customHeight="1">
      <c r="A3297" s="21" t="s">
        <v>3013</v>
      </c>
      <c r="B3297" s="8" t="str">
        <f>IFERROR(__xludf.DUMMYFUNCTION("REGEXREPLACE(A3297, ""[^0-9a-zA-Z -.'Ã]"","""")"),"Jean-Marc VallÃe")</f>
        <v>Jean-Marc VallÃe</v>
      </c>
      <c r="C3297" s="22">
        <v>188.0</v>
      </c>
      <c r="D3297" s="23">
        <v>1.0991381E7</v>
      </c>
      <c r="E3297" s="22" t="s">
        <v>69</v>
      </c>
      <c r="F3297" s="9">
        <f t="shared" si="1"/>
        <v>4</v>
      </c>
      <c r="G3297" s="22" t="s">
        <v>5319</v>
      </c>
      <c r="H3297" s="11" t="str">
        <f>IFERROR(__xludf.DUMMYFUNCTION("REGEXREPLACE(G3297, ""[^0-9a-zA-Z .'Ã]"","""")"),"Michiel Huisman")</f>
        <v>Michiel Huisman</v>
      </c>
      <c r="I3297" s="24" t="s">
        <v>10325</v>
      </c>
      <c r="J3297" s="22">
        <v>44931.0</v>
      </c>
      <c r="K3297" s="22" t="s">
        <v>10326</v>
      </c>
      <c r="L3297" s="22">
        <v>100.0</v>
      </c>
      <c r="M3297" s="22" t="s">
        <v>24</v>
      </c>
      <c r="N3297" s="22" t="s">
        <v>130</v>
      </c>
      <c r="O3297" s="23">
        <v>3.5E7</v>
      </c>
      <c r="P3297" s="10">
        <f t="shared" si="2"/>
        <v>0</v>
      </c>
      <c r="Q3297" s="12">
        <f t="shared" si="3"/>
        <v>24008619</v>
      </c>
      <c r="R3297" s="22">
        <v>2009.0</v>
      </c>
      <c r="S3297" s="22">
        <v>7.3</v>
      </c>
    </row>
    <row r="3298" ht="15.75" customHeight="1">
      <c r="A3298" s="21" t="s">
        <v>10327</v>
      </c>
      <c r="B3298" s="8" t="str">
        <f>IFERROR(__xludf.DUMMYFUNCTION("REGEXREPLACE(A3298, ""[^0-9a-zA-Z .'Ã]"","""")"),"Paul Schrader")</f>
        <v>Paul Schrader</v>
      </c>
      <c r="C3298" s="22">
        <v>19.0</v>
      </c>
      <c r="D3298" s="23">
        <v>1100000.0</v>
      </c>
      <c r="E3298" s="22" t="s">
        <v>54</v>
      </c>
      <c r="F3298" s="9">
        <f t="shared" si="1"/>
        <v>2</v>
      </c>
      <c r="G3298" s="22" t="s">
        <v>10328</v>
      </c>
      <c r="H3298" s="11" t="str">
        <f>IFERROR(__xludf.DUMMYFUNCTION("REGEXREPLACE(G3298, ""[^0-9a-zA-Z .'Ã]"","""")"),"Dana Delany")</f>
        <v>Dana Delany</v>
      </c>
      <c r="I3298" s="24" t="s">
        <v>10329</v>
      </c>
      <c r="J3298" s="22">
        <v>3665.0</v>
      </c>
      <c r="K3298" s="22" t="s">
        <v>10330</v>
      </c>
      <c r="L3298" s="22">
        <v>39.0</v>
      </c>
      <c r="M3298" s="22" t="s">
        <v>24</v>
      </c>
      <c r="N3298" s="22" t="s">
        <v>25</v>
      </c>
      <c r="O3298" s="23">
        <v>5000000.0</v>
      </c>
      <c r="P3298" s="10">
        <f t="shared" si="2"/>
        <v>0</v>
      </c>
      <c r="Q3298" s="12">
        <f t="shared" si="3"/>
        <v>3900000</v>
      </c>
      <c r="R3298" s="22">
        <v>1992.0</v>
      </c>
      <c r="S3298" s="22">
        <v>6.8</v>
      </c>
    </row>
    <row r="3299" ht="15.75" customHeight="1">
      <c r="A3299" s="13" t="s">
        <v>305</v>
      </c>
      <c r="B3299" s="8" t="str">
        <f>IFERROR(__xludf.DUMMYFUNCTION("REGEXREPLACE(A3299, ""[^0-9a-zA-Z .'Ã]"","""")"),"M. Night Shyamalan")</f>
        <v>M. Night Shyamalan</v>
      </c>
      <c r="C3299" s="14">
        <v>294.0</v>
      </c>
      <c r="D3299" s="15">
        <v>9.4999143E7</v>
      </c>
      <c r="E3299" s="14" t="s">
        <v>1592</v>
      </c>
      <c r="F3299" s="9">
        <f t="shared" si="1"/>
        <v>4</v>
      </c>
      <c r="G3299" s="14" t="s">
        <v>233</v>
      </c>
      <c r="H3299" s="11" t="str">
        <f>IFERROR(__xludf.DUMMYFUNCTION("REGEXREPLACE(G3299, ""[^0-9a-zA-Z .'Ã]"","""")"),"Robin Wright")</f>
        <v>Robin Wright</v>
      </c>
      <c r="I3299" s="16" t="s">
        <v>10331</v>
      </c>
      <c r="J3299" s="14">
        <v>245152.0</v>
      </c>
      <c r="K3299" s="14" t="s">
        <v>10332</v>
      </c>
      <c r="L3299" s="14">
        <v>1344.0</v>
      </c>
      <c r="M3299" s="14" t="s">
        <v>24</v>
      </c>
      <c r="N3299" s="14" t="s">
        <v>25</v>
      </c>
      <c r="O3299" s="15">
        <v>7.5E7</v>
      </c>
      <c r="P3299" s="10">
        <f t="shared" si="2"/>
        <v>19999143</v>
      </c>
      <c r="Q3299" s="12">
        <f t="shared" si="3"/>
        <v>0</v>
      </c>
      <c r="R3299" s="14">
        <v>2000.0</v>
      </c>
      <c r="S3299" s="14">
        <v>7.2</v>
      </c>
    </row>
    <row r="3300" ht="15.75" customHeight="1">
      <c r="A3300" s="29" t="s">
        <v>977</v>
      </c>
      <c r="B3300" s="8" t="str">
        <f>IFERROR(__xludf.DUMMYFUNCTION("REGEXREPLACE(A3300, ""[^0-9a-zA-Z .'Ã]"","""")"),"Jon Gunn")</f>
        <v>Jon Gunn</v>
      </c>
      <c r="C3300" s="30">
        <v>11.0</v>
      </c>
      <c r="D3300" s="31">
        <v>1.2985267E7</v>
      </c>
      <c r="E3300" s="30" t="s">
        <v>103</v>
      </c>
      <c r="F3300" s="9">
        <f t="shared" si="1"/>
        <v>1</v>
      </c>
      <c r="G3300" s="30" t="s">
        <v>2380</v>
      </c>
      <c r="H3300" s="11" t="str">
        <f>IFERROR(__xludf.DUMMYFUNCTION("REGEXREPLACE(G3300, ""[^0-9a-zA-Z .'Ã]"","""")"),"Alexa PenaVega")</f>
        <v>Alexa PenaVega</v>
      </c>
      <c r="I3300" s="32" t="s">
        <v>10333</v>
      </c>
      <c r="J3300" s="30">
        <v>4977.0</v>
      </c>
      <c r="K3300" s="30" t="s">
        <v>10334</v>
      </c>
      <c r="L3300" s="30">
        <v>63.0</v>
      </c>
      <c r="M3300" s="30" t="s">
        <v>24</v>
      </c>
      <c r="N3300" s="30" t="s">
        <v>25</v>
      </c>
      <c r="O3300" s="31">
        <v>2300000.0</v>
      </c>
      <c r="P3300" s="10">
        <f t="shared" si="2"/>
        <v>10685267</v>
      </c>
      <c r="Q3300" s="12">
        <f t="shared" si="3"/>
        <v>0</v>
      </c>
      <c r="R3300" s="30">
        <v>2015.0</v>
      </c>
      <c r="S3300" s="30">
        <v>5.9</v>
      </c>
    </row>
    <row r="3301" ht="15.75" customHeight="1">
      <c r="A3301" s="7" t="s">
        <v>10335</v>
      </c>
      <c r="B3301" s="8" t="str">
        <f>IFERROR(__xludf.DUMMYFUNCTION("REGEXREPLACE(A3301, ""[^0-9a-zA-Z .'Ã]"","""")"),"James Mottern")</f>
        <v>James Mottern</v>
      </c>
      <c r="C3301" s="9">
        <v>46.0</v>
      </c>
      <c r="D3301" s="10">
        <v>52166.0</v>
      </c>
      <c r="E3301" s="9" t="s">
        <v>103</v>
      </c>
      <c r="F3301" s="9">
        <f t="shared" si="1"/>
        <v>1</v>
      </c>
      <c r="G3301" s="9" t="s">
        <v>466</v>
      </c>
      <c r="H3301" s="11" t="str">
        <f>IFERROR(__xludf.DUMMYFUNCTION("REGEXREPLACE(G3301, ""[^0-9a-zA-Z .'Ã]"","""")"),"Jimmy Bennett")</f>
        <v>Jimmy Bennett</v>
      </c>
      <c r="I3301" s="11" t="s">
        <v>10336</v>
      </c>
      <c r="J3301" s="9">
        <v>2792.0</v>
      </c>
      <c r="K3301" s="9" t="s">
        <v>10337</v>
      </c>
      <c r="L3301" s="9">
        <v>22.0</v>
      </c>
      <c r="M3301" s="9" t="s">
        <v>24</v>
      </c>
      <c r="N3301" s="9" t="s">
        <v>25</v>
      </c>
      <c r="O3301" s="10">
        <v>2000000.0</v>
      </c>
      <c r="P3301" s="10">
        <f t="shared" si="2"/>
        <v>0</v>
      </c>
      <c r="Q3301" s="12">
        <f t="shared" si="3"/>
        <v>1947834</v>
      </c>
      <c r="R3301" s="9">
        <v>2008.0</v>
      </c>
      <c r="S3301" s="9">
        <v>6.7</v>
      </c>
    </row>
    <row r="3302" ht="15.75" customHeight="1">
      <c r="A3302" s="7" t="s">
        <v>4429</v>
      </c>
      <c r="B3302" s="8" t="str">
        <f>IFERROR(__xludf.DUMMYFUNCTION("REGEXREPLACE(A3302, ""[^0-9a-zA-Z .'Ã]"","""")"),"Charles Martin Smith")</f>
        <v>Charles Martin Smith</v>
      </c>
      <c r="C3302" s="9">
        <v>35.0</v>
      </c>
      <c r="D3302" s="10">
        <v>2.4629916E7</v>
      </c>
      <c r="E3302" s="9" t="s">
        <v>2463</v>
      </c>
      <c r="F3302" s="9">
        <f t="shared" si="1"/>
        <v>4</v>
      </c>
      <c r="G3302" s="9" t="s">
        <v>3449</v>
      </c>
      <c r="H3302" s="11" t="str">
        <f>IFERROR(__xludf.DUMMYFUNCTION("REGEXREPLACE(G3302, ""[^0-9a-zA-Z .'Ã]"","""")"),"Kevin Zegers")</f>
        <v>Kevin Zegers</v>
      </c>
      <c r="I3302" s="11" t="s">
        <v>10338</v>
      </c>
      <c r="J3302" s="9">
        <v>12942.0</v>
      </c>
      <c r="K3302" s="9" t="s">
        <v>10339</v>
      </c>
      <c r="L3302" s="9">
        <v>34.0</v>
      </c>
      <c r="M3302" s="9" t="s">
        <v>24</v>
      </c>
      <c r="N3302" s="9" t="s">
        <v>25</v>
      </c>
      <c r="O3302" s="10">
        <v>3000000.0</v>
      </c>
      <c r="P3302" s="10">
        <f t="shared" si="2"/>
        <v>21629916</v>
      </c>
      <c r="Q3302" s="12">
        <f t="shared" si="3"/>
        <v>0</v>
      </c>
      <c r="R3302" s="9">
        <v>1997.0</v>
      </c>
      <c r="S3302" s="9">
        <v>5.1</v>
      </c>
    </row>
    <row r="3303" ht="15.75" customHeight="1">
      <c r="A3303" s="17" t="s">
        <v>640</v>
      </c>
      <c r="B3303" s="8" t="str">
        <f>IFERROR(__xludf.DUMMYFUNCTION("REGEXREPLACE(A3303, ""[^0-9a-zA-Z .'Ã]"","""")"),"David O. Russell")</f>
        <v>David O. Russell</v>
      </c>
      <c r="C3303" s="18">
        <v>539.0</v>
      </c>
      <c r="D3303" s="19">
        <v>1.3208891E8</v>
      </c>
      <c r="E3303" s="18" t="s">
        <v>159</v>
      </c>
      <c r="F3303" s="9">
        <f t="shared" si="1"/>
        <v>3</v>
      </c>
      <c r="G3303" s="18" t="s">
        <v>1494</v>
      </c>
      <c r="H3303" s="11" t="str">
        <f>IFERROR(__xludf.DUMMYFUNCTION("REGEXREPLACE(G3303, ""[^0-9a-zA-Z .'Ã]"","""")"),"Jennifer Lawrence")</f>
        <v>Jennifer Lawrence</v>
      </c>
      <c r="I3303" s="20" t="s">
        <v>10340</v>
      </c>
      <c r="J3303" s="18">
        <v>533607.0</v>
      </c>
      <c r="K3303" s="18" t="s">
        <v>10341</v>
      </c>
      <c r="L3303" s="18">
        <v>692.0</v>
      </c>
      <c r="M3303" s="18" t="s">
        <v>24</v>
      </c>
      <c r="N3303" s="18" t="s">
        <v>25</v>
      </c>
      <c r="O3303" s="19">
        <v>2.1E7</v>
      </c>
      <c r="P3303" s="10">
        <f t="shared" si="2"/>
        <v>111088910</v>
      </c>
      <c r="Q3303" s="12">
        <f t="shared" si="3"/>
        <v>0</v>
      </c>
      <c r="R3303" s="18">
        <v>2012.0</v>
      </c>
      <c r="S3303" s="18">
        <v>7.8</v>
      </c>
    </row>
    <row r="3304" ht="15.75" customHeight="1">
      <c r="A3304" s="17" t="s">
        <v>10342</v>
      </c>
      <c r="B3304" s="8" t="str">
        <f>IFERROR(__xludf.DUMMYFUNCTION("REGEXREPLACE(A3304, ""[^0-9a-zA-Z .'Ã]"","""")"),"Paul Michael Glaser")</f>
        <v>Paul Michael Glaser</v>
      </c>
      <c r="C3304" s="18">
        <v>120.0</v>
      </c>
      <c r="D3304" s="19">
        <v>3.8122105E7</v>
      </c>
      <c r="E3304" s="18" t="s">
        <v>771</v>
      </c>
      <c r="F3304" s="9">
        <f t="shared" si="1"/>
        <v>4</v>
      </c>
      <c r="G3304" s="18" t="s">
        <v>9733</v>
      </c>
      <c r="H3304" s="11" t="str">
        <f>IFERROR(__xludf.DUMMYFUNCTION("REGEXREPLACE(G3304, ""[^0-9a-zA-Z .'Ã]"","""")"),"Yaphet Kotto")</f>
        <v>Yaphet Kotto</v>
      </c>
      <c r="I3304" s="20" t="s">
        <v>10343</v>
      </c>
      <c r="J3304" s="18">
        <v>112669.0</v>
      </c>
      <c r="K3304" s="18" t="s">
        <v>10344</v>
      </c>
      <c r="L3304" s="18">
        <v>226.0</v>
      </c>
      <c r="M3304" s="18" t="s">
        <v>24</v>
      </c>
      <c r="N3304" s="18" t="s">
        <v>25</v>
      </c>
      <c r="O3304" s="19">
        <v>2.7E7</v>
      </c>
      <c r="P3304" s="10">
        <f t="shared" si="2"/>
        <v>11122105</v>
      </c>
      <c r="Q3304" s="12">
        <f t="shared" si="3"/>
        <v>0</v>
      </c>
      <c r="R3304" s="18">
        <v>1987.0</v>
      </c>
      <c r="S3304" s="18">
        <v>6.6</v>
      </c>
    </row>
    <row r="3305" ht="15.75" customHeight="1">
      <c r="A3305" s="7" t="s">
        <v>2602</v>
      </c>
      <c r="B3305" s="8" t="str">
        <f>IFERROR(__xludf.DUMMYFUNCTION("REGEXREPLACE(A3305, ""[^0-9a-zA-Z .'Ã]"","""")"),"Walter Hill")</f>
        <v>Walter Hill</v>
      </c>
      <c r="C3305" s="9">
        <v>64.0</v>
      </c>
      <c r="D3305" s="10">
        <v>1.2398628E7</v>
      </c>
      <c r="E3305" s="9" t="s">
        <v>10345</v>
      </c>
      <c r="F3305" s="9">
        <f t="shared" si="1"/>
        <v>4</v>
      </c>
      <c r="G3305" s="9" t="s">
        <v>1303</v>
      </c>
      <c r="H3305" s="11" t="str">
        <f>IFERROR(__xludf.DUMMYFUNCTION("REGEXREPLACE(G3305, ""[^0-9a-zA-Z .'Ã]"","""")"),"Fisher Stevens")</f>
        <v>Fisher Stevens</v>
      </c>
      <c r="I3305" s="11" t="s">
        <v>10346</v>
      </c>
      <c r="J3305" s="9">
        <v>21542.0</v>
      </c>
      <c r="K3305" s="9" t="s">
        <v>10347</v>
      </c>
      <c r="L3305" s="9">
        <v>88.0</v>
      </c>
      <c r="M3305" s="9" t="s">
        <v>24</v>
      </c>
      <c r="N3305" s="9" t="s">
        <v>25</v>
      </c>
      <c r="O3305" s="10">
        <v>2.0E7</v>
      </c>
      <c r="P3305" s="10">
        <f t="shared" si="2"/>
        <v>0</v>
      </c>
      <c r="Q3305" s="12">
        <f t="shared" si="3"/>
        <v>7601372</v>
      </c>
      <c r="R3305" s="9">
        <v>2002.0</v>
      </c>
      <c r="S3305" s="9">
        <v>6.1</v>
      </c>
    </row>
    <row r="3306" ht="15.75" customHeight="1">
      <c r="A3306" s="13" t="s">
        <v>352</v>
      </c>
      <c r="B3306" s="8" t="str">
        <f>IFERROR(__xludf.DUMMYFUNCTION("REGEXREPLACE(A3306, ""[^0-9a-zA-Z .'Ã]"","""")"),"Alex Kendrick")</f>
        <v>Alex Kendrick</v>
      </c>
      <c r="C3306" s="14">
        <v>50.0</v>
      </c>
      <c r="D3306" s="15">
        <v>3.3451479E7</v>
      </c>
      <c r="E3306" s="14" t="s">
        <v>232</v>
      </c>
      <c r="F3306" s="9">
        <f t="shared" si="1"/>
        <v>2</v>
      </c>
      <c r="G3306" s="14" t="s">
        <v>10348</v>
      </c>
      <c r="H3306" s="11" t="str">
        <f>IFERROR(__xludf.DUMMYFUNCTION("REGEXREPLACE(G3306, ""[^0-9a-zA-Z .'Ã]"","""")"),"Kirk Cameron")</f>
        <v>Kirk Cameron</v>
      </c>
      <c r="I3306" s="16" t="s">
        <v>10349</v>
      </c>
      <c r="J3306" s="14">
        <v>17068.0</v>
      </c>
      <c r="K3306" s="14" t="s">
        <v>10350</v>
      </c>
      <c r="L3306" s="14">
        <v>215.0</v>
      </c>
      <c r="M3306" s="14" t="s">
        <v>24</v>
      </c>
      <c r="N3306" s="14" t="s">
        <v>25</v>
      </c>
      <c r="O3306" s="15">
        <v>500000.0</v>
      </c>
      <c r="P3306" s="10">
        <f t="shared" si="2"/>
        <v>32951479</v>
      </c>
      <c r="Q3306" s="12">
        <f t="shared" si="3"/>
        <v>0</v>
      </c>
      <c r="R3306" s="14">
        <v>2008.0</v>
      </c>
      <c r="S3306" s="14">
        <v>6.5</v>
      </c>
    </row>
    <row r="3307" ht="15.75" customHeight="1">
      <c r="A3307" s="25" t="s">
        <v>1822</v>
      </c>
      <c r="B3307" s="8" t="str">
        <f>IFERROR(__xludf.DUMMYFUNCTION("REGEXREPLACE(A3307, ""[^0-9a-zA-Z .'Ã]"","""")"),"Atom Egoyan")</f>
        <v>Atom Egoyan</v>
      </c>
      <c r="C3307" s="26">
        <v>120.0</v>
      </c>
      <c r="D3307" s="27">
        <v>4306697.0</v>
      </c>
      <c r="E3307" s="26" t="s">
        <v>103</v>
      </c>
      <c r="F3307" s="9">
        <f t="shared" si="1"/>
        <v>1</v>
      </c>
      <c r="G3307" s="26" t="s">
        <v>3555</v>
      </c>
      <c r="H3307" s="11" t="str">
        <f>IFERROR(__xludf.DUMMYFUNCTION("REGEXREPLACE(G3307, ""[^0-9a-zA-Z .'Ã]"","""")"),"Bruce Greenwood")</f>
        <v>Bruce Greenwood</v>
      </c>
      <c r="I3307" s="28" t="s">
        <v>10351</v>
      </c>
      <c r="J3307" s="26">
        <v>26720.0</v>
      </c>
      <c r="K3307" s="26" t="s">
        <v>10352</v>
      </c>
      <c r="L3307" s="26">
        <v>196.0</v>
      </c>
      <c r="M3307" s="26" t="s">
        <v>24</v>
      </c>
      <c r="N3307" s="26" t="s">
        <v>624</v>
      </c>
      <c r="O3307" s="27">
        <v>5000000.0</v>
      </c>
      <c r="P3307" s="10">
        <f t="shared" si="2"/>
        <v>0</v>
      </c>
      <c r="Q3307" s="12">
        <f t="shared" si="3"/>
        <v>693303</v>
      </c>
      <c r="R3307" s="26">
        <v>1997.0</v>
      </c>
      <c r="S3307" s="26">
        <v>7.7</v>
      </c>
    </row>
    <row r="3308" ht="15.75" customHeight="1">
      <c r="A3308" s="7" t="s">
        <v>4462</v>
      </c>
      <c r="B3308" s="8" t="str">
        <f>IFERROR(__xludf.DUMMYFUNCTION("REGEXREPLACE(A3308, ""[^0-9a-zA-Z .'Ã]"","""")"),"Alexandre Aja")</f>
        <v>Alexandre Aja</v>
      </c>
      <c r="C3308" s="9">
        <v>251.0</v>
      </c>
      <c r="D3308" s="10">
        <v>3645438.0</v>
      </c>
      <c r="E3308" s="9" t="s">
        <v>148</v>
      </c>
      <c r="F3308" s="9">
        <f t="shared" si="1"/>
        <v>1</v>
      </c>
      <c r="G3308" s="9" t="s">
        <v>10353</v>
      </c>
      <c r="H3308" s="11" t="str">
        <f>IFERROR(__xludf.DUMMYFUNCTION("REGEXREPLACE(G3308, ""[^0-9a-zA-Z .'Ã]"","""")"),"CÃcile De France")</f>
        <v>CÃcile De France</v>
      </c>
      <c r="I3308" s="11" t="s">
        <v>10354</v>
      </c>
      <c r="J3308" s="9">
        <v>55040.0</v>
      </c>
      <c r="K3308" s="9" t="s">
        <v>10355</v>
      </c>
      <c r="L3308" s="9">
        <v>539.0</v>
      </c>
      <c r="M3308" s="9" t="s">
        <v>658</v>
      </c>
      <c r="N3308" s="9" t="s">
        <v>608</v>
      </c>
      <c r="O3308" s="10">
        <v>2200000.0</v>
      </c>
      <c r="P3308" s="10">
        <f t="shared" si="2"/>
        <v>1445438</v>
      </c>
      <c r="Q3308" s="12">
        <f t="shared" si="3"/>
        <v>0</v>
      </c>
      <c r="R3308" s="9">
        <v>2003.0</v>
      </c>
      <c r="S3308" s="9">
        <v>6.8</v>
      </c>
    </row>
    <row r="3309" ht="15.75" customHeight="1">
      <c r="A3309" s="17" t="s">
        <v>10356</v>
      </c>
      <c r="B3309" s="8" t="str">
        <f>IFERROR(__xludf.DUMMYFUNCTION("REGEXREPLACE(A3309, ""[^0-9a-zA-Z .'Ã]"","""")"),"Ham Tran")</f>
        <v>Ham Tran</v>
      </c>
      <c r="C3309" s="18">
        <v>15.0</v>
      </c>
      <c r="D3309" s="19">
        <v>638951.0</v>
      </c>
      <c r="E3309" s="18" t="s">
        <v>103</v>
      </c>
      <c r="F3309" s="9">
        <f t="shared" si="1"/>
        <v>1</v>
      </c>
      <c r="G3309" s="18" t="s">
        <v>10357</v>
      </c>
      <c r="H3309" s="11" t="str">
        <f>IFERROR(__xludf.DUMMYFUNCTION("REGEXREPLACE(G3309, ""[^0-9a-zA-Z .'Ã]"","""")"),"Long Nguyen")</f>
        <v>Long Nguyen</v>
      </c>
      <c r="I3309" s="20" t="s">
        <v>10358</v>
      </c>
      <c r="J3309" s="18">
        <v>775.0</v>
      </c>
      <c r="K3309" s="18" t="s">
        <v>10359</v>
      </c>
      <c r="L3309" s="18">
        <v>19.0</v>
      </c>
      <c r="M3309" s="18" t="s">
        <v>10360</v>
      </c>
      <c r="N3309" s="18" t="s">
        <v>25</v>
      </c>
      <c r="O3309" s="19">
        <v>1592000.0</v>
      </c>
      <c r="P3309" s="10">
        <f t="shared" si="2"/>
        <v>0</v>
      </c>
      <c r="Q3309" s="12">
        <f t="shared" si="3"/>
        <v>953049</v>
      </c>
      <c r="R3309" s="18">
        <v>2006.0</v>
      </c>
      <c r="S3309" s="18">
        <v>7.4</v>
      </c>
    </row>
    <row r="3310" ht="15.75" customHeight="1">
      <c r="A3310" s="7" t="s">
        <v>4022</v>
      </c>
      <c r="B3310" s="8" t="str">
        <f>IFERROR(__xludf.DUMMYFUNCTION("REGEXREPLACE(A3310, ""[^0-9a-zA-Z .'Ã]"","""")"),"Tim Hill")</f>
        <v>Tim Hill</v>
      </c>
      <c r="C3310" s="9">
        <v>131.0</v>
      </c>
      <c r="D3310" s="10">
        <v>2.17326336E8</v>
      </c>
      <c r="E3310" s="9" t="s">
        <v>2652</v>
      </c>
      <c r="F3310" s="9">
        <f t="shared" si="1"/>
        <v>5</v>
      </c>
      <c r="G3310" s="9" t="s">
        <v>6615</v>
      </c>
      <c r="H3310" s="11" t="str">
        <f>IFERROR(__xludf.DUMMYFUNCTION("REGEXREPLACE(G3310, ""[^0-9a-zA-Z .'Ã]"","""")"),"Jesse McCartney")</f>
        <v>Jesse McCartney</v>
      </c>
      <c r="I3310" s="11" t="s">
        <v>10361</v>
      </c>
      <c r="J3310" s="9">
        <v>57276.0</v>
      </c>
      <c r="K3310" s="9" t="s">
        <v>10362</v>
      </c>
      <c r="L3310" s="9">
        <v>146.0</v>
      </c>
      <c r="M3310" s="9" t="s">
        <v>24</v>
      </c>
      <c r="N3310" s="9" t="s">
        <v>25</v>
      </c>
      <c r="O3310" s="10">
        <v>6.0E7</v>
      </c>
      <c r="P3310" s="10">
        <f t="shared" si="2"/>
        <v>157326336</v>
      </c>
      <c r="Q3310" s="12">
        <f t="shared" si="3"/>
        <v>0</v>
      </c>
      <c r="R3310" s="9">
        <v>2007.0</v>
      </c>
      <c r="S3310" s="9">
        <v>5.2</v>
      </c>
    </row>
    <row r="3311" ht="15.75" customHeight="1">
      <c r="A3311" s="7" t="s">
        <v>2532</v>
      </c>
      <c r="B3311" s="8" t="str">
        <f>IFERROR(__xludf.DUMMYFUNCTION("REGEXREPLACE(A3311, ""[^0-9a-zA-Z .'Ã]"","""")"),"Sylvester Stallone")</f>
        <v>Sylvester Stallone</v>
      </c>
      <c r="C3311" s="9">
        <v>424.0</v>
      </c>
      <c r="D3311" s="10">
        <v>1.02981571E8</v>
      </c>
      <c r="E3311" s="9" t="s">
        <v>474</v>
      </c>
      <c r="F3311" s="9">
        <f t="shared" si="1"/>
        <v>3</v>
      </c>
      <c r="G3311" s="9" t="s">
        <v>815</v>
      </c>
      <c r="H3311" s="11" t="str">
        <f>IFERROR(__xludf.DUMMYFUNCTION("REGEXREPLACE(G3311, ""[^0-9a-zA-Z .'Ã]"","""")"),"Jason Statham")</f>
        <v>Jason Statham</v>
      </c>
      <c r="I3311" s="11" t="s">
        <v>10363</v>
      </c>
      <c r="J3311" s="9">
        <v>270226.0</v>
      </c>
      <c r="K3311" s="9" t="s">
        <v>10364</v>
      </c>
      <c r="L3311" s="9">
        <v>741.0</v>
      </c>
      <c r="M3311" s="9" t="s">
        <v>24</v>
      </c>
      <c r="N3311" s="9" t="s">
        <v>25</v>
      </c>
      <c r="O3311" s="10">
        <v>8.0E7</v>
      </c>
      <c r="P3311" s="10">
        <f t="shared" si="2"/>
        <v>22981571</v>
      </c>
      <c r="Q3311" s="12">
        <f t="shared" si="3"/>
        <v>0</v>
      </c>
      <c r="R3311" s="9">
        <v>2010.0</v>
      </c>
      <c r="S3311" s="9">
        <v>6.5</v>
      </c>
    </row>
    <row r="3312" ht="15.75" customHeight="1">
      <c r="A3312" s="17" t="s">
        <v>697</v>
      </c>
      <c r="B3312" s="8" t="str">
        <f>IFERROR(__xludf.DUMMYFUNCTION("REGEXREPLACE(A3312, ""[^0-9a-zA-Z .'Ã]"","""")"),"William Friedkin")</f>
        <v>William Friedkin</v>
      </c>
      <c r="C3312" s="18">
        <v>135.0</v>
      </c>
      <c r="D3312" s="19">
        <v>3.4238611E7</v>
      </c>
      <c r="E3312" s="18" t="s">
        <v>501</v>
      </c>
      <c r="F3312" s="9">
        <f t="shared" si="1"/>
        <v>4</v>
      </c>
      <c r="G3312" s="18" t="s">
        <v>2421</v>
      </c>
      <c r="H3312" s="11" t="str">
        <f>IFERROR(__xludf.DUMMYFUNCTION("REGEXREPLACE(G3312, ""[^0-9a-zA-Z .'Ã]"","""")"),"Connie Nielsen")</f>
        <v>Connie Nielsen</v>
      </c>
      <c r="I3312" s="20" t="s">
        <v>10365</v>
      </c>
      <c r="J3312" s="18">
        <v>35830.0</v>
      </c>
      <c r="K3312" s="18" t="s">
        <v>10366</v>
      </c>
      <c r="L3312" s="18">
        <v>321.0</v>
      </c>
      <c r="M3312" s="18" t="s">
        <v>24</v>
      </c>
      <c r="N3312" s="18" t="s">
        <v>25</v>
      </c>
      <c r="O3312" s="19">
        <v>5.5E7</v>
      </c>
      <c r="P3312" s="10">
        <f t="shared" si="2"/>
        <v>0</v>
      </c>
      <c r="Q3312" s="12">
        <f t="shared" si="3"/>
        <v>20761389</v>
      </c>
      <c r="R3312" s="18">
        <v>2003.0</v>
      </c>
      <c r="S3312" s="18">
        <v>6.0</v>
      </c>
    </row>
    <row r="3313" ht="15.75" customHeight="1">
      <c r="A3313" s="7" t="s">
        <v>163</v>
      </c>
      <c r="B3313" s="8" t="str">
        <f>IFERROR(__xludf.DUMMYFUNCTION("REGEXREPLACE(A3313, ""[^0-9a-zA-Z .'Ã]"","""")"),"F. Gary Gray")</f>
        <v>F. Gary Gray</v>
      </c>
      <c r="C3313" s="9">
        <v>68.0</v>
      </c>
      <c r="D3313" s="10">
        <v>4.4484065E7</v>
      </c>
      <c r="E3313" s="9" t="s">
        <v>610</v>
      </c>
      <c r="F3313" s="9">
        <f t="shared" si="1"/>
        <v>5</v>
      </c>
      <c r="G3313" s="9" t="s">
        <v>483</v>
      </c>
      <c r="H3313" s="11" t="str">
        <f>IFERROR(__xludf.DUMMYFUNCTION("REGEXREPLACE(G3313, ""[^0-9a-zA-Z .'Ã]"","""")"),"Kevin Spacey")</f>
        <v>Kevin Spacey</v>
      </c>
      <c r="I3313" s="11" t="s">
        <v>10367</v>
      </c>
      <c r="J3313" s="9">
        <v>107227.0</v>
      </c>
      <c r="K3313" s="9" t="s">
        <v>10368</v>
      </c>
      <c r="L3313" s="9">
        <v>279.0</v>
      </c>
      <c r="M3313" s="9" t="s">
        <v>24</v>
      </c>
      <c r="N3313" s="9" t="s">
        <v>173</v>
      </c>
      <c r="O3313" s="10">
        <v>5.0E7</v>
      </c>
      <c r="P3313" s="10">
        <f t="shared" si="2"/>
        <v>0</v>
      </c>
      <c r="Q3313" s="12">
        <f t="shared" si="3"/>
        <v>5515935</v>
      </c>
      <c r="R3313" s="9">
        <v>1998.0</v>
      </c>
      <c r="S3313" s="9">
        <v>7.3</v>
      </c>
    </row>
    <row r="3314" ht="15.75" customHeight="1">
      <c r="A3314" s="7" t="s">
        <v>4665</v>
      </c>
      <c r="B3314" s="8" t="str">
        <f>IFERROR(__xludf.DUMMYFUNCTION("REGEXREPLACE(A3314, ""[^0-9a-zA-Z .'Ã]"","""")"),"Paul Thomas Anderson")</f>
        <v>Paul Thomas Anderson</v>
      </c>
      <c r="C3314" s="9">
        <v>398.0</v>
      </c>
      <c r="D3314" s="10">
        <v>4.0218903E7</v>
      </c>
      <c r="E3314" s="9" t="s">
        <v>103</v>
      </c>
      <c r="F3314" s="9">
        <f t="shared" si="1"/>
        <v>1</v>
      </c>
      <c r="G3314" s="9" t="s">
        <v>10369</v>
      </c>
      <c r="H3314" s="11" t="str">
        <f>IFERROR(__xludf.DUMMYFUNCTION("REGEXREPLACE(G3314, ""[^0-9a-zA-Z .'Ã]"","""")"),"Jim Meskimen")</f>
        <v>Jim Meskimen</v>
      </c>
      <c r="I3314" s="11" t="s">
        <v>10370</v>
      </c>
      <c r="J3314" s="9">
        <v>372990.0</v>
      </c>
      <c r="K3314" s="9" t="s">
        <v>10371</v>
      </c>
      <c r="L3314" s="9">
        <v>1107.0</v>
      </c>
      <c r="M3314" s="9" t="s">
        <v>24</v>
      </c>
      <c r="N3314" s="9" t="s">
        <v>25</v>
      </c>
      <c r="O3314" s="10">
        <v>2.5E7</v>
      </c>
      <c r="P3314" s="10">
        <f t="shared" si="2"/>
        <v>15218903</v>
      </c>
      <c r="Q3314" s="12">
        <f t="shared" si="3"/>
        <v>0</v>
      </c>
      <c r="R3314" s="9">
        <v>2007.0</v>
      </c>
      <c r="S3314" s="9">
        <v>8.1</v>
      </c>
    </row>
    <row r="3315" ht="15.75" customHeight="1">
      <c r="A3315" s="7" t="s">
        <v>6371</v>
      </c>
      <c r="B3315" s="8" t="str">
        <f>IFERROR(__xludf.DUMMYFUNCTION("REGEXREPLACE(A3315, ""[^0-9a-zA-Z .'Ã]"","""")"),"Brian Robbins")</f>
        <v>Brian Robbins</v>
      </c>
      <c r="C3315" s="9">
        <v>67.0</v>
      </c>
      <c r="D3315" s="10">
        <v>5.2885587E7</v>
      </c>
      <c r="E3315" s="9" t="s">
        <v>1038</v>
      </c>
      <c r="F3315" s="9">
        <f t="shared" si="1"/>
        <v>4</v>
      </c>
      <c r="G3315" s="9" t="s">
        <v>802</v>
      </c>
      <c r="H3315" s="11" t="str">
        <f>IFERROR(__xludf.DUMMYFUNCTION("REGEXREPLACE(G3315, ""[^0-9a-zA-Z .'Ã]"","""")"),"Paul Walker")</f>
        <v>Paul Walker</v>
      </c>
      <c r="I3315" s="11" t="s">
        <v>10372</v>
      </c>
      <c r="J3315" s="9">
        <v>35312.0</v>
      </c>
      <c r="K3315" s="9" t="s">
        <v>10373</v>
      </c>
      <c r="L3315" s="9">
        <v>267.0</v>
      </c>
      <c r="M3315" s="9" t="s">
        <v>24</v>
      </c>
      <c r="N3315" s="9" t="s">
        <v>25</v>
      </c>
      <c r="O3315" s="10">
        <v>1.6E7</v>
      </c>
      <c r="P3315" s="10">
        <f t="shared" si="2"/>
        <v>36885587</v>
      </c>
      <c r="Q3315" s="12">
        <f t="shared" si="3"/>
        <v>0</v>
      </c>
      <c r="R3315" s="9">
        <v>1999.0</v>
      </c>
      <c r="S3315" s="9">
        <v>6.4</v>
      </c>
    </row>
    <row r="3316" ht="15.75" customHeight="1">
      <c r="A3316" s="17" t="s">
        <v>963</v>
      </c>
      <c r="B3316" s="8" t="str">
        <f>IFERROR(__xludf.DUMMYFUNCTION("REGEXREPLACE(A3316, ""[^0-9a-zA-Z .'Ã]"","""")"),"Glenn Ficarra")</f>
        <v>Glenn Ficarra</v>
      </c>
      <c r="C3316" s="18">
        <v>279.0</v>
      </c>
      <c r="D3316" s="19">
        <v>5.3846915E7</v>
      </c>
      <c r="E3316" s="18" t="s">
        <v>1600</v>
      </c>
      <c r="F3316" s="9">
        <f t="shared" si="1"/>
        <v>4</v>
      </c>
      <c r="G3316" s="18" t="s">
        <v>2717</v>
      </c>
      <c r="H3316" s="11" t="str">
        <f>IFERROR(__xludf.DUMMYFUNCTION("REGEXREPLACE(G3316, ""[^0-9a-zA-Z .'Ã]"","""")"),"Will Smith")</f>
        <v>Will Smith</v>
      </c>
      <c r="I3316" s="20" t="s">
        <v>10374</v>
      </c>
      <c r="J3316" s="18">
        <v>149337.0</v>
      </c>
      <c r="K3316" s="18" t="s">
        <v>10375</v>
      </c>
      <c r="L3316" s="18">
        <v>221.0</v>
      </c>
      <c r="M3316" s="18" t="s">
        <v>24</v>
      </c>
      <c r="N3316" s="18" t="s">
        <v>25</v>
      </c>
      <c r="O3316" s="19">
        <v>5.01E7</v>
      </c>
      <c r="P3316" s="10">
        <f t="shared" si="2"/>
        <v>3746915</v>
      </c>
      <c r="Q3316" s="12">
        <f t="shared" si="3"/>
        <v>0</v>
      </c>
      <c r="R3316" s="18">
        <v>2015.0</v>
      </c>
      <c r="S3316" s="18">
        <v>6.6</v>
      </c>
    </row>
    <row r="3317" ht="15.75" customHeight="1">
      <c r="A3317" s="25" t="s">
        <v>1992</v>
      </c>
      <c r="B3317" s="8" t="str">
        <f>IFERROR(__xludf.DUMMYFUNCTION("REGEXREPLACE(A3317, ""[^0-9a-zA-Z .'Ã]"","""")"),"Jonathan Levine")</f>
        <v>Jonathan Levine</v>
      </c>
      <c r="C3317" s="26">
        <v>452.0</v>
      </c>
      <c r="D3317" s="27">
        <v>6.6359959E7</v>
      </c>
      <c r="E3317" s="26" t="s">
        <v>7595</v>
      </c>
      <c r="F3317" s="9">
        <f t="shared" si="1"/>
        <v>3</v>
      </c>
      <c r="G3317" s="26" t="s">
        <v>10376</v>
      </c>
      <c r="H3317" s="11" t="str">
        <f>IFERROR(__xludf.DUMMYFUNCTION("REGEXREPLACE(G3317, ""[^0-9a-zA-Z .'Ã]"","""")"),"Cory Hardrict")</f>
        <v>Cory Hardrict</v>
      </c>
      <c r="I3317" s="28" t="s">
        <v>10377</v>
      </c>
      <c r="J3317" s="26">
        <v>184641.0</v>
      </c>
      <c r="K3317" s="26" t="s">
        <v>10378</v>
      </c>
      <c r="L3317" s="26">
        <v>326.0</v>
      </c>
      <c r="M3317" s="26" t="s">
        <v>24</v>
      </c>
      <c r="N3317" s="26" t="s">
        <v>25</v>
      </c>
      <c r="O3317" s="27">
        <v>3.5E7</v>
      </c>
      <c r="P3317" s="10">
        <f t="shared" si="2"/>
        <v>31359959</v>
      </c>
      <c r="Q3317" s="12">
        <f t="shared" si="3"/>
        <v>0</v>
      </c>
      <c r="R3317" s="26">
        <v>2013.0</v>
      </c>
      <c r="S3317" s="26">
        <v>6.9</v>
      </c>
    </row>
    <row r="3318" ht="15.75" customHeight="1">
      <c r="A3318" s="21" t="s">
        <v>10379</v>
      </c>
      <c r="B3318" s="8" t="str">
        <f>IFERROR(__xludf.DUMMYFUNCTION("REGEXREPLACE(A3318, ""[^0-9a-zA-Z .'Ã]"","""")"),"Jim Abrahams")</f>
        <v>Jim Abrahams</v>
      </c>
      <c r="C3318" s="22">
        <v>134.0</v>
      </c>
      <c r="D3318" s="23">
        <v>8.34E7</v>
      </c>
      <c r="E3318" s="22" t="s">
        <v>137</v>
      </c>
      <c r="F3318" s="9">
        <f t="shared" si="1"/>
        <v>1</v>
      </c>
      <c r="G3318" s="22" t="s">
        <v>10380</v>
      </c>
      <c r="H3318" s="11" t="str">
        <f>IFERROR(__xludf.DUMMYFUNCTION("REGEXREPLACE(G3318, ""[^0-9a-zA-Z .'Ã]"","""")"),"Peter Graves")</f>
        <v>Peter Graves</v>
      </c>
      <c r="I3318" s="24" t="s">
        <v>10381</v>
      </c>
      <c r="J3318" s="22">
        <v>160281.0</v>
      </c>
      <c r="K3318" s="22" t="s">
        <v>10382</v>
      </c>
      <c r="L3318" s="22">
        <v>427.0</v>
      </c>
      <c r="M3318" s="22" t="s">
        <v>24</v>
      </c>
      <c r="N3318" s="22" t="s">
        <v>25</v>
      </c>
      <c r="O3318" s="23">
        <v>3500000.0</v>
      </c>
      <c r="P3318" s="10">
        <f t="shared" si="2"/>
        <v>79900000</v>
      </c>
      <c r="Q3318" s="12">
        <f t="shared" si="3"/>
        <v>0</v>
      </c>
      <c r="R3318" s="22">
        <v>1980.0</v>
      </c>
      <c r="S3318" s="22">
        <v>7.8</v>
      </c>
    </row>
    <row r="3319" ht="15.75" customHeight="1">
      <c r="A3319" s="29" t="s">
        <v>1111</v>
      </c>
      <c r="B3319" s="8" t="str">
        <f>IFERROR(__xludf.DUMMYFUNCTION("REGEXREPLACE(A3319, ""[^0-9a-zA-Z .'Ã]"","""")"),"Jan de Bont")</f>
        <v>Jan de Bont</v>
      </c>
      <c r="C3319" s="30">
        <v>114.0</v>
      </c>
      <c r="D3319" s="31">
        <v>2.41688385E8</v>
      </c>
      <c r="E3319" s="30" t="s">
        <v>925</v>
      </c>
      <c r="F3319" s="9">
        <f t="shared" si="1"/>
        <v>4</v>
      </c>
      <c r="G3319" s="30" t="s">
        <v>1340</v>
      </c>
      <c r="H3319" s="11" t="str">
        <f>IFERROR(__xludf.DUMMYFUNCTION("REGEXREPLACE(G3319, ""[^0-9a-zA-Z .'Ã]"","""")"),"Philip Seymour Hoffman")</f>
        <v>Philip Seymour Hoffman</v>
      </c>
      <c r="I3319" s="32" t="s">
        <v>10383</v>
      </c>
      <c r="J3319" s="30">
        <v>144053.0</v>
      </c>
      <c r="K3319" s="30" t="s">
        <v>10384</v>
      </c>
      <c r="L3319" s="30">
        <v>395.0</v>
      </c>
      <c r="M3319" s="30" t="s">
        <v>24</v>
      </c>
      <c r="N3319" s="30" t="s">
        <v>25</v>
      </c>
      <c r="O3319" s="31">
        <v>9.2E7</v>
      </c>
      <c r="P3319" s="10">
        <f t="shared" si="2"/>
        <v>149688385</v>
      </c>
      <c r="Q3319" s="12">
        <f t="shared" si="3"/>
        <v>0</v>
      </c>
      <c r="R3319" s="30">
        <v>1996.0</v>
      </c>
      <c r="S3319" s="30">
        <v>6.3</v>
      </c>
    </row>
    <row r="3320" ht="15.75" customHeight="1">
      <c r="A3320" s="17" t="s">
        <v>448</v>
      </c>
      <c r="B3320" s="8" t="str">
        <f>IFERROR(__xludf.DUMMYFUNCTION("REGEXREPLACE(A3320, ""[^0-9a-zA-Z .'Ã]"","""")"),"James Wong")</f>
        <v>James Wong</v>
      </c>
      <c r="C3320" s="18">
        <v>216.0</v>
      </c>
      <c r="D3320" s="19">
        <v>5.4098051E7</v>
      </c>
      <c r="E3320" s="18" t="s">
        <v>148</v>
      </c>
      <c r="F3320" s="9">
        <f t="shared" si="1"/>
        <v>1</v>
      </c>
      <c r="G3320" s="18" t="s">
        <v>10385</v>
      </c>
      <c r="H3320" s="11" t="str">
        <f>IFERROR(__xludf.DUMMYFUNCTION("REGEXREPLACE(G3320, ""[^0-9a-zA-Z .'Ã]"","""")"),"Chelan Simmons")</f>
        <v>Chelan Simmons</v>
      </c>
      <c r="I3320" s="20" t="s">
        <v>10386</v>
      </c>
      <c r="J3320" s="18">
        <v>102861.0</v>
      </c>
      <c r="K3320" s="18" t="s">
        <v>10387</v>
      </c>
      <c r="L3320" s="18">
        <v>571.0</v>
      </c>
      <c r="M3320" s="18" t="s">
        <v>24</v>
      </c>
      <c r="N3320" s="18" t="s">
        <v>173</v>
      </c>
      <c r="O3320" s="19">
        <v>2.5E7</v>
      </c>
      <c r="P3320" s="10">
        <f t="shared" si="2"/>
        <v>29098051</v>
      </c>
      <c r="Q3320" s="12">
        <f t="shared" si="3"/>
        <v>0</v>
      </c>
      <c r="R3320" s="18">
        <v>2006.0</v>
      </c>
      <c r="S3320" s="18">
        <v>5.8</v>
      </c>
    </row>
    <row r="3321" ht="15.75" customHeight="1">
      <c r="A3321" s="7" t="s">
        <v>10388</v>
      </c>
      <c r="B3321" s="8" t="str">
        <f>IFERROR(__xludf.DUMMYFUNCTION("REGEXREPLACE(A3321, ""[^0-9a-zA-Z .'Ã]"","""")"),"Jorma Taccone")</f>
        <v>Jorma Taccone</v>
      </c>
      <c r="C3321" s="9">
        <v>163.0</v>
      </c>
      <c r="D3321" s="10">
        <v>8460995.0</v>
      </c>
      <c r="E3321" s="9" t="s">
        <v>219</v>
      </c>
      <c r="F3321" s="9">
        <f t="shared" si="1"/>
        <v>3</v>
      </c>
      <c r="G3321" s="9" t="s">
        <v>10389</v>
      </c>
      <c r="H3321" s="11" t="str">
        <f>IFERROR(__xludf.DUMMYFUNCTION("REGEXREPLACE(G3321, ""[^0-9a-zA-Z .'Ã]"","""")"),"Jasper Cole")</f>
        <v>Jasper Cole</v>
      </c>
      <c r="I3321" s="11" t="s">
        <v>10390</v>
      </c>
      <c r="J3321" s="9">
        <v>35888.0</v>
      </c>
      <c r="K3321" s="9" t="s">
        <v>10391</v>
      </c>
      <c r="L3321" s="9">
        <v>125.0</v>
      </c>
      <c r="M3321" s="9" t="s">
        <v>24</v>
      </c>
      <c r="N3321" s="9" t="s">
        <v>25</v>
      </c>
      <c r="O3321" s="10">
        <v>1.0E7</v>
      </c>
      <c r="P3321" s="10">
        <f t="shared" si="2"/>
        <v>0</v>
      </c>
      <c r="Q3321" s="12">
        <f t="shared" si="3"/>
        <v>1539005</v>
      </c>
      <c r="R3321" s="9">
        <v>2010.0</v>
      </c>
      <c r="S3321" s="9">
        <v>5.5</v>
      </c>
    </row>
    <row r="3322" ht="15.75" customHeight="1">
      <c r="A3322" s="25" t="s">
        <v>1123</v>
      </c>
      <c r="B3322" s="8" t="str">
        <f>IFERROR(__xludf.DUMMYFUNCTION("REGEXREPLACE(A3322, ""[^0-9a-zA-Z .'Ã]"","""")"),"Ron Howard")</f>
        <v>Ron Howard</v>
      </c>
      <c r="C3322" s="26">
        <v>159.0</v>
      </c>
      <c r="D3322" s="27">
        <v>1.72071312E8</v>
      </c>
      <c r="E3322" s="26" t="s">
        <v>5756</v>
      </c>
      <c r="F3322" s="9">
        <f t="shared" si="1"/>
        <v>3</v>
      </c>
      <c r="G3322" s="26" t="s">
        <v>461</v>
      </c>
      <c r="H3322" s="11" t="str">
        <f>IFERROR(__xludf.DUMMYFUNCTION("REGEXREPLACE(G3322, ""[^0-9a-zA-Z .'Ã]"","""")"),"Tom Hanks")</f>
        <v>Tom Hanks</v>
      </c>
      <c r="I3322" s="28" t="s">
        <v>10392</v>
      </c>
      <c r="J3322" s="26">
        <v>208817.0</v>
      </c>
      <c r="K3322" s="26" t="s">
        <v>10393</v>
      </c>
      <c r="L3322" s="26">
        <v>296.0</v>
      </c>
      <c r="M3322" s="26" t="s">
        <v>24</v>
      </c>
      <c r="N3322" s="26" t="s">
        <v>25</v>
      </c>
      <c r="O3322" s="27">
        <v>6.2E7</v>
      </c>
      <c r="P3322" s="10">
        <f t="shared" si="2"/>
        <v>110071312</v>
      </c>
      <c r="Q3322" s="12">
        <f t="shared" si="3"/>
        <v>0</v>
      </c>
      <c r="R3322" s="26">
        <v>1995.0</v>
      </c>
      <c r="S3322" s="26">
        <v>7.6</v>
      </c>
    </row>
    <row r="3323" ht="15.75" customHeight="1">
      <c r="A3323" s="29" t="s">
        <v>3988</v>
      </c>
      <c r="B3323" s="8" t="str">
        <f>IFERROR(__xludf.DUMMYFUNCTION("REGEXREPLACE(A3323, ""[^0-9a-zA-Z .'Ã]"","""")"),"Rob Reiner")</f>
        <v>Rob Reiner</v>
      </c>
      <c r="C3323" s="30">
        <v>81.0</v>
      </c>
      <c r="D3323" s="31">
        <v>1.41340178E8</v>
      </c>
      <c r="E3323" s="30" t="s">
        <v>369</v>
      </c>
      <c r="F3323" s="9">
        <f t="shared" si="1"/>
        <v>2</v>
      </c>
      <c r="G3323" s="30" t="s">
        <v>220</v>
      </c>
      <c r="H3323" s="11" t="str">
        <f>IFERROR(__xludf.DUMMYFUNCTION("REGEXREPLACE(G3323, ""[^0-9a-zA-Z .'Ã]"","""")"),"Tom Cruise")</f>
        <v>Tom Cruise</v>
      </c>
      <c r="I3323" s="32" t="s">
        <v>10394</v>
      </c>
      <c r="J3323" s="30">
        <v>181879.0</v>
      </c>
      <c r="K3323" s="30" t="s">
        <v>10395</v>
      </c>
      <c r="L3323" s="30">
        <v>319.0</v>
      </c>
      <c r="M3323" s="30" t="s">
        <v>24</v>
      </c>
      <c r="N3323" s="30" t="s">
        <v>25</v>
      </c>
      <c r="O3323" s="31">
        <v>4.0E7</v>
      </c>
      <c r="P3323" s="10">
        <f t="shared" si="2"/>
        <v>101340178</v>
      </c>
      <c r="Q3323" s="12">
        <f t="shared" si="3"/>
        <v>0</v>
      </c>
      <c r="R3323" s="30">
        <v>1992.0</v>
      </c>
      <c r="S3323" s="30">
        <v>7.6</v>
      </c>
    </row>
    <row r="3324" ht="15.75" customHeight="1">
      <c r="A3324" s="7" t="s">
        <v>10396</v>
      </c>
      <c r="B3324" s="8" t="str">
        <f>IFERROR(__xludf.DUMMYFUNCTION("REGEXREPLACE(A3324, ""[^0-9a-zA-Z .'Ã]"","""")"),"Nigel Cole")</f>
        <v>Nigel Cole</v>
      </c>
      <c r="C3324" s="9">
        <v>112.0</v>
      </c>
      <c r="D3324" s="10">
        <v>2.1835784E7</v>
      </c>
      <c r="E3324" s="9" t="s">
        <v>159</v>
      </c>
      <c r="F3324" s="9">
        <f t="shared" si="1"/>
        <v>3</v>
      </c>
      <c r="G3324" s="9" t="s">
        <v>10397</v>
      </c>
      <c r="H3324" s="11" t="str">
        <f>IFERROR(__xludf.DUMMYFUNCTION("REGEXREPLACE(G3324, ""[^0-9a-zA-Z .'Ã]"","""")"),"Aimee Garcia")</f>
        <v>Aimee Garcia</v>
      </c>
      <c r="I3324" s="11" t="s">
        <v>10398</v>
      </c>
      <c r="J3324" s="9">
        <v>58297.0</v>
      </c>
      <c r="K3324" s="9" t="s">
        <v>10399</v>
      </c>
      <c r="L3324" s="9">
        <v>161.0</v>
      </c>
      <c r="M3324" s="9" t="s">
        <v>24</v>
      </c>
      <c r="N3324" s="9" t="s">
        <v>25</v>
      </c>
      <c r="O3324" s="10">
        <v>3.0E7</v>
      </c>
      <c r="P3324" s="10">
        <f t="shared" si="2"/>
        <v>0</v>
      </c>
      <c r="Q3324" s="12">
        <f t="shared" si="3"/>
        <v>8164216</v>
      </c>
      <c r="R3324" s="9">
        <v>2005.0</v>
      </c>
      <c r="S3324" s="9">
        <v>6.6</v>
      </c>
    </row>
    <row r="3325" ht="15.75" customHeight="1">
      <c r="A3325" s="7" t="s">
        <v>245</v>
      </c>
      <c r="B3325" s="8" t="str">
        <f>IFERROR(__xludf.DUMMYFUNCTION("REGEXREPLACE(A3325, ""[^0-9a-zA-Z .'Ã]"","""")"),"Paul Feig")</f>
        <v>Paul Feig</v>
      </c>
      <c r="C3325" s="9">
        <v>73.0</v>
      </c>
      <c r="D3325" s="10">
        <v>1.6647384E7</v>
      </c>
      <c r="E3325" s="9" t="s">
        <v>5929</v>
      </c>
      <c r="F3325" s="9">
        <f t="shared" si="1"/>
        <v>4</v>
      </c>
      <c r="G3325" s="9" t="s">
        <v>2660</v>
      </c>
      <c r="H3325" s="11" t="str">
        <f>IFERROR(__xludf.DUMMYFUNCTION("REGEXREPLACE(G3325, ""[^0-9a-zA-Z .'Ã]"","""")"),"Tyler James Williams")</f>
        <v>Tyler James Williams</v>
      </c>
      <c r="I3325" s="11" t="s">
        <v>10400</v>
      </c>
      <c r="J3325" s="9">
        <v>8398.0</v>
      </c>
      <c r="K3325" s="9" t="s">
        <v>10401</v>
      </c>
      <c r="L3325" s="9">
        <v>56.0</v>
      </c>
      <c r="M3325" s="9" t="s">
        <v>24</v>
      </c>
      <c r="N3325" s="9" t="s">
        <v>25</v>
      </c>
      <c r="O3325" s="10">
        <v>2.6E7</v>
      </c>
      <c r="P3325" s="10">
        <f t="shared" si="2"/>
        <v>0</v>
      </c>
      <c r="Q3325" s="12">
        <f t="shared" si="3"/>
        <v>9352616</v>
      </c>
      <c r="R3325" s="9">
        <v>2006.0</v>
      </c>
      <c r="S3325" s="9">
        <v>5.1</v>
      </c>
    </row>
    <row r="3326" ht="15.75" customHeight="1">
      <c r="A3326" s="17" t="s">
        <v>521</v>
      </c>
      <c r="B3326" s="8" t="str">
        <f>IFERROR(__xludf.DUMMYFUNCTION("REGEXREPLACE(A3326, ""[^0-9a-zA-Z .'Ã]"","""")"),"Phillip Noyce")</f>
        <v>Phillip Noyce</v>
      </c>
      <c r="C3326" s="18">
        <v>330.0</v>
      </c>
      <c r="D3326" s="19">
        <v>1.18311368E8</v>
      </c>
      <c r="E3326" s="18" t="s">
        <v>1177</v>
      </c>
      <c r="F3326" s="9">
        <f t="shared" si="1"/>
        <v>4</v>
      </c>
      <c r="G3326" s="18" t="s">
        <v>844</v>
      </c>
      <c r="H3326" s="11" t="str">
        <f>IFERROR(__xludf.DUMMYFUNCTION("REGEXREPLACE(G3326, ""[^0-9a-zA-Z .'Ã]"","""")"),"Angelina Jolie Pitt")</f>
        <v>Angelina Jolie Pitt</v>
      </c>
      <c r="I3326" s="20" t="s">
        <v>10402</v>
      </c>
      <c r="J3326" s="18">
        <v>245621.0</v>
      </c>
      <c r="K3326" s="18" t="s">
        <v>10403</v>
      </c>
      <c r="L3326" s="18">
        <v>514.0</v>
      </c>
      <c r="M3326" s="18" t="s">
        <v>24</v>
      </c>
      <c r="N3326" s="18" t="s">
        <v>25</v>
      </c>
      <c r="O3326" s="19">
        <v>1.1E8</v>
      </c>
      <c r="P3326" s="10">
        <f t="shared" si="2"/>
        <v>8311368</v>
      </c>
      <c r="Q3326" s="12">
        <f t="shared" si="3"/>
        <v>0</v>
      </c>
      <c r="R3326" s="18">
        <v>2010.0</v>
      </c>
      <c r="S3326" s="18">
        <v>6.4</v>
      </c>
    </row>
    <row r="3327" ht="15.75" customHeight="1">
      <c r="A3327" s="21" t="s">
        <v>5573</v>
      </c>
      <c r="B3327" s="8" t="str">
        <f>IFERROR(__xludf.DUMMYFUNCTION("REGEXREPLACE(A3327, ""[^0-9a-zA-Z .'Ã]"","""")"),"Yimou Zhang")</f>
        <v>Yimou Zhang</v>
      </c>
      <c r="C3327" s="22">
        <v>189.0</v>
      </c>
      <c r="D3327" s="23">
        <v>6565495.0</v>
      </c>
      <c r="E3327" s="22" t="s">
        <v>232</v>
      </c>
      <c r="F3327" s="9">
        <f t="shared" si="1"/>
        <v>2</v>
      </c>
      <c r="G3327" s="22" t="s">
        <v>3959</v>
      </c>
      <c r="H3327" s="11" t="str">
        <f>IFERROR(__xludf.DUMMYFUNCTION("REGEXREPLACE(G3327, ""[^0-9a-zA-Z .'Ã]"","""")"),"Li Gong")</f>
        <v>Li Gong</v>
      </c>
      <c r="I3327" s="24" t="s">
        <v>10404</v>
      </c>
      <c r="J3327" s="22">
        <v>36455.0</v>
      </c>
      <c r="K3327" s="22" t="s">
        <v>10405</v>
      </c>
      <c r="L3327" s="22">
        <v>229.0</v>
      </c>
      <c r="M3327" s="22" t="s">
        <v>3260</v>
      </c>
      <c r="N3327" s="22" t="s">
        <v>217</v>
      </c>
      <c r="O3327" s="23">
        <v>4.5E7</v>
      </c>
      <c r="P3327" s="10">
        <f t="shared" si="2"/>
        <v>0</v>
      </c>
      <c r="Q3327" s="12">
        <f t="shared" si="3"/>
        <v>38434505</v>
      </c>
      <c r="R3327" s="22">
        <v>2006.0</v>
      </c>
      <c r="S3327" s="22">
        <v>7.0</v>
      </c>
    </row>
    <row r="3328" ht="15.75" customHeight="1">
      <c r="A3328" s="25" t="s">
        <v>305</v>
      </c>
      <c r="B3328" s="8" t="str">
        <f>IFERROR(__xludf.DUMMYFUNCTION("REGEXREPLACE(A3328, ""[^0-9a-zA-Z .'Ã]"","""")"),"M. Night Shyamalan")</f>
        <v>M. Night Shyamalan</v>
      </c>
      <c r="C3328" s="26">
        <v>208.0</v>
      </c>
      <c r="D3328" s="27">
        <v>2.2796569E8</v>
      </c>
      <c r="E3328" s="26" t="s">
        <v>1231</v>
      </c>
      <c r="F3328" s="9">
        <f t="shared" si="1"/>
        <v>3</v>
      </c>
      <c r="G3328" s="26" t="s">
        <v>2848</v>
      </c>
      <c r="H3328" s="11" t="str">
        <f>IFERROR(__xludf.DUMMYFUNCTION("REGEXREPLACE(G3328, ""[^0-9a-zA-Z .'Ã]"","""")"),"Rory Culkin")</f>
        <v>Rory Culkin</v>
      </c>
      <c r="I3328" s="28" t="s">
        <v>10406</v>
      </c>
      <c r="J3328" s="26">
        <v>271592.0</v>
      </c>
      <c r="K3328" s="26" t="s">
        <v>10407</v>
      </c>
      <c r="L3328" s="26">
        <v>2335.0</v>
      </c>
      <c r="M3328" s="26" t="s">
        <v>24</v>
      </c>
      <c r="N3328" s="26" t="s">
        <v>25</v>
      </c>
      <c r="O3328" s="27">
        <v>7.2E7</v>
      </c>
      <c r="P3328" s="10">
        <f t="shared" si="2"/>
        <v>155965690</v>
      </c>
      <c r="Q3328" s="12">
        <f t="shared" si="3"/>
        <v>0</v>
      </c>
      <c r="R3328" s="26">
        <v>2002.0</v>
      </c>
      <c r="S3328" s="26">
        <v>6.7</v>
      </c>
    </row>
    <row r="3329" ht="15.75" customHeight="1">
      <c r="A3329" s="17" t="s">
        <v>9560</v>
      </c>
      <c r="B3329" s="8" t="str">
        <f>IFERROR(__xludf.DUMMYFUNCTION("REGEXREPLACE(A3329, ""[^0-9a-zA-Z .'Ã]"","""")"),"Walt Becker")</f>
        <v>Walt Becker</v>
      </c>
      <c r="C3329" s="18">
        <v>124.0</v>
      </c>
      <c r="D3329" s="19">
        <v>4.9474048E7</v>
      </c>
      <c r="E3329" s="18" t="s">
        <v>857</v>
      </c>
      <c r="F3329" s="9">
        <f t="shared" si="1"/>
        <v>2</v>
      </c>
      <c r="G3329" s="18" t="s">
        <v>673</v>
      </c>
      <c r="H3329" s="11" t="str">
        <f>IFERROR(__xludf.DUMMYFUNCTION("REGEXREPLACE(G3329, ""[^0-9a-zA-Z .'Ã]"","""")"),"Robin Williams")</f>
        <v>Robin Williams</v>
      </c>
      <c r="I3329" s="20" t="s">
        <v>10408</v>
      </c>
      <c r="J3329" s="18">
        <v>31191.0</v>
      </c>
      <c r="K3329" s="18" t="s">
        <v>10409</v>
      </c>
      <c r="L3329" s="18">
        <v>120.0</v>
      </c>
      <c r="M3329" s="18" t="s">
        <v>24</v>
      </c>
      <c r="N3329" s="18" t="s">
        <v>25</v>
      </c>
      <c r="O3329" s="19">
        <v>3.5E7</v>
      </c>
      <c r="P3329" s="10">
        <f t="shared" si="2"/>
        <v>14474048</v>
      </c>
      <c r="Q3329" s="12">
        <f t="shared" si="3"/>
        <v>0</v>
      </c>
      <c r="R3329" s="18">
        <v>2009.0</v>
      </c>
      <c r="S3329" s="18">
        <v>5.4</v>
      </c>
    </row>
    <row r="3330" ht="15.75" customHeight="1">
      <c r="A3330" s="25" t="s">
        <v>38</v>
      </c>
      <c r="B3330" s="8" t="str">
        <f>IFERROR(__xludf.DUMMYFUNCTION("REGEXREPLACE(A3330, ""[^0-9a-zA-Z .'Ã]"","""")"),"Clint Eastwood")</f>
        <v>Clint Eastwood</v>
      </c>
      <c r="C3330" s="26">
        <v>264.0</v>
      </c>
      <c r="D3330" s="27">
        <v>3.5707327E7</v>
      </c>
      <c r="E3330" s="26" t="s">
        <v>435</v>
      </c>
      <c r="F3330" s="9">
        <f t="shared" si="1"/>
        <v>4</v>
      </c>
      <c r="G3330" s="26" t="s">
        <v>844</v>
      </c>
      <c r="H3330" s="11" t="str">
        <f>IFERROR(__xludf.DUMMYFUNCTION("REGEXREPLACE(G3330, ""[^0-9a-zA-Z .'Ã]"","""")"),"Angelina Jolie Pitt")</f>
        <v>Angelina Jolie Pitt</v>
      </c>
      <c r="I3330" s="28" t="s">
        <v>10410</v>
      </c>
      <c r="J3330" s="26">
        <v>199056.0</v>
      </c>
      <c r="K3330" s="26" t="s">
        <v>10411</v>
      </c>
      <c r="L3330" s="26">
        <v>387.0</v>
      </c>
      <c r="M3330" s="26" t="s">
        <v>24</v>
      </c>
      <c r="N3330" s="26" t="s">
        <v>25</v>
      </c>
      <c r="O3330" s="27">
        <v>5.5E7</v>
      </c>
      <c r="P3330" s="10">
        <f t="shared" si="2"/>
        <v>0</v>
      </c>
      <c r="Q3330" s="12">
        <f t="shared" si="3"/>
        <v>19292673</v>
      </c>
      <c r="R3330" s="26">
        <v>2008.0</v>
      </c>
      <c r="S3330" s="26">
        <v>7.8</v>
      </c>
    </row>
    <row r="3331" ht="15.75" customHeight="1">
      <c r="A3331" s="7" t="s">
        <v>53</v>
      </c>
      <c r="B3331" s="8" t="str">
        <f>IFERROR(__xludf.DUMMYFUNCTION("REGEXREPLACE(A3331, ""[^0-9a-zA-Z .'Ã]"","""")"),"Quentin Tarantino")</f>
        <v>Quentin Tarantino</v>
      </c>
      <c r="C3331" s="9">
        <v>173.0</v>
      </c>
      <c r="D3331" s="10">
        <v>2812029.0</v>
      </c>
      <c r="E3331" s="9" t="s">
        <v>113</v>
      </c>
      <c r="F3331" s="9">
        <f t="shared" si="1"/>
        <v>3</v>
      </c>
      <c r="G3331" s="9" t="s">
        <v>53</v>
      </c>
      <c r="H3331" s="11" t="str">
        <f>IFERROR(__xludf.DUMMYFUNCTION("REGEXREPLACE(G3331, ""[^0-9a-zA-Z .'Ã]"","""")"),"Quentin Tarantino")</f>
        <v>Quentin Tarantino</v>
      </c>
      <c r="I3331" s="11" t="s">
        <v>10412</v>
      </c>
      <c r="J3331" s="9">
        <v>664719.0</v>
      </c>
      <c r="K3331" s="9" t="s">
        <v>10413</v>
      </c>
      <c r="L3331" s="9">
        <v>931.0</v>
      </c>
      <c r="M3331" s="9" t="s">
        <v>24</v>
      </c>
      <c r="N3331" s="9" t="s">
        <v>25</v>
      </c>
      <c r="O3331" s="10">
        <v>1200000.0</v>
      </c>
      <c r="P3331" s="10">
        <f t="shared" si="2"/>
        <v>1612029</v>
      </c>
      <c r="Q3331" s="12">
        <f t="shared" si="3"/>
        <v>0</v>
      </c>
      <c r="R3331" s="9">
        <v>1992.0</v>
      </c>
      <c r="S3331" s="9">
        <v>8.4</v>
      </c>
    </row>
    <row r="3332" ht="15.75" customHeight="1">
      <c r="A3332" s="25" t="s">
        <v>3625</v>
      </c>
      <c r="B3332" s="8" t="str">
        <f>IFERROR(__xludf.DUMMYFUNCTION("REGEXREPLACE(A3332, ""[^0-9a-zA-Z .'Ã]"","""")"),"Frank Darabont")</f>
        <v>Frank Darabont</v>
      </c>
      <c r="C3332" s="26">
        <v>330.0</v>
      </c>
      <c r="D3332" s="27">
        <v>2.5592632E7</v>
      </c>
      <c r="E3332" s="26" t="s">
        <v>148</v>
      </c>
      <c r="F3332" s="9">
        <f t="shared" si="1"/>
        <v>1</v>
      </c>
      <c r="G3332" s="26" t="s">
        <v>6867</v>
      </c>
      <c r="H3332" s="11" t="str">
        <f>IFERROR(__xludf.DUMMYFUNCTION("REGEXREPLACE(G3332, ""[^0-9a-zA-Z .'Ã]"","""")"),"Toby Jones")</f>
        <v>Toby Jones</v>
      </c>
      <c r="I3332" s="28" t="s">
        <v>10414</v>
      </c>
      <c r="J3332" s="26">
        <v>220475.0</v>
      </c>
      <c r="K3332" s="26" t="s">
        <v>10415</v>
      </c>
      <c r="L3332" s="26">
        <v>1066.0</v>
      </c>
      <c r="M3332" s="26" t="s">
        <v>24</v>
      </c>
      <c r="N3332" s="26" t="s">
        <v>25</v>
      </c>
      <c r="O3332" s="27">
        <v>1.8E7</v>
      </c>
      <c r="P3332" s="10">
        <f t="shared" si="2"/>
        <v>7592632</v>
      </c>
      <c r="Q3332" s="12">
        <f t="shared" si="3"/>
        <v>0</v>
      </c>
      <c r="R3332" s="26">
        <v>2007.0</v>
      </c>
      <c r="S3332" s="26">
        <v>7.2</v>
      </c>
    </row>
    <row r="3333" ht="15.75" customHeight="1">
      <c r="A3333" s="17" t="s">
        <v>2371</v>
      </c>
      <c r="B3333" s="8" t="str">
        <f>IFERROR(__xludf.DUMMYFUNCTION("REGEXREPLACE(A3333, ""[^0-9a-zA-Z .'Ã]"","""")"),"Sydney Pollack")</f>
        <v>Sydney Pollack</v>
      </c>
      <c r="C3333" s="18">
        <v>94.0</v>
      </c>
      <c r="D3333" s="19">
        <v>1.772E8</v>
      </c>
      <c r="E3333" s="18" t="s">
        <v>159</v>
      </c>
      <c r="F3333" s="9">
        <f t="shared" si="1"/>
        <v>3</v>
      </c>
      <c r="G3333" s="18" t="s">
        <v>470</v>
      </c>
      <c r="H3333" s="11" t="str">
        <f>IFERROR(__xludf.DUMMYFUNCTION("REGEXREPLACE(G3333, ""[^0-9a-zA-Z .'Ã]"","""")"),"Bill Murray")</f>
        <v>Bill Murray</v>
      </c>
      <c r="I3333" s="20" t="s">
        <v>10416</v>
      </c>
      <c r="J3333" s="18">
        <v>77366.0</v>
      </c>
      <c r="K3333" s="18" t="s">
        <v>10417</v>
      </c>
      <c r="L3333" s="18">
        <v>194.0</v>
      </c>
      <c r="M3333" s="18" t="s">
        <v>24</v>
      </c>
      <c r="N3333" s="18" t="s">
        <v>25</v>
      </c>
      <c r="O3333" s="19">
        <v>2.2E7</v>
      </c>
      <c r="P3333" s="10">
        <f t="shared" si="2"/>
        <v>155200000</v>
      </c>
      <c r="Q3333" s="12">
        <f t="shared" si="3"/>
        <v>0</v>
      </c>
      <c r="R3333" s="18">
        <v>1982.0</v>
      </c>
      <c r="S3333" s="18">
        <v>7.4</v>
      </c>
    </row>
    <row r="3334" ht="15.75" customHeight="1">
      <c r="A3334" s="17" t="s">
        <v>10418</v>
      </c>
      <c r="B3334" s="8" t="str">
        <f>IFERROR(__xludf.DUMMYFUNCTION("REGEXREPLACE(A3334, ""[^0-9a-zA-Z .'Ã]"","""")"),"Jeff Burr")</f>
        <v>Jeff Burr</v>
      </c>
      <c r="C3334" s="18">
        <v>57.0</v>
      </c>
      <c r="D3334" s="19">
        <v>1400000.0</v>
      </c>
      <c r="E3334" s="18" t="s">
        <v>10419</v>
      </c>
      <c r="F3334" s="9">
        <f t="shared" si="1"/>
        <v>4</v>
      </c>
      <c r="G3334" s="18" t="s">
        <v>10420</v>
      </c>
      <c r="H3334" s="11" t="str">
        <f>IFERROR(__xludf.DUMMYFUNCTION("REGEXREPLACE(G3334, ""[^0-9a-zA-Z .'Ã]"","""")"),"Terry Kiser")</f>
        <v>Terry Kiser</v>
      </c>
      <c r="I3334" s="20" t="s">
        <v>10421</v>
      </c>
      <c r="J3334" s="18">
        <v>1324.0</v>
      </c>
      <c r="K3334" s="18" t="s">
        <v>10422</v>
      </c>
      <c r="L3334" s="18">
        <v>37.0</v>
      </c>
      <c r="M3334" s="18" t="s">
        <v>24</v>
      </c>
      <c r="N3334" s="18" t="s">
        <v>25</v>
      </c>
      <c r="O3334" s="19">
        <v>1100000.0</v>
      </c>
      <c r="P3334" s="10">
        <f t="shared" si="2"/>
        <v>300000</v>
      </c>
      <c r="Q3334" s="12">
        <f t="shared" si="3"/>
        <v>0</v>
      </c>
      <c r="R3334" s="18">
        <v>1987.0</v>
      </c>
      <c r="S3334" s="18">
        <v>5.9</v>
      </c>
    </row>
    <row r="3335" ht="15.75" customHeight="1">
      <c r="A3335" s="21" t="s">
        <v>8105</v>
      </c>
      <c r="B3335" s="8" t="str">
        <f>IFERROR(__xludf.DUMMYFUNCTION("REGEXREPLACE(A3335, ""[^0-9a-zA-Z .'Ã]"","""")"),"Scott Hicks")</f>
        <v>Scott Hicks</v>
      </c>
      <c r="C3335" s="22">
        <v>95.0</v>
      </c>
      <c r="D3335" s="23">
        <v>1.4378353E7</v>
      </c>
      <c r="E3335" s="22" t="s">
        <v>1025</v>
      </c>
      <c r="F3335" s="9">
        <f t="shared" si="1"/>
        <v>4</v>
      </c>
      <c r="G3335" s="22" t="s">
        <v>5811</v>
      </c>
      <c r="H3335" s="11" t="str">
        <f>IFERROR(__xludf.DUMMYFUNCTION("REGEXREPLACE(G3335, ""[^0-9a-zA-Z .'Ã]"","""")"),"Rick Yune")</f>
        <v>Rick Yune</v>
      </c>
      <c r="I3335" s="24" t="s">
        <v>10423</v>
      </c>
      <c r="J3335" s="22">
        <v>12375.0</v>
      </c>
      <c r="K3335" s="22" t="s">
        <v>10424</v>
      </c>
      <c r="L3335" s="22">
        <v>194.0</v>
      </c>
      <c r="M3335" s="22" t="s">
        <v>24</v>
      </c>
      <c r="N3335" s="22" t="s">
        <v>25</v>
      </c>
      <c r="O3335" s="23">
        <v>3.6E7</v>
      </c>
      <c r="P3335" s="10">
        <f t="shared" si="2"/>
        <v>0</v>
      </c>
      <c r="Q3335" s="12">
        <f t="shared" si="3"/>
        <v>21621647</v>
      </c>
      <c r="R3335" s="22">
        <v>1999.0</v>
      </c>
      <c r="S3335" s="22">
        <v>6.8</v>
      </c>
    </row>
    <row r="3336" ht="15.75" customHeight="1">
      <c r="A3336" s="29" t="s">
        <v>2618</v>
      </c>
      <c r="B3336" s="8" t="str">
        <f>IFERROR(__xludf.DUMMYFUNCTION("REGEXREPLACE(A3336, ""[^0-9a-zA-Z .'Ã]"","""")"),"Jonathan Demme")</f>
        <v>Jonathan Demme</v>
      </c>
      <c r="C3336" s="30">
        <v>185.0</v>
      </c>
      <c r="D3336" s="31">
        <v>1.30727E8</v>
      </c>
      <c r="E3336" s="30" t="s">
        <v>873</v>
      </c>
      <c r="F3336" s="9">
        <f t="shared" si="1"/>
        <v>4</v>
      </c>
      <c r="G3336" s="30" t="s">
        <v>237</v>
      </c>
      <c r="H3336" s="11" t="str">
        <f>IFERROR(__xludf.DUMMYFUNCTION("REGEXREPLACE(G3336, ""[^0-9a-zA-Z .'Ã]"","""")"),"Anthony Hopkins")</f>
        <v>Anthony Hopkins</v>
      </c>
      <c r="I3336" s="32" t="s">
        <v>10425</v>
      </c>
      <c r="J3336" s="30">
        <v>887467.0</v>
      </c>
      <c r="K3336" s="30" t="s">
        <v>10426</v>
      </c>
      <c r="L3336" s="30">
        <v>916.0</v>
      </c>
      <c r="M3336" s="30" t="s">
        <v>24</v>
      </c>
      <c r="N3336" s="30" t="s">
        <v>25</v>
      </c>
      <c r="O3336" s="31">
        <v>1.9E7</v>
      </c>
      <c r="P3336" s="10">
        <f t="shared" si="2"/>
        <v>111727000</v>
      </c>
      <c r="Q3336" s="12">
        <f t="shared" si="3"/>
        <v>0</v>
      </c>
      <c r="R3336" s="30">
        <v>1991.0</v>
      </c>
      <c r="S3336" s="30">
        <v>8.6</v>
      </c>
    </row>
    <row r="3337" ht="15.75" customHeight="1">
      <c r="A3337" s="7" t="s">
        <v>4968</v>
      </c>
      <c r="B3337" s="8" t="str">
        <f>IFERROR(__xludf.DUMMYFUNCTION("REGEXREPLACE(A3337, ""[^0-9a-zA-Z .'Ã]"","""")"),"Justin Lin")</f>
        <v>Justin Lin</v>
      </c>
      <c r="C3337" s="9">
        <v>158.0</v>
      </c>
      <c r="D3337" s="10">
        <v>6.2494975E7</v>
      </c>
      <c r="E3337" s="9" t="s">
        <v>152</v>
      </c>
      <c r="F3337" s="9">
        <f t="shared" si="1"/>
        <v>3</v>
      </c>
      <c r="G3337" s="9" t="s">
        <v>10427</v>
      </c>
      <c r="H3337" s="11" t="str">
        <f>IFERROR(__xludf.DUMMYFUNCTION("REGEXREPLACE(G3337, ""[^0-9a-zA-Z .'Ã]"","""")"),"Amber Stevens West")</f>
        <v>Amber Stevens West</v>
      </c>
      <c r="I3337" s="11" t="s">
        <v>10428</v>
      </c>
      <c r="J3337" s="9">
        <v>179500.0</v>
      </c>
      <c r="K3337" s="9" t="s">
        <v>10429</v>
      </c>
      <c r="L3337" s="9">
        <v>378.0</v>
      </c>
      <c r="M3337" s="9" t="s">
        <v>24</v>
      </c>
      <c r="N3337" s="9" t="s">
        <v>25</v>
      </c>
      <c r="O3337" s="10">
        <v>8.5E7</v>
      </c>
      <c r="P3337" s="10">
        <f t="shared" si="2"/>
        <v>0</v>
      </c>
      <c r="Q3337" s="12">
        <f t="shared" si="3"/>
        <v>22505025</v>
      </c>
      <c r="R3337" s="9">
        <v>2006.0</v>
      </c>
      <c r="S3337" s="9">
        <v>6.0</v>
      </c>
    </row>
    <row r="3338" ht="15.75" customHeight="1">
      <c r="A3338" s="17" t="s">
        <v>38</v>
      </c>
      <c r="B3338" s="8" t="str">
        <f>IFERROR(__xludf.DUMMYFUNCTION("REGEXREPLACE(A3338, ""[^0-9a-zA-Z .'Ã]"","""")"),"Clint Eastwood")</f>
        <v>Clint Eastwood</v>
      </c>
      <c r="C3338" s="18">
        <v>268.0</v>
      </c>
      <c r="D3338" s="19">
        <v>1.00422786E8</v>
      </c>
      <c r="E3338" s="18" t="s">
        <v>132</v>
      </c>
      <c r="F3338" s="9">
        <f t="shared" si="1"/>
        <v>2</v>
      </c>
      <c r="G3338" s="18" t="s">
        <v>38</v>
      </c>
      <c r="H3338" s="11" t="str">
        <f>IFERROR(__xludf.DUMMYFUNCTION("REGEXREPLACE(G3338, ""[^0-9a-zA-Z .'Ã]"","""")"),"Clint Eastwood")</f>
        <v>Clint Eastwood</v>
      </c>
      <c r="I3338" s="20" t="s">
        <v>10430</v>
      </c>
      <c r="J3338" s="18">
        <v>482064.0</v>
      </c>
      <c r="K3338" s="18" t="s">
        <v>10431</v>
      </c>
      <c r="L3338" s="18">
        <v>1106.0</v>
      </c>
      <c r="M3338" s="18" t="s">
        <v>24</v>
      </c>
      <c r="N3338" s="18" t="s">
        <v>25</v>
      </c>
      <c r="O3338" s="19">
        <v>3.0E7</v>
      </c>
      <c r="P3338" s="10">
        <f t="shared" si="2"/>
        <v>70422786</v>
      </c>
      <c r="Q3338" s="12">
        <f t="shared" si="3"/>
        <v>0</v>
      </c>
      <c r="R3338" s="18">
        <v>2004.0</v>
      </c>
      <c r="S3338" s="18">
        <v>8.1</v>
      </c>
    </row>
    <row r="3339" ht="15.75" customHeight="1">
      <c r="A3339" s="17" t="s">
        <v>1489</v>
      </c>
      <c r="B3339" s="8" t="str">
        <f>IFERROR(__xludf.DUMMYFUNCTION("REGEXREPLACE(A3339, ""[^0-9a-zA-Z .'Ã]"","""")"),"John Madden")</f>
        <v>John Madden</v>
      </c>
      <c r="C3339" s="18">
        <v>264.0</v>
      </c>
      <c r="D3339" s="19">
        <v>4.6377022E7</v>
      </c>
      <c r="E3339" s="18" t="s">
        <v>454</v>
      </c>
      <c r="F3339" s="9">
        <f t="shared" si="1"/>
        <v>2</v>
      </c>
      <c r="G3339" s="18" t="s">
        <v>1490</v>
      </c>
      <c r="H3339" s="11" t="str">
        <f>IFERROR(__xludf.DUMMYFUNCTION("REGEXREPLACE(G3339, ""[^0-9a-zA-Z .'Ã]"","""")"),"Tom Wilkinson")</f>
        <v>Tom Wilkinson</v>
      </c>
      <c r="I3339" s="20" t="s">
        <v>10432</v>
      </c>
      <c r="J3339" s="18">
        <v>75306.0</v>
      </c>
      <c r="K3339" s="18" t="s">
        <v>10433</v>
      </c>
      <c r="L3339" s="18">
        <v>266.0</v>
      </c>
      <c r="M3339" s="18" t="s">
        <v>24</v>
      </c>
      <c r="N3339" s="18" t="s">
        <v>130</v>
      </c>
      <c r="O3339" s="19">
        <v>1.0E7</v>
      </c>
      <c r="P3339" s="10">
        <f t="shared" si="2"/>
        <v>36377022</v>
      </c>
      <c r="Q3339" s="12">
        <f t="shared" si="3"/>
        <v>0</v>
      </c>
      <c r="R3339" s="18">
        <v>2011.0</v>
      </c>
      <c r="S3339" s="18">
        <v>7.3</v>
      </c>
    </row>
    <row r="3340" ht="15.75" customHeight="1">
      <c r="A3340" s="7" t="s">
        <v>9560</v>
      </c>
      <c r="B3340" s="8" t="str">
        <f>IFERROR(__xludf.DUMMYFUNCTION("REGEXREPLACE(A3340, ""[^0-9a-zA-Z .'Ã]"","""")"),"Walt Becker")</f>
        <v>Walt Becker</v>
      </c>
      <c r="C3340" s="9">
        <v>96.0</v>
      </c>
      <c r="D3340" s="10">
        <v>2.1005329E7</v>
      </c>
      <c r="E3340" s="9" t="s">
        <v>89</v>
      </c>
      <c r="F3340" s="9">
        <f t="shared" si="1"/>
        <v>2</v>
      </c>
      <c r="G3340" s="9" t="s">
        <v>2451</v>
      </c>
      <c r="H3340" s="11" t="str">
        <f>IFERROR(__xludf.DUMMYFUNCTION("REGEXREPLACE(G3340, ""[^0-9a-zA-Z .'Ã]"","""")"),"Ryan Reynolds")</f>
        <v>Ryan Reynolds</v>
      </c>
      <c r="I3340" s="11" t="s">
        <v>10434</v>
      </c>
      <c r="J3340" s="9">
        <v>89128.0</v>
      </c>
      <c r="K3340" s="9" t="s">
        <v>10435</v>
      </c>
      <c r="L3340" s="9">
        <v>258.0</v>
      </c>
      <c r="M3340" s="9" t="s">
        <v>24</v>
      </c>
      <c r="N3340" s="9" t="s">
        <v>173</v>
      </c>
      <c r="O3340" s="10">
        <v>6000000.0</v>
      </c>
      <c r="P3340" s="10">
        <f t="shared" si="2"/>
        <v>15005329</v>
      </c>
      <c r="Q3340" s="12">
        <f t="shared" si="3"/>
        <v>0</v>
      </c>
      <c r="R3340" s="9">
        <v>2002.0</v>
      </c>
      <c r="S3340" s="9">
        <v>6.4</v>
      </c>
    </row>
    <row r="3341" ht="15.75" customHeight="1">
      <c r="A3341" s="13" t="s">
        <v>6929</v>
      </c>
      <c r="B3341" s="8" t="str">
        <f>IFERROR(__xludf.DUMMYFUNCTION("REGEXREPLACE(A3341, ""[^0-9a-zA-Z .'Ã]"","""")"),"James Toback")</f>
        <v>James Toback</v>
      </c>
      <c r="C3341" s="14">
        <v>27.0</v>
      </c>
      <c r="D3341" s="15">
        <v>56007.0</v>
      </c>
      <c r="E3341" s="14" t="s">
        <v>3963</v>
      </c>
      <c r="F3341" s="9">
        <f t="shared" si="1"/>
        <v>5</v>
      </c>
      <c r="G3341" s="14" t="s">
        <v>3489</v>
      </c>
      <c r="H3341" s="11" t="str">
        <f>IFERROR(__xludf.DUMMYFUNCTION("REGEXREPLACE(G3341, ""[^0-9a-zA-Z .'Ã]"","""")"),"Sarah Michelle Gellar")</f>
        <v>Sarah Michelle Gellar</v>
      </c>
      <c r="I3341" s="16" t="s">
        <v>10436</v>
      </c>
      <c r="J3341" s="14">
        <v>3754.0</v>
      </c>
      <c r="K3341" s="14" t="s">
        <v>10437</v>
      </c>
      <c r="L3341" s="14">
        <v>69.0</v>
      </c>
      <c r="M3341" s="14" t="s">
        <v>24</v>
      </c>
      <c r="N3341" s="14" t="s">
        <v>25</v>
      </c>
      <c r="O3341" s="15">
        <v>5500000.0</v>
      </c>
      <c r="P3341" s="10">
        <f t="shared" si="2"/>
        <v>0</v>
      </c>
      <c r="Q3341" s="12">
        <f t="shared" si="3"/>
        <v>5443993</v>
      </c>
      <c r="R3341" s="14">
        <v>2001.0</v>
      </c>
      <c r="S3341" s="14">
        <v>4.9</v>
      </c>
    </row>
    <row r="3342" ht="15.75" customHeight="1">
      <c r="A3342" s="17" t="s">
        <v>439</v>
      </c>
      <c r="B3342" s="8" t="str">
        <f>IFERROR(__xludf.DUMMYFUNCTION("REGEXREPLACE(A3342, ""[^0-9a-zA-Z .'Ã]"","""")"),"Jay Roach")</f>
        <v>Jay Roach</v>
      </c>
      <c r="C3342" s="18">
        <v>150.0</v>
      </c>
      <c r="D3342" s="19">
        <v>1.6622504E8</v>
      </c>
      <c r="E3342" s="18" t="s">
        <v>137</v>
      </c>
      <c r="F3342" s="9">
        <f t="shared" si="1"/>
        <v>1</v>
      </c>
      <c r="G3342" s="18" t="s">
        <v>883</v>
      </c>
      <c r="H3342" s="11" t="str">
        <f>IFERROR(__xludf.DUMMYFUNCTION("REGEXREPLACE(G3342, ""[^0-9a-zA-Z .'Ã]"","""")"),"Robert De Niro")</f>
        <v>Robert De Niro</v>
      </c>
      <c r="I3342" s="20" t="s">
        <v>10438</v>
      </c>
      <c r="J3342" s="18">
        <v>260442.0</v>
      </c>
      <c r="K3342" s="18" t="s">
        <v>10439</v>
      </c>
      <c r="L3342" s="18">
        <v>507.0</v>
      </c>
      <c r="M3342" s="18" t="s">
        <v>24</v>
      </c>
      <c r="N3342" s="18" t="s">
        <v>25</v>
      </c>
      <c r="O3342" s="19">
        <v>5.5E7</v>
      </c>
      <c r="P3342" s="10">
        <f t="shared" si="2"/>
        <v>111225040</v>
      </c>
      <c r="Q3342" s="12">
        <f t="shared" si="3"/>
        <v>0</v>
      </c>
      <c r="R3342" s="18">
        <v>2000.0</v>
      </c>
      <c r="S3342" s="18">
        <v>7.0</v>
      </c>
    </row>
    <row r="3343" ht="15.75" customHeight="1">
      <c r="A3343" s="17" t="s">
        <v>6223</v>
      </c>
      <c r="B3343" s="8" t="str">
        <f>IFERROR(__xludf.DUMMYFUNCTION("REGEXREPLACE(A3343, ""[^0-9a-zA-Z .'Ã]"","""")"),"Mimi Leder")</f>
        <v>Mimi Leder</v>
      </c>
      <c r="C3343" s="18">
        <v>125.0</v>
      </c>
      <c r="D3343" s="19">
        <v>1.40459099E8</v>
      </c>
      <c r="E3343" s="18" t="s">
        <v>10440</v>
      </c>
      <c r="F3343" s="9">
        <f t="shared" si="1"/>
        <v>5</v>
      </c>
      <c r="G3343" s="18" t="s">
        <v>170</v>
      </c>
      <c r="H3343" s="11" t="str">
        <f>IFERROR(__xludf.DUMMYFUNCTION("REGEXREPLACE(G3343, ""[^0-9a-zA-Z .'Ã]"","""")"),"Morgan Freeman")</f>
        <v>Morgan Freeman</v>
      </c>
      <c r="I3343" s="20" t="s">
        <v>10441</v>
      </c>
      <c r="J3343" s="18">
        <v>135601.0</v>
      </c>
      <c r="K3343" s="18" t="s">
        <v>10442</v>
      </c>
      <c r="L3343" s="18">
        <v>493.0</v>
      </c>
      <c r="M3343" s="18" t="s">
        <v>24</v>
      </c>
      <c r="N3343" s="18" t="s">
        <v>25</v>
      </c>
      <c r="O3343" s="19">
        <v>7.5E7</v>
      </c>
      <c r="P3343" s="10">
        <f t="shared" si="2"/>
        <v>65459099</v>
      </c>
      <c r="Q3343" s="12">
        <f t="shared" si="3"/>
        <v>0</v>
      </c>
      <c r="R3343" s="18">
        <v>1998.0</v>
      </c>
      <c r="S3343" s="18">
        <v>6.1</v>
      </c>
    </row>
    <row r="3344" ht="15.75" customHeight="1">
      <c r="A3344" s="17" t="s">
        <v>147</v>
      </c>
      <c r="B3344" s="8" t="str">
        <f>IFERROR(__xludf.DUMMYFUNCTION("REGEXREPLACE(A3344, ""[^0-9a-zA-Z .'Ã]"","""")"),"Wes Craven")</f>
        <v>Wes Craven</v>
      </c>
      <c r="C3344" s="18">
        <v>34.0</v>
      </c>
      <c r="D3344" s="19">
        <v>1.99E7</v>
      </c>
      <c r="E3344" s="18" t="s">
        <v>5180</v>
      </c>
      <c r="F3344" s="9">
        <f t="shared" si="1"/>
        <v>4</v>
      </c>
      <c r="G3344" s="18" t="s">
        <v>3155</v>
      </c>
      <c r="H3344" s="11" t="str">
        <f>IFERROR(__xludf.DUMMYFUNCTION("REGEXREPLACE(G3344, ""[^0-9a-zA-Z .'Ã]"","""")"),"John Witherspoon")</f>
        <v>John Witherspoon</v>
      </c>
      <c r="I3344" s="20" t="s">
        <v>10443</v>
      </c>
      <c r="J3344" s="18">
        <v>17262.0</v>
      </c>
      <c r="K3344" s="18" t="s">
        <v>10444</v>
      </c>
      <c r="L3344" s="18">
        <v>53.0</v>
      </c>
      <c r="M3344" s="18" t="s">
        <v>24</v>
      </c>
      <c r="N3344" s="18" t="s">
        <v>25</v>
      </c>
      <c r="O3344" s="19">
        <v>2.0E7</v>
      </c>
      <c r="P3344" s="10">
        <f t="shared" si="2"/>
        <v>0</v>
      </c>
      <c r="Q3344" s="12">
        <f t="shared" si="3"/>
        <v>100000</v>
      </c>
      <c r="R3344" s="18">
        <v>1995.0</v>
      </c>
      <c r="S3344" s="18">
        <v>4.5</v>
      </c>
    </row>
    <row r="3345" ht="15.75" customHeight="1">
      <c r="A3345" s="21" t="s">
        <v>10445</v>
      </c>
      <c r="B3345" s="8" t="str">
        <f>IFERROR(__xludf.DUMMYFUNCTION("REGEXREPLACE(A3345, ""[^0-9a-zA-Z .'Ã]"","""")"),"Mike Marvin")</f>
        <v>Mike Marvin</v>
      </c>
      <c r="C3345" s="22">
        <v>70.0</v>
      </c>
      <c r="D3345" s="23">
        <v>3500000.0</v>
      </c>
      <c r="E3345" s="22" t="s">
        <v>10446</v>
      </c>
      <c r="F3345" s="9">
        <f t="shared" si="1"/>
        <v>5</v>
      </c>
      <c r="G3345" s="22" t="s">
        <v>4180</v>
      </c>
      <c r="H3345" s="11" t="str">
        <f>IFERROR(__xludf.DUMMYFUNCTION("REGEXREPLACE(G3345, ""[^0-9a-zA-Z .'Ã]"","""")"),"Clint Howard")</f>
        <v>Clint Howard</v>
      </c>
      <c r="I3345" s="24" t="s">
        <v>10447</v>
      </c>
      <c r="J3345" s="22">
        <v>10082.0</v>
      </c>
      <c r="K3345" s="22" t="s">
        <v>10448</v>
      </c>
      <c r="L3345" s="22">
        <v>100.0</v>
      </c>
      <c r="M3345" s="22" t="s">
        <v>24</v>
      </c>
      <c r="N3345" s="22" t="s">
        <v>25</v>
      </c>
      <c r="O3345" s="23">
        <v>2700000.0</v>
      </c>
      <c r="P3345" s="10">
        <f t="shared" si="2"/>
        <v>800000</v>
      </c>
      <c r="Q3345" s="12">
        <f t="shared" si="3"/>
        <v>0</v>
      </c>
      <c r="R3345" s="22">
        <v>1986.0</v>
      </c>
      <c r="S3345" s="22">
        <v>5.9</v>
      </c>
    </row>
    <row r="3346" ht="15.75" customHeight="1">
      <c r="A3346" s="17" t="s">
        <v>1740</v>
      </c>
      <c r="B3346" s="8" t="str">
        <f>IFERROR(__xludf.DUMMYFUNCTION("REGEXREPLACE(A3346, ""[^0-9a-zA-Z .'Ã]"","""")"),"Woody Allen")</f>
        <v>Woody Allen</v>
      </c>
      <c r="C3346" s="18">
        <v>109.0</v>
      </c>
      <c r="D3346" s="19">
        <v>4839383.0</v>
      </c>
      <c r="E3346" s="18" t="s">
        <v>89</v>
      </c>
      <c r="F3346" s="9">
        <f t="shared" si="1"/>
        <v>2</v>
      </c>
      <c r="G3346" s="18" t="s">
        <v>1740</v>
      </c>
      <c r="H3346" s="11" t="str">
        <f>IFERROR(__xludf.DUMMYFUNCTION("REGEXREPLACE(G3346, ""[^0-9a-zA-Z .'Ã]"","""")"),"Woody Allen")</f>
        <v>Woody Allen</v>
      </c>
      <c r="I3346" s="20" t="s">
        <v>10449</v>
      </c>
      <c r="J3346" s="18">
        <v>21613.0</v>
      </c>
      <c r="K3346" s="18" t="s">
        <v>10450</v>
      </c>
      <c r="L3346" s="18">
        <v>148.0</v>
      </c>
      <c r="M3346" s="18" t="s">
        <v>24</v>
      </c>
      <c r="N3346" s="18" t="s">
        <v>25</v>
      </c>
      <c r="O3346" s="19">
        <v>1.6E7</v>
      </c>
      <c r="P3346" s="10">
        <f t="shared" si="2"/>
        <v>0</v>
      </c>
      <c r="Q3346" s="12">
        <f t="shared" si="3"/>
        <v>11160617</v>
      </c>
      <c r="R3346" s="18">
        <v>2002.0</v>
      </c>
      <c r="S3346" s="18">
        <v>6.6</v>
      </c>
    </row>
    <row r="3347" ht="15.75" customHeight="1">
      <c r="A3347" s="7" t="s">
        <v>7845</v>
      </c>
      <c r="B3347" s="8" t="str">
        <f>IFERROR(__xludf.DUMMYFUNCTION("REGEXREPLACE(A3347, ""[^0-9a-zA-Z -.'Ã]"","""")"),"Michael Caton-Jones")</f>
        <v>Michael Caton-Jones</v>
      </c>
      <c r="C3347" s="9">
        <v>104.0</v>
      </c>
      <c r="D3347" s="10">
        <v>2.2433915E7</v>
      </c>
      <c r="E3347" s="9" t="s">
        <v>435</v>
      </c>
      <c r="F3347" s="9">
        <f t="shared" si="1"/>
        <v>4</v>
      </c>
      <c r="G3347" s="9" t="s">
        <v>883</v>
      </c>
      <c r="H3347" s="11" t="str">
        <f>IFERROR(__xludf.DUMMYFUNCTION("REGEXREPLACE(G3347, ""[^0-9a-zA-Z .'Ã]"","""")"),"Robert De Niro")</f>
        <v>Robert De Niro</v>
      </c>
      <c r="I3347" s="11" t="s">
        <v>10451</v>
      </c>
      <c r="J3347" s="9">
        <v>21319.0</v>
      </c>
      <c r="K3347" s="9" t="s">
        <v>10452</v>
      </c>
      <c r="L3347" s="9">
        <v>166.0</v>
      </c>
      <c r="M3347" s="9" t="s">
        <v>24</v>
      </c>
      <c r="N3347" s="9" t="s">
        <v>25</v>
      </c>
      <c r="O3347" s="10">
        <v>6.0E7</v>
      </c>
      <c r="P3347" s="10">
        <f t="shared" si="2"/>
        <v>0</v>
      </c>
      <c r="Q3347" s="12">
        <f t="shared" si="3"/>
        <v>37566085</v>
      </c>
      <c r="R3347" s="9">
        <v>2002.0</v>
      </c>
      <c r="S3347" s="9">
        <v>6.2</v>
      </c>
    </row>
    <row r="3348" ht="15.75" customHeight="1">
      <c r="A3348" s="7" t="s">
        <v>868</v>
      </c>
      <c r="B3348" s="8" t="str">
        <f>IFERROR(__xludf.DUMMYFUNCTION("REGEXREPLACE(A3348, ""[^0-9a-zA-Z .'Ã]"","""")"),"John Woo")</f>
        <v>John Woo</v>
      </c>
      <c r="C3348" s="9">
        <v>155.0</v>
      </c>
      <c r="D3348" s="10">
        <v>1.12225777E8</v>
      </c>
      <c r="E3348" s="9" t="s">
        <v>771</v>
      </c>
      <c r="F3348" s="9">
        <f t="shared" si="1"/>
        <v>4</v>
      </c>
      <c r="G3348" s="9" t="s">
        <v>458</v>
      </c>
      <c r="H3348" s="11" t="str">
        <f>IFERROR(__xludf.DUMMYFUNCTION("REGEXREPLACE(G3348, ""[^0-9a-zA-Z .'Ã]"","""")"),"Nicolas Cage")</f>
        <v>Nicolas Cage</v>
      </c>
      <c r="I3348" s="11" t="s">
        <v>10453</v>
      </c>
      <c r="J3348" s="9">
        <v>283967.0</v>
      </c>
      <c r="K3348" s="9" t="s">
        <v>10454</v>
      </c>
      <c r="L3348" s="9">
        <v>535.0</v>
      </c>
      <c r="M3348" s="9" t="s">
        <v>24</v>
      </c>
      <c r="N3348" s="9" t="s">
        <v>25</v>
      </c>
      <c r="O3348" s="10">
        <v>8.0E7</v>
      </c>
      <c r="P3348" s="10">
        <f t="shared" si="2"/>
        <v>32225777</v>
      </c>
      <c r="Q3348" s="12">
        <f t="shared" si="3"/>
        <v>0</v>
      </c>
      <c r="R3348" s="9">
        <v>1997.0</v>
      </c>
      <c r="S3348" s="9">
        <v>7.3</v>
      </c>
    </row>
    <row r="3349" ht="15.75" customHeight="1">
      <c r="A3349" s="25" t="s">
        <v>3803</v>
      </c>
      <c r="B3349" s="8" t="str">
        <f>IFERROR(__xludf.DUMMYFUNCTION("REGEXREPLACE(A3349, ""[^0-9a-zA-Z .'Ã]"","""")"),"Danny Boyle")</f>
        <v>Danny Boyle</v>
      </c>
      <c r="C3349" s="26">
        <v>412.0</v>
      </c>
      <c r="D3349" s="27">
        <v>1.7750583E7</v>
      </c>
      <c r="E3349" s="26" t="s">
        <v>359</v>
      </c>
      <c r="F3349" s="9">
        <f t="shared" si="1"/>
        <v>2</v>
      </c>
      <c r="G3349" s="26" t="s">
        <v>777</v>
      </c>
      <c r="H3349" s="11" t="str">
        <f>IFERROR(__xludf.DUMMYFUNCTION("REGEXREPLACE(G3349, ""[^0-9a-zA-Z .'Ã]"","""")"),"Kate Winslet")</f>
        <v>Kate Winslet</v>
      </c>
      <c r="I3349" s="28" t="s">
        <v>10455</v>
      </c>
      <c r="J3349" s="26">
        <v>93548.0</v>
      </c>
      <c r="K3349" s="26" t="s">
        <v>10456</v>
      </c>
      <c r="L3349" s="26">
        <v>307.0</v>
      </c>
      <c r="M3349" s="26" t="s">
        <v>24</v>
      </c>
      <c r="N3349" s="26" t="s">
        <v>130</v>
      </c>
      <c r="O3349" s="27">
        <v>3.0E7</v>
      </c>
      <c r="P3349" s="10">
        <f t="shared" si="2"/>
        <v>0</v>
      </c>
      <c r="Q3349" s="12">
        <f t="shared" si="3"/>
        <v>12249417</v>
      </c>
      <c r="R3349" s="26">
        <v>2015.0</v>
      </c>
      <c r="S3349" s="26">
        <v>7.2</v>
      </c>
    </row>
    <row r="3350" ht="15.75" customHeight="1">
      <c r="A3350" s="17" t="s">
        <v>1652</v>
      </c>
      <c r="B3350" s="8" t="str">
        <f>IFERROR(__xludf.DUMMYFUNCTION("REGEXREPLACE(A3350, ""[^0-9a-zA-Z .'Ã]"","""")"),"John Carpenter")</f>
        <v>John Carpenter</v>
      </c>
      <c r="C3350" s="18">
        <v>40.0</v>
      </c>
      <c r="D3350" s="19">
        <v>1.4358033E7</v>
      </c>
      <c r="E3350" s="18" t="s">
        <v>10457</v>
      </c>
      <c r="F3350" s="9">
        <f t="shared" si="1"/>
        <v>4</v>
      </c>
      <c r="G3350" s="18" t="s">
        <v>10458</v>
      </c>
      <c r="H3350" s="11" t="str">
        <f>IFERROR(__xludf.DUMMYFUNCTION("REGEXREPLACE(G3350, ""[^0-9a-zA-Z .'Ã]"","""")"),"Richard Epcar")</f>
        <v>Richard Epcar</v>
      </c>
      <c r="I3350" s="20" t="s">
        <v>10459</v>
      </c>
      <c r="J3350" s="18">
        <v>17365.0</v>
      </c>
      <c r="K3350" s="18" t="s">
        <v>10460</v>
      </c>
      <c r="L3350" s="18">
        <v>66.0</v>
      </c>
      <c r="M3350" s="18" t="s">
        <v>24</v>
      </c>
      <c r="N3350" s="18" t="s">
        <v>25</v>
      </c>
      <c r="O3350" s="19">
        <v>4.0E7</v>
      </c>
      <c r="P3350" s="10">
        <f t="shared" si="2"/>
        <v>0</v>
      </c>
      <c r="Q3350" s="12">
        <f t="shared" si="3"/>
        <v>25641967</v>
      </c>
      <c r="R3350" s="18">
        <v>1992.0</v>
      </c>
      <c r="S3350" s="18">
        <v>5.9</v>
      </c>
    </row>
    <row r="3351" ht="15.75" customHeight="1">
      <c r="A3351" s="17" t="s">
        <v>5062</v>
      </c>
      <c r="B3351" s="8" t="str">
        <f>IFERROR(__xludf.DUMMYFUNCTION("REGEXREPLACE(A3351, ""[^0-9a-zA-Z .'Ã]"","""")"),"Sidney Lumet")</f>
        <v>Sidney Lumet</v>
      </c>
      <c r="C3351" s="18">
        <v>25.0</v>
      </c>
      <c r="D3351" s="19">
        <v>141853.0</v>
      </c>
      <c r="E3351" s="18" t="s">
        <v>454</v>
      </c>
      <c r="F3351" s="9">
        <f t="shared" si="1"/>
        <v>2</v>
      </c>
      <c r="G3351" s="18" t="s">
        <v>4381</v>
      </c>
      <c r="H3351" s="11" t="str">
        <f>IFERROR(__xludf.DUMMYFUNCTION("REGEXREPLACE(G3351, ""[^0-9a-zA-Z .'Ã]"","""")"),"Kyra Sedgwick")</f>
        <v>Kyra Sedgwick</v>
      </c>
      <c r="I3351" s="20" t="s">
        <v>10461</v>
      </c>
      <c r="J3351" s="18">
        <v>1427.0</v>
      </c>
      <c r="K3351" s="18" t="s">
        <v>10462</v>
      </c>
      <c r="L3351" s="18">
        <v>12.0</v>
      </c>
      <c r="M3351" s="18" t="s">
        <v>24</v>
      </c>
      <c r="N3351" s="18" t="s">
        <v>146</v>
      </c>
      <c r="O3351" s="19">
        <v>1.2E7</v>
      </c>
      <c r="P3351" s="10">
        <f t="shared" si="2"/>
        <v>0</v>
      </c>
      <c r="Q3351" s="12">
        <f t="shared" si="3"/>
        <v>11858147</v>
      </c>
      <c r="R3351" s="18">
        <v>1997.0</v>
      </c>
      <c r="S3351" s="18">
        <v>6.0</v>
      </c>
    </row>
    <row r="3352" ht="15.75" customHeight="1">
      <c r="A3352" s="7" t="s">
        <v>7606</v>
      </c>
      <c r="B3352" s="8" t="str">
        <f>IFERROR(__xludf.DUMMYFUNCTION("REGEXREPLACE(A3352, ""[^0-9a-zA-Z .'Ã]"","""")"),"Stuart Baird")</f>
        <v>Stuart Baird</v>
      </c>
      <c r="C3352" s="9">
        <v>60.0</v>
      </c>
      <c r="D3352" s="10">
        <v>6.875E7</v>
      </c>
      <c r="E3352" s="9" t="s">
        <v>474</v>
      </c>
      <c r="F3352" s="9">
        <f t="shared" si="1"/>
        <v>3</v>
      </c>
      <c r="G3352" s="9" t="s">
        <v>109</v>
      </c>
      <c r="H3352" s="11" t="str">
        <f>IFERROR(__xludf.DUMMYFUNCTION("REGEXREPLACE(G3352, ""[^0-9a-zA-Z .'Ã]"","""")"),"Oliver Platt")</f>
        <v>Oliver Platt</v>
      </c>
      <c r="I3352" s="11" t="s">
        <v>10463</v>
      </c>
      <c r="J3352" s="9">
        <v>40858.0</v>
      </c>
      <c r="K3352" s="9" t="s">
        <v>10464</v>
      </c>
      <c r="L3352" s="9">
        <v>144.0</v>
      </c>
      <c r="M3352" s="9" t="s">
        <v>24</v>
      </c>
      <c r="N3352" s="9" t="s">
        <v>25</v>
      </c>
      <c r="O3352" s="10">
        <v>5.5E7</v>
      </c>
      <c r="P3352" s="10">
        <f t="shared" si="2"/>
        <v>13750000</v>
      </c>
      <c r="Q3352" s="12">
        <f t="shared" si="3"/>
        <v>0</v>
      </c>
      <c r="R3352" s="9">
        <v>1996.0</v>
      </c>
      <c r="S3352" s="9">
        <v>6.4</v>
      </c>
    </row>
    <row r="3353" ht="15.75" customHeight="1">
      <c r="A3353" s="13" t="s">
        <v>7602</v>
      </c>
      <c r="B3353" s="8" t="str">
        <f>IFERROR(__xludf.DUMMYFUNCTION("REGEXREPLACE(A3353, ""[^0-9a-zA-Z .'Ã]"","""")"),"Michael Cuesta")</f>
        <v>Michael Cuesta</v>
      </c>
      <c r="C3353" s="14">
        <v>163.0</v>
      </c>
      <c r="D3353" s="15">
        <v>2445646.0</v>
      </c>
      <c r="E3353" s="14" t="s">
        <v>10465</v>
      </c>
      <c r="F3353" s="9">
        <f t="shared" si="1"/>
        <v>5</v>
      </c>
      <c r="G3353" s="14" t="s">
        <v>480</v>
      </c>
      <c r="H3353" s="11" t="str">
        <f>IFERROR(__xludf.DUMMYFUNCTION("REGEXREPLACE(G3353, ""[^0-9a-zA-Z .'Ã]"","""")"),"Jeremy Renner")</f>
        <v>Jeremy Renner</v>
      </c>
      <c r="I3353" s="16" t="s">
        <v>10466</v>
      </c>
      <c r="J3353" s="14">
        <v>32382.0</v>
      </c>
      <c r="K3353" s="14" t="s">
        <v>10467</v>
      </c>
      <c r="L3353" s="14">
        <v>99.0</v>
      </c>
      <c r="M3353" s="14" t="s">
        <v>24</v>
      </c>
      <c r="N3353" s="14" t="s">
        <v>25</v>
      </c>
      <c r="O3353" s="15">
        <v>5000000.0</v>
      </c>
      <c r="P3353" s="10">
        <f t="shared" si="2"/>
        <v>0</v>
      </c>
      <c r="Q3353" s="12">
        <f t="shared" si="3"/>
        <v>2554354</v>
      </c>
      <c r="R3353" s="14">
        <v>2014.0</v>
      </c>
      <c r="S3353" s="14">
        <v>7.0</v>
      </c>
    </row>
    <row r="3354" ht="15.75" customHeight="1">
      <c r="A3354" s="25" t="s">
        <v>1748</v>
      </c>
      <c r="B3354" s="8" t="str">
        <f>IFERROR(__xludf.DUMMYFUNCTION("REGEXREPLACE(A3354, ""[^0-9a-zA-Z .'Ã]"","""")"),"Richard Benjamin")</f>
        <v>Richard Benjamin</v>
      </c>
      <c r="C3354" s="26">
        <v>20.0</v>
      </c>
      <c r="D3354" s="27">
        <v>1.007E7</v>
      </c>
      <c r="E3354" s="26" t="s">
        <v>159</v>
      </c>
      <c r="F3354" s="9">
        <f t="shared" si="1"/>
        <v>3</v>
      </c>
      <c r="G3354" s="26" t="s">
        <v>21</v>
      </c>
      <c r="H3354" s="11" t="str">
        <f>IFERROR(__xludf.DUMMYFUNCTION("REGEXREPLACE(G3354, ""[^0-9a-zA-Z .'Ã]"","""")"),"Brendan Fraser")</f>
        <v>Brendan Fraser</v>
      </c>
      <c r="I3354" s="28" t="s">
        <v>10468</v>
      </c>
      <c r="J3354" s="26">
        <v>5668.0</v>
      </c>
      <c r="K3354" s="26" t="s">
        <v>10469</v>
      </c>
      <c r="L3354" s="26">
        <v>50.0</v>
      </c>
      <c r="M3354" s="26" t="s">
        <v>24</v>
      </c>
      <c r="N3354" s="26" t="s">
        <v>25</v>
      </c>
      <c r="O3354" s="27">
        <v>2.5E7</v>
      </c>
      <c r="P3354" s="10">
        <f t="shared" si="2"/>
        <v>0</v>
      </c>
      <c r="Q3354" s="12">
        <f t="shared" si="3"/>
        <v>14930000</v>
      </c>
      <c r="R3354" s="26">
        <v>1996.0</v>
      </c>
      <c r="S3354" s="26">
        <v>6.2</v>
      </c>
    </row>
    <row r="3355" ht="15.75" customHeight="1">
      <c r="A3355" s="13" t="s">
        <v>1350</v>
      </c>
      <c r="B3355" s="8" t="str">
        <f>IFERROR(__xludf.DUMMYFUNCTION("REGEXREPLACE(A3355, ""[^0-9a-zA-Z .'Ã]"","""")"),"Christopher Nolan")</f>
        <v>Christopher Nolan</v>
      </c>
      <c r="C3355" s="14">
        <v>478.0</v>
      </c>
      <c r="D3355" s="15">
        <v>2.05343774E8</v>
      </c>
      <c r="E3355" s="14" t="s">
        <v>636</v>
      </c>
      <c r="F3355" s="9">
        <f t="shared" si="1"/>
        <v>2</v>
      </c>
      <c r="G3355" s="14" t="s">
        <v>1579</v>
      </c>
      <c r="H3355" s="11" t="str">
        <f>IFERROR(__xludf.DUMMYFUNCTION("REGEXREPLACE(G3355, ""[^0-9a-zA-Z .'Ã]"","""")"),"Christian Bale")</f>
        <v>Christian Bale</v>
      </c>
      <c r="I3355" s="16" t="s">
        <v>10470</v>
      </c>
      <c r="J3355" s="14">
        <v>980946.0</v>
      </c>
      <c r="K3355" s="14" t="s">
        <v>10471</v>
      </c>
      <c r="L3355" s="14">
        <v>2685.0</v>
      </c>
      <c r="M3355" s="14" t="s">
        <v>24</v>
      </c>
      <c r="N3355" s="14" t="s">
        <v>25</v>
      </c>
      <c r="O3355" s="15">
        <v>1.5E8</v>
      </c>
      <c r="P3355" s="10">
        <f t="shared" si="2"/>
        <v>55343774</v>
      </c>
      <c r="Q3355" s="12">
        <f t="shared" si="3"/>
        <v>0</v>
      </c>
      <c r="R3355" s="14">
        <v>2005.0</v>
      </c>
      <c r="S3355" s="14">
        <v>8.3</v>
      </c>
    </row>
    <row r="3356" ht="15.75" customHeight="1">
      <c r="A3356" s="17" t="s">
        <v>1168</v>
      </c>
      <c r="B3356" s="8" t="str">
        <f>IFERROR(__xludf.DUMMYFUNCTION("REGEXREPLACE(A3356, ""[^0-9a-zA-Z .'Ã]"","""")"),"Peter Hewitt")</f>
        <v>Peter Hewitt</v>
      </c>
      <c r="C3356" s="18">
        <v>116.0</v>
      </c>
      <c r="D3356" s="19">
        <v>7.5367693E7</v>
      </c>
      <c r="E3356" s="18" t="s">
        <v>2756</v>
      </c>
      <c r="F3356" s="9">
        <f t="shared" si="1"/>
        <v>4</v>
      </c>
      <c r="G3356" s="18" t="s">
        <v>470</v>
      </c>
      <c r="H3356" s="11" t="str">
        <f>IFERROR(__xludf.DUMMYFUNCTION("REGEXREPLACE(G3356, ""[^0-9a-zA-Z .'Ã]"","""")"),"Bill Murray")</f>
        <v>Bill Murray</v>
      </c>
      <c r="I3356" s="20" t="s">
        <v>10472</v>
      </c>
      <c r="J3356" s="18">
        <v>58961.0</v>
      </c>
      <c r="K3356" s="18" t="s">
        <v>10473</v>
      </c>
      <c r="L3356" s="18">
        <v>232.0</v>
      </c>
      <c r="M3356" s="18" t="s">
        <v>24</v>
      </c>
      <c r="N3356" s="18" t="s">
        <v>25</v>
      </c>
      <c r="O3356" s="19">
        <v>3.5E7</v>
      </c>
      <c r="P3356" s="10">
        <f t="shared" si="2"/>
        <v>40367693</v>
      </c>
      <c r="Q3356" s="12">
        <f t="shared" si="3"/>
        <v>0</v>
      </c>
      <c r="R3356" s="18">
        <v>2004.0</v>
      </c>
      <c r="S3356" s="18">
        <v>5.0</v>
      </c>
    </row>
    <row r="3357" ht="15.75" customHeight="1">
      <c r="A3357" s="7" t="s">
        <v>1946</v>
      </c>
      <c r="B3357" s="8" t="str">
        <f>IFERROR(__xludf.DUMMYFUNCTION("REGEXREPLACE(A3357, ""[^0-9a-zA-Z .'Ã]"","""")"),"David Koepp")</f>
        <v>David Koepp</v>
      </c>
      <c r="C3357" s="9">
        <v>164.0</v>
      </c>
      <c r="D3357" s="10">
        <v>2.1133087E7</v>
      </c>
      <c r="E3357" s="9" t="s">
        <v>94</v>
      </c>
      <c r="F3357" s="9">
        <f t="shared" si="1"/>
        <v>3</v>
      </c>
      <c r="G3357" s="9" t="s">
        <v>7999</v>
      </c>
      <c r="H3357" s="11" t="str">
        <f>IFERROR(__xludf.DUMMYFUNCTION("REGEXREPLACE(G3357, ""[^0-9a-zA-Z .'Ã]"","""")"),"Illeana Douglas")</f>
        <v>Illeana Douglas</v>
      </c>
      <c r="I3357" s="11" t="s">
        <v>10474</v>
      </c>
      <c r="J3357" s="9">
        <v>62468.0</v>
      </c>
      <c r="K3357" s="9" t="s">
        <v>10475</v>
      </c>
      <c r="L3357" s="9">
        <v>374.0</v>
      </c>
      <c r="M3357" s="9" t="s">
        <v>24</v>
      </c>
      <c r="N3357" s="9" t="s">
        <v>25</v>
      </c>
      <c r="O3357" s="10">
        <v>1.2E7</v>
      </c>
      <c r="P3357" s="10">
        <f t="shared" si="2"/>
        <v>9133087</v>
      </c>
      <c r="Q3357" s="12">
        <f t="shared" si="3"/>
        <v>0</v>
      </c>
      <c r="R3357" s="9">
        <v>1999.0</v>
      </c>
      <c r="S3357" s="9">
        <v>7.0</v>
      </c>
    </row>
    <row r="3358" ht="15.75" customHeight="1">
      <c r="A3358" s="21" t="s">
        <v>8799</v>
      </c>
      <c r="B3358" s="8" t="str">
        <f>IFERROR(__xludf.DUMMYFUNCTION("REGEXREPLACE(A3358, ""[^0-9a-zA-Z .'Ã]"","""")"),"James Gray")</f>
        <v>James Gray</v>
      </c>
      <c r="C3358" s="22">
        <v>222.0</v>
      </c>
      <c r="D3358" s="23">
        <v>2.8563179E7</v>
      </c>
      <c r="E3358" s="22" t="s">
        <v>113</v>
      </c>
      <c r="F3358" s="9">
        <f t="shared" si="1"/>
        <v>3</v>
      </c>
      <c r="G3358" s="22" t="s">
        <v>410</v>
      </c>
      <c r="H3358" s="11" t="str">
        <f>IFERROR(__xludf.DUMMYFUNCTION("REGEXREPLACE(G3358, ""[^0-9a-zA-Z .'Ã]"","""")"),"Robert Duvall")</f>
        <v>Robert Duvall</v>
      </c>
      <c r="I3358" s="24" t="s">
        <v>10476</v>
      </c>
      <c r="J3358" s="22">
        <v>72693.0</v>
      </c>
      <c r="K3358" s="22" t="s">
        <v>10477</v>
      </c>
      <c r="L3358" s="22">
        <v>199.0</v>
      </c>
      <c r="M3358" s="22" t="s">
        <v>24</v>
      </c>
      <c r="N3358" s="22" t="s">
        <v>25</v>
      </c>
      <c r="O3358" s="23">
        <v>2.1E7</v>
      </c>
      <c r="P3358" s="10">
        <f t="shared" si="2"/>
        <v>7563179</v>
      </c>
      <c r="Q3358" s="12">
        <f t="shared" si="3"/>
        <v>0</v>
      </c>
      <c r="R3358" s="22">
        <v>2007.0</v>
      </c>
      <c r="S3358" s="22">
        <v>6.9</v>
      </c>
    </row>
    <row r="3359" ht="15.75" customHeight="1">
      <c r="A3359" s="7" t="s">
        <v>635</v>
      </c>
      <c r="B3359" s="8" t="str">
        <f>IFERROR(__xludf.DUMMYFUNCTION("REGEXREPLACE(A3359, ""[^0-9a-zA-Z .'Ã]"","""")"),"Steven Spielberg")</f>
        <v>Steven Spielberg</v>
      </c>
      <c r="C3359" s="9">
        <v>252.0</v>
      </c>
      <c r="D3359" s="10">
        <v>5.2792307E7</v>
      </c>
      <c r="E3359" s="9" t="s">
        <v>1252</v>
      </c>
      <c r="F3359" s="9">
        <f t="shared" si="1"/>
        <v>3</v>
      </c>
      <c r="G3359" s="9" t="s">
        <v>10478</v>
      </c>
      <c r="H3359" s="11" t="str">
        <f>IFERROR(__xludf.DUMMYFUNCTION("REGEXREPLACE(G3359, ""[^0-9a-zA-Z .'Ã]"","""")"),"Mark Rylance")</f>
        <v>Mark Rylance</v>
      </c>
      <c r="I3359" s="11" t="s">
        <v>10479</v>
      </c>
      <c r="J3359" s="9">
        <v>12572.0</v>
      </c>
      <c r="K3359" s="9" t="s">
        <v>10480</v>
      </c>
      <c r="L3359" s="9">
        <v>106.0</v>
      </c>
      <c r="M3359" s="9" t="s">
        <v>24</v>
      </c>
      <c r="N3359" s="9" t="s">
        <v>130</v>
      </c>
      <c r="O3359" s="10">
        <v>1.4E8</v>
      </c>
      <c r="P3359" s="10">
        <f t="shared" si="2"/>
        <v>0</v>
      </c>
      <c r="Q3359" s="12">
        <f t="shared" si="3"/>
        <v>87207693</v>
      </c>
      <c r="R3359" s="9">
        <v>2016.0</v>
      </c>
      <c r="S3359" s="9">
        <v>6.8</v>
      </c>
    </row>
    <row r="3360" ht="15.75" customHeight="1">
      <c r="A3360" s="17" t="s">
        <v>10481</v>
      </c>
      <c r="B3360" s="8" t="str">
        <f>IFERROR(__xludf.DUMMYFUNCTION("REGEXREPLACE(A3360, ""[^0-9a-zA-Z .'Ã]"","""")"),"Steve McQueen")</f>
        <v>Steve McQueen</v>
      </c>
      <c r="C3360" s="18">
        <v>597.0</v>
      </c>
      <c r="D3360" s="19">
        <v>5.666787E7</v>
      </c>
      <c r="E3360" s="18" t="s">
        <v>620</v>
      </c>
      <c r="F3360" s="9">
        <f t="shared" si="1"/>
        <v>3</v>
      </c>
      <c r="G3360" s="18" t="s">
        <v>2900</v>
      </c>
      <c r="H3360" s="11" t="str">
        <f>IFERROR(__xludf.DUMMYFUNCTION("REGEXREPLACE(G3360, ""[^0-9a-zA-Z .'Ã]"","""")"),"QuvenzhanÃ Wallis")</f>
        <v>QuvenzhanÃ Wallis</v>
      </c>
      <c r="I3360" s="20" t="s">
        <v>10482</v>
      </c>
      <c r="J3360" s="18">
        <v>439176.0</v>
      </c>
      <c r="K3360" s="18" t="s">
        <v>10483</v>
      </c>
      <c r="L3360" s="18">
        <v>695.0</v>
      </c>
      <c r="M3360" s="18" t="s">
        <v>24</v>
      </c>
      <c r="N3360" s="18" t="s">
        <v>25</v>
      </c>
      <c r="O3360" s="19">
        <v>2.0E7</v>
      </c>
      <c r="P3360" s="10">
        <f t="shared" si="2"/>
        <v>36667870</v>
      </c>
      <c r="Q3360" s="12">
        <f t="shared" si="3"/>
        <v>0</v>
      </c>
      <c r="R3360" s="18">
        <v>2013.0</v>
      </c>
      <c r="S3360" s="18">
        <v>8.1</v>
      </c>
    </row>
    <row r="3361" ht="15.75" customHeight="1">
      <c r="A3361" s="17" t="s">
        <v>10484</v>
      </c>
      <c r="B3361" s="8" t="str">
        <f>IFERROR(__xludf.DUMMYFUNCTION("REGEXREPLACE(A3361, ""[^0-9a-zA-Z .'Ã]"","""")"),"Neema Barnette")</f>
        <v>Neema Barnette</v>
      </c>
      <c r="C3361" s="18">
        <v>11.0</v>
      </c>
      <c r="D3361" s="19">
        <v>243347.0</v>
      </c>
      <c r="E3361" s="18" t="s">
        <v>113</v>
      </c>
      <c r="F3361" s="9">
        <f t="shared" si="1"/>
        <v>3</v>
      </c>
      <c r="G3361" s="18" t="s">
        <v>10485</v>
      </c>
      <c r="H3361" s="11" t="str">
        <f>IFERROR(__xludf.DUMMYFUNCTION("REGEXREPLACE(G3361, ""[^0-9a-zA-Z .'Ã]"","""")"),"Monica Calhoun")</f>
        <v>Monica Calhoun</v>
      </c>
      <c r="I3361" s="20" t="s">
        <v>10486</v>
      </c>
      <c r="J3361" s="18">
        <v>553.0</v>
      </c>
      <c r="K3361" s="18" t="s">
        <v>10487</v>
      </c>
      <c r="L3361" s="18">
        <v>24.0</v>
      </c>
      <c r="M3361" s="18" t="s">
        <v>24</v>
      </c>
      <c r="N3361" s="18" t="s">
        <v>25</v>
      </c>
      <c r="O3361" s="19">
        <v>500000.0</v>
      </c>
      <c r="P3361" s="10">
        <f t="shared" si="2"/>
        <v>0</v>
      </c>
      <c r="Q3361" s="12">
        <f t="shared" si="3"/>
        <v>256653</v>
      </c>
      <c r="R3361" s="18">
        <v>2002.0</v>
      </c>
      <c r="S3361" s="18">
        <v>5.3</v>
      </c>
    </row>
    <row r="3362" ht="15.75" customHeight="1">
      <c r="A3362" s="25" t="s">
        <v>10488</v>
      </c>
      <c r="B3362" s="8" t="str">
        <f>IFERROR(__xludf.DUMMYFUNCTION("REGEXREPLACE(A3362, ""[^0-9a-zA-Z .'Ã]"","""")"),"Christian Ditter")</f>
        <v>Christian Ditter</v>
      </c>
      <c r="C3362" s="26">
        <v>148.0</v>
      </c>
      <c r="D3362" s="27">
        <v>4.6813366E7</v>
      </c>
      <c r="E3362" s="26" t="s">
        <v>89</v>
      </c>
      <c r="F3362" s="9">
        <f t="shared" si="1"/>
        <v>2</v>
      </c>
      <c r="G3362" s="26" t="s">
        <v>5903</v>
      </c>
      <c r="H3362" s="11" t="str">
        <f>IFERROR(__xludf.DUMMYFUNCTION("REGEXREPLACE(G3362, ""[^0-9a-zA-Z .'Ã]"","""")"),"Alison Brie")</f>
        <v>Alison Brie</v>
      </c>
      <c r="I3362" s="28" t="s">
        <v>10489</v>
      </c>
      <c r="J3362" s="26">
        <v>39440.0</v>
      </c>
      <c r="K3362" s="26" t="s">
        <v>10490</v>
      </c>
      <c r="L3362" s="26">
        <v>83.0</v>
      </c>
      <c r="M3362" s="26" t="s">
        <v>24</v>
      </c>
      <c r="N3362" s="26" t="s">
        <v>25</v>
      </c>
      <c r="O3362" s="27">
        <v>3.8E7</v>
      </c>
      <c r="P3362" s="10">
        <f t="shared" si="2"/>
        <v>8813366</v>
      </c>
      <c r="Q3362" s="12">
        <f t="shared" si="3"/>
        <v>0</v>
      </c>
      <c r="R3362" s="26">
        <v>2016.0</v>
      </c>
      <c r="S3362" s="26">
        <v>6.1</v>
      </c>
    </row>
    <row r="3363" ht="15.75" customHeight="1">
      <c r="A3363" s="17" t="s">
        <v>9439</v>
      </c>
      <c r="B3363" s="8" t="str">
        <f>IFERROR(__xludf.DUMMYFUNCTION("REGEXREPLACE(A3363, ""[^0-9a-zA-Z .'Ã]"","""")"),"Adrian Lyne")</f>
        <v>Adrian Lyne</v>
      </c>
      <c r="C3363" s="18">
        <v>152.0</v>
      </c>
      <c r="D3363" s="19">
        <v>5.2752475E7</v>
      </c>
      <c r="E3363" s="18" t="s">
        <v>369</v>
      </c>
      <c r="F3363" s="9">
        <f t="shared" si="1"/>
        <v>2</v>
      </c>
      <c r="G3363" s="18" t="s">
        <v>10491</v>
      </c>
      <c r="H3363" s="11" t="str">
        <f>IFERROR(__xludf.DUMMYFUNCTION("REGEXREPLACE(G3363, ""[^0-9a-zA-Z .'Ã]"","""")"),"Olivier Martinez")</f>
        <v>Olivier Martinez</v>
      </c>
      <c r="I3363" s="20" t="s">
        <v>10492</v>
      </c>
      <c r="J3363" s="18">
        <v>63067.0</v>
      </c>
      <c r="K3363" s="18" t="s">
        <v>10493</v>
      </c>
      <c r="L3363" s="18">
        <v>533.0</v>
      </c>
      <c r="M3363" s="18" t="s">
        <v>24</v>
      </c>
      <c r="N3363" s="18" t="s">
        <v>25</v>
      </c>
      <c r="O3363" s="19">
        <v>5.0E7</v>
      </c>
      <c r="P3363" s="10">
        <f t="shared" si="2"/>
        <v>2752475</v>
      </c>
      <c r="Q3363" s="12">
        <f t="shared" si="3"/>
        <v>0</v>
      </c>
      <c r="R3363" s="18">
        <v>2002.0</v>
      </c>
      <c r="S3363" s="18">
        <v>6.7</v>
      </c>
    </row>
    <row r="3364" ht="15.75" customHeight="1">
      <c r="A3364" s="7" t="s">
        <v>10494</v>
      </c>
      <c r="B3364" s="8" t="str">
        <f>IFERROR(__xludf.DUMMYFUNCTION("REGEXREPLACE(A3364, ""[^0-9a-zA-Z .'Ã]"","""")"),"Rowdy Herrington")</f>
        <v>Rowdy Herrington</v>
      </c>
      <c r="C3364" s="9">
        <v>83.0</v>
      </c>
      <c r="D3364" s="10">
        <v>3.0050028E7</v>
      </c>
      <c r="E3364" s="9" t="s">
        <v>1096</v>
      </c>
      <c r="F3364" s="9">
        <f t="shared" si="1"/>
        <v>2</v>
      </c>
      <c r="G3364" s="9" t="s">
        <v>5309</v>
      </c>
      <c r="H3364" s="11" t="str">
        <f>IFERROR(__xludf.DUMMYFUNCTION("REGEXREPLACE(G3364, ""[^0-9a-zA-Z .'Ã]"","""")"),"Ben Gazzara")</f>
        <v>Ben Gazzara</v>
      </c>
      <c r="I3364" s="11" t="s">
        <v>10495</v>
      </c>
      <c r="J3364" s="9">
        <v>42987.0</v>
      </c>
      <c r="K3364" s="9" t="s">
        <v>10496</v>
      </c>
      <c r="L3364" s="9">
        <v>201.0</v>
      </c>
      <c r="M3364" s="9" t="s">
        <v>24</v>
      </c>
      <c r="N3364" s="9" t="s">
        <v>25</v>
      </c>
      <c r="O3364" s="10">
        <v>1.7E7</v>
      </c>
      <c r="P3364" s="10">
        <f t="shared" si="2"/>
        <v>13050028</v>
      </c>
      <c r="Q3364" s="12">
        <f t="shared" si="3"/>
        <v>0</v>
      </c>
      <c r="R3364" s="9">
        <v>1989.0</v>
      </c>
      <c r="S3364" s="9">
        <v>6.5</v>
      </c>
    </row>
    <row r="3365" ht="15.75" customHeight="1">
      <c r="A3365" s="7" t="s">
        <v>640</v>
      </c>
      <c r="B3365" s="8" t="str">
        <f>IFERROR(__xludf.DUMMYFUNCTION("REGEXREPLACE(A3365, ""[^0-9a-zA-Z .'Ã]"","""")"),"David O. Russell")</f>
        <v>David O. Russell</v>
      </c>
      <c r="C3365" s="9">
        <v>315.0</v>
      </c>
      <c r="D3365" s="10">
        <v>5.6443482E7</v>
      </c>
      <c r="E3365" s="9" t="s">
        <v>1920</v>
      </c>
      <c r="F3365" s="9">
        <f t="shared" si="1"/>
        <v>3</v>
      </c>
      <c r="G3365" s="9" t="s">
        <v>1494</v>
      </c>
      <c r="H3365" s="11" t="str">
        <f>IFERROR(__xludf.DUMMYFUNCTION("REGEXREPLACE(G3365, ""[^0-9a-zA-Z .'Ã]"","""")"),"Jennifer Lawrence")</f>
        <v>Jennifer Lawrence</v>
      </c>
      <c r="I3365" s="11" t="s">
        <v>10497</v>
      </c>
      <c r="J3365" s="9">
        <v>75329.0</v>
      </c>
      <c r="K3365" s="9" t="s">
        <v>10498</v>
      </c>
      <c r="L3365" s="9">
        <v>256.0</v>
      </c>
      <c r="M3365" s="9" t="s">
        <v>24</v>
      </c>
      <c r="N3365" s="9" t="s">
        <v>25</v>
      </c>
      <c r="O3365" s="10">
        <v>6.0E7</v>
      </c>
      <c r="P3365" s="10">
        <f t="shared" si="2"/>
        <v>0</v>
      </c>
      <c r="Q3365" s="12">
        <f t="shared" si="3"/>
        <v>3556518</v>
      </c>
      <c r="R3365" s="9">
        <v>2015.0</v>
      </c>
      <c r="S3365" s="9">
        <v>6.6</v>
      </c>
    </row>
    <row r="3366" ht="15.75" customHeight="1">
      <c r="A3366" s="7" t="s">
        <v>1515</v>
      </c>
      <c r="B3366" s="8" t="str">
        <f>IFERROR(__xludf.DUMMYFUNCTION("REGEXREPLACE(A3366, ""[^0-9a-zA-Z .'Ã]"","""")"),"Marc Forster")</f>
        <v>Marc Forster</v>
      </c>
      <c r="C3366" s="9">
        <v>654.0</v>
      </c>
      <c r="D3366" s="10">
        <v>2.02351611E8</v>
      </c>
      <c r="E3366" s="9" t="s">
        <v>3523</v>
      </c>
      <c r="F3366" s="9">
        <f t="shared" si="1"/>
        <v>5</v>
      </c>
      <c r="G3366" s="9" t="s">
        <v>10499</v>
      </c>
      <c r="H3366" s="11" t="str">
        <f>IFERROR(__xludf.DUMMYFUNCTION("REGEXREPLACE(G3366, ""[^0-9a-zA-Z .'Ã]"","""")"),"Peter Capaldi")</f>
        <v>Peter Capaldi</v>
      </c>
      <c r="I3366" s="11" t="s">
        <v>10500</v>
      </c>
      <c r="J3366" s="9">
        <v>465019.0</v>
      </c>
      <c r="K3366" s="9" t="s">
        <v>10501</v>
      </c>
      <c r="L3366" s="9">
        <v>995.0</v>
      </c>
      <c r="M3366" s="9" t="s">
        <v>24</v>
      </c>
      <c r="N3366" s="9" t="s">
        <v>25</v>
      </c>
      <c r="O3366" s="10">
        <v>1.9E8</v>
      </c>
      <c r="P3366" s="10">
        <f t="shared" si="2"/>
        <v>12351611</v>
      </c>
      <c r="Q3366" s="12">
        <f t="shared" si="3"/>
        <v>0</v>
      </c>
      <c r="R3366" s="9">
        <v>2013.0</v>
      </c>
      <c r="S3366" s="9">
        <v>7.0</v>
      </c>
    </row>
    <row r="3367" ht="15.75" customHeight="1">
      <c r="A3367" s="17" t="s">
        <v>259</v>
      </c>
      <c r="B3367" s="8" t="str">
        <f>IFERROR(__xludf.DUMMYFUNCTION("REGEXREPLACE(A3367, ""[^0-9a-zA-Z .'Ã]"","""")"),"David Slade")</f>
        <v>David Slade</v>
      </c>
      <c r="C3367" s="18">
        <v>304.0</v>
      </c>
      <c r="D3367" s="19">
        <v>3.9568996E7</v>
      </c>
      <c r="E3367" s="18" t="s">
        <v>148</v>
      </c>
      <c r="F3367" s="9">
        <f t="shared" si="1"/>
        <v>1</v>
      </c>
      <c r="G3367" s="18" t="s">
        <v>10502</v>
      </c>
      <c r="H3367" s="11" t="str">
        <f>IFERROR(__xludf.DUMMYFUNCTION("REGEXREPLACE(G3367, ""[^0-9a-zA-Z .'Ã]"","""")"),"Danny Huston")</f>
        <v>Danny Huston</v>
      </c>
      <c r="I3367" s="20" t="s">
        <v>10503</v>
      </c>
      <c r="J3367" s="18">
        <v>138435.0</v>
      </c>
      <c r="K3367" s="18" t="s">
        <v>10504</v>
      </c>
      <c r="L3367" s="18">
        <v>527.0</v>
      </c>
      <c r="M3367" s="18" t="s">
        <v>24</v>
      </c>
      <c r="N3367" s="18" t="s">
        <v>25</v>
      </c>
      <c r="O3367" s="19">
        <v>3.2E7</v>
      </c>
      <c r="P3367" s="10">
        <f t="shared" si="2"/>
        <v>7568996</v>
      </c>
      <c r="Q3367" s="12">
        <f t="shared" si="3"/>
        <v>0</v>
      </c>
      <c r="R3367" s="18">
        <v>2007.0</v>
      </c>
      <c r="S3367" s="18">
        <v>6.6</v>
      </c>
    </row>
    <row r="3368" ht="15.75" customHeight="1">
      <c r="A3368" s="21" t="s">
        <v>723</v>
      </c>
      <c r="B3368" s="8" t="str">
        <f>IFERROR(__xludf.DUMMYFUNCTION("REGEXREPLACE(A3368, ""[^0-9a-zA-Z .'Ã]"","""")"),"Robert Rodriguez")</f>
        <v>Robert Rodriguez</v>
      </c>
      <c r="C3368" s="22">
        <v>93.0</v>
      </c>
      <c r="D3368" s="23">
        <v>1.11760631E8</v>
      </c>
      <c r="E3368" s="22" t="s">
        <v>3305</v>
      </c>
      <c r="F3368" s="9">
        <f t="shared" si="1"/>
        <v>5</v>
      </c>
      <c r="G3368" s="22" t="s">
        <v>2532</v>
      </c>
      <c r="H3368" s="11" t="str">
        <f>IFERROR(__xludf.DUMMYFUNCTION("REGEXREPLACE(G3368, ""[^0-9a-zA-Z .'Ã]"","""")"),"Sylvester Stallone")</f>
        <v>Sylvester Stallone</v>
      </c>
      <c r="I3368" s="24" t="s">
        <v>10505</v>
      </c>
      <c r="J3368" s="22">
        <v>40227.0</v>
      </c>
      <c r="K3368" s="22" t="s">
        <v>10506</v>
      </c>
      <c r="L3368" s="22">
        <v>188.0</v>
      </c>
      <c r="M3368" s="22" t="s">
        <v>24</v>
      </c>
      <c r="N3368" s="22" t="s">
        <v>25</v>
      </c>
      <c r="O3368" s="23">
        <v>3.8E7</v>
      </c>
      <c r="P3368" s="10">
        <f t="shared" si="2"/>
        <v>73760631</v>
      </c>
      <c r="Q3368" s="12">
        <f t="shared" si="3"/>
        <v>0</v>
      </c>
      <c r="R3368" s="22">
        <v>2003.0</v>
      </c>
      <c r="S3368" s="22">
        <v>4.1</v>
      </c>
    </row>
    <row r="3369" ht="15.75" customHeight="1">
      <c r="A3369" s="7" t="s">
        <v>1805</v>
      </c>
      <c r="B3369" s="8" t="str">
        <f>IFERROR(__xludf.DUMMYFUNCTION("REGEXREPLACE(A3369, ""[^0-9a-zA-Z .'Ã]"","""")"),"Mike Newell")</f>
        <v>Mike Newell</v>
      </c>
      <c r="C3369" s="9">
        <v>115.0</v>
      </c>
      <c r="D3369" s="10">
        <v>4584886.0</v>
      </c>
      <c r="E3369" s="9" t="s">
        <v>232</v>
      </c>
      <c r="F3369" s="9">
        <f t="shared" si="1"/>
        <v>2</v>
      </c>
      <c r="G3369" s="9" t="s">
        <v>10507</v>
      </c>
      <c r="H3369" s="11" t="str">
        <f>IFERROR(__xludf.DUMMYFUNCTION("REGEXREPLACE(G3369, ""[^0-9a-zA-Z .'Ã]"","""")"),"Marcela Mar")</f>
        <v>Marcela Mar</v>
      </c>
      <c r="I3369" s="11" t="s">
        <v>10508</v>
      </c>
      <c r="J3369" s="9">
        <v>19114.0</v>
      </c>
      <c r="K3369" s="9" t="s">
        <v>10509</v>
      </c>
      <c r="L3369" s="9">
        <v>115.0</v>
      </c>
      <c r="M3369" s="9" t="s">
        <v>24</v>
      </c>
      <c r="N3369" s="9" t="s">
        <v>25</v>
      </c>
      <c r="O3369" s="10">
        <v>4.5E7</v>
      </c>
      <c r="P3369" s="10">
        <f t="shared" si="2"/>
        <v>0</v>
      </c>
      <c r="Q3369" s="12">
        <f t="shared" si="3"/>
        <v>40415114</v>
      </c>
      <c r="R3369" s="9">
        <v>2007.0</v>
      </c>
      <c r="S3369" s="9">
        <v>6.4</v>
      </c>
    </row>
    <row r="3370" ht="15.75" customHeight="1">
      <c r="A3370" s="7" t="s">
        <v>293</v>
      </c>
      <c r="B3370" s="8" t="str">
        <f>IFERROR(__xludf.DUMMYFUNCTION("REGEXREPLACE(A3370, ""[^0-9a-zA-Z .'Ã]"","""")"),"Michael Moore")</f>
        <v>Michael Moore</v>
      </c>
      <c r="C3370" s="9">
        <v>263.0</v>
      </c>
      <c r="D3370" s="10">
        <v>2.4530513E7</v>
      </c>
      <c r="E3370" s="9" t="s">
        <v>3441</v>
      </c>
      <c r="F3370" s="9">
        <f t="shared" si="1"/>
        <v>2</v>
      </c>
      <c r="G3370" s="9" t="s">
        <v>293</v>
      </c>
      <c r="H3370" s="11" t="str">
        <f>IFERROR(__xludf.DUMMYFUNCTION("REGEXREPLACE(G3370, ""[^0-9a-zA-Z .'Ã]"","""")"),"Michael Moore")</f>
        <v>Michael Moore</v>
      </c>
      <c r="I3370" s="11" t="s">
        <v>10510</v>
      </c>
      <c r="J3370" s="9">
        <v>66610.0</v>
      </c>
      <c r="K3370" s="9" t="s">
        <v>10511</v>
      </c>
      <c r="L3370" s="9">
        <v>429.0</v>
      </c>
      <c r="M3370" s="9" t="s">
        <v>24</v>
      </c>
      <c r="N3370" s="9" t="s">
        <v>25</v>
      </c>
      <c r="O3370" s="10">
        <v>9000000.0</v>
      </c>
      <c r="P3370" s="10">
        <f t="shared" si="2"/>
        <v>15530513</v>
      </c>
      <c r="Q3370" s="12">
        <f t="shared" si="3"/>
        <v>0</v>
      </c>
      <c r="R3370" s="9">
        <v>2007.0</v>
      </c>
      <c r="S3370" s="9">
        <v>8.0</v>
      </c>
    </row>
    <row r="3371" ht="15.75" customHeight="1">
      <c r="A3371" s="7" t="s">
        <v>10512</v>
      </c>
      <c r="B3371" s="8" t="str">
        <f>IFERROR(__xludf.DUMMYFUNCTION("REGEXREPLACE(A3371, ""[^0-9a-zA-Z .'Ã]"","""")"),"James Dodson")</f>
        <v>James Dodson</v>
      </c>
      <c r="C3371" s="9">
        <v>22.0</v>
      </c>
      <c r="D3371" s="10">
        <v>115504.0</v>
      </c>
      <c r="E3371" s="9" t="s">
        <v>159</v>
      </c>
      <c r="F3371" s="9">
        <f t="shared" si="1"/>
        <v>3</v>
      </c>
      <c r="G3371" s="9" t="s">
        <v>6858</v>
      </c>
      <c r="H3371" s="11" t="str">
        <f>IFERROR(__xludf.DUMMYFUNCTION("REGEXREPLACE(G3371, ""[^0-9a-zA-Z .'Ã]"","""")"),"Larry Miller")</f>
        <v>Larry Miller</v>
      </c>
      <c r="I3371" s="11" t="s">
        <v>10513</v>
      </c>
      <c r="J3371" s="9">
        <v>4820.0</v>
      </c>
      <c r="K3371" s="9" t="s">
        <v>10514</v>
      </c>
      <c r="L3371" s="9">
        <v>26.0</v>
      </c>
      <c r="M3371" s="9" t="s">
        <v>24</v>
      </c>
      <c r="N3371" s="9" t="s">
        <v>130</v>
      </c>
      <c r="O3371" s="10">
        <v>1.4E7</v>
      </c>
      <c r="P3371" s="10">
        <f t="shared" si="2"/>
        <v>0</v>
      </c>
      <c r="Q3371" s="12">
        <f t="shared" si="3"/>
        <v>13884496</v>
      </c>
      <c r="R3371" s="9">
        <v>2008.0</v>
      </c>
      <c r="S3371" s="9">
        <v>6.2</v>
      </c>
    </row>
    <row r="3372" ht="15.75" customHeight="1">
      <c r="A3372" s="17" t="s">
        <v>2089</v>
      </c>
      <c r="B3372" s="8" t="str">
        <f>IFERROR(__xludf.DUMMYFUNCTION("REGEXREPLACE(A3372, ""[^0-9a-zA-Z .'Ã]"","""")"),"Ken Kwapis")</f>
        <v>Ken Kwapis</v>
      </c>
      <c r="C3372" s="18">
        <v>161.0</v>
      </c>
      <c r="D3372" s="19">
        <v>9.3952276E7</v>
      </c>
      <c r="E3372" s="18" t="s">
        <v>159</v>
      </c>
      <c r="F3372" s="9">
        <f t="shared" si="1"/>
        <v>3</v>
      </c>
      <c r="G3372" s="18" t="s">
        <v>10515</v>
      </c>
      <c r="H3372" s="11" t="str">
        <f>IFERROR(__xludf.DUMMYFUNCTION("REGEXREPLACE(G3372, ""[^0-9a-zA-Z .'Ã]"","""")"),"Carmen Perez")</f>
        <v>Carmen Perez</v>
      </c>
      <c r="I3372" s="20" t="s">
        <v>10516</v>
      </c>
      <c r="J3372" s="18">
        <v>132048.0</v>
      </c>
      <c r="K3372" s="18" t="s">
        <v>10517</v>
      </c>
      <c r="L3372" s="18">
        <v>203.0</v>
      </c>
      <c r="M3372" s="18" t="s">
        <v>24</v>
      </c>
      <c r="N3372" s="18" t="s">
        <v>25</v>
      </c>
      <c r="O3372" s="19">
        <v>4.0E7</v>
      </c>
      <c r="P3372" s="10">
        <f t="shared" si="2"/>
        <v>53952276</v>
      </c>
      <c r="Q3372" s="12">
        <f t="shared" si="3"/>
        <v>0</v>
      </c>
      <c r="R3372" s="18">
        <v>2009.0</v>
      </c>
      <c r="S3372" s="18">
        <v>6.4</v>
      </c>
    </row>
    <row r="3373" ht="15.75" customHeight="1">
      <c r="A3373" s="21" t="s">
        <v>7093</v>
      </c>
      <c r="B3373" s="8" t="str">
        <f>IFERROR(__xludf.DUMMYFUNCTION("REGEXREPLACE(A3373, ""[^0-9a-zA-Z .'Ã]"","""")"),"Paul McGuigan")</f>
        <v>Paul McGuigan</v>
      </c>
      <c r="C3373" s="22">
        <v>98.0</v>
      </c>
      <c r="D3373" s="23">
        <v>1.2831121E7</v>
      </c>
      <c r="E3373" s="22" t="s">
        <v>1025</v>
      </c>
      <c r="F3373" s="9">
        <f t="shared" si="1"/>
        <v>4</v>
      </c>
      <c r="G3373" s="22" t="s">
        <v>10518</v>
      </c>
      <c r="H3373" s="11" t="str">
        <f>IFERROR(__xludf.DUMMYFUNCTION("REGEXREPLACE(G3373, ""[^0-9a-zA-Z .'Ã]"","""")"),"Jessica ParÃ")</f>
        <v>Jessica ParÃ</v>
      </c>
      <c r="I3373" s="24" t="s">
        <v>10519</v>
      </c>
      <c r="J3373" s="22">
        <v>44979.0</v>
      </c>
      <c r="K3373" s="22" t="s">
        <v>10520</v>
      </c>
      <c r="L3373" s="22">
        <v>298.0</v>
      </c>
      <c r="M3373" s="22" t="s">
        <v>24</v>
      </c>
      <c r="N3373" s="22" t="s">
        <v>25</v>
      </c>
      <c r="O3373" s="23">
        <v>3.0E7</v>
      </c>
      <c r="P3373" s="10">
        <f t="shared" si="2"/>
        <v>0</v>
      </c>
      <c r="Q3373" s="12">
        <f t="shared" si="3"/>
        <v>17168879</v>
      </c>
      <c r="R3373" s="22">
        <v>2004.0</v>
      </c>
      <c r="S3373" s="22">
        <v>7.0</v>
      </c>
    </row>
    <row r="3374" ht="15.75" customHeight="1">
      <c r="A3374" s="25" t="s">
        <v>990</v>
      </c>
      <c r="B3374" s="8" t="str">
        <f>IFERROR(__xludf.DUMMYFUNCTION("REGEXREPLACE(A3374, ""[^0-9a-zA-Z .'Ã]"","""")"),"Malcolm D. Lee")</f>
        <v>Malcolm D. Lee</v>
      </c>
      <c r="C3374" s="26">
        <v>153.0</v>
      </c>
      <c r="D3374" s="27">
        <v>3.2014289E7</v>
      </c>
      <c r="E3374" s="26" t="s">
        <v>137</v>
      </c>
      <c r="F3374" s="9">
        <f t="shared" si="1"/>
        <v>1</v>
      </c>
      <c r="G3374" s="26" t="s">
        <v>10521</v>
      </c>
      <c r="H3374" s="11" t="str">
        <f>IFERROR(__xludf.DUMMYFUNCTION("REGEXREPLACE(G3374, ""[^0-9a-zA-Z .'Ã]"","""")"),"Marisa Saks")</f>
        <v>Marisa Saks</v>
      </c>
      <c r="I3374" s="28" t="s">
        <v>10522</v>
      </c>
      <c r="J3374" s="26">
        <v>50337.0</v>
      </c>
      <c r="K3374" s="26" t="s">
        <v>10523</v>
      </c>
      <c r="L3374" s="26">
        <v>177.0</v>
      </c>
      <c r="M3374" s="26" t="s">
        <v>24</v>
      </c>
      <c r="N3374" s="26" t="s">
        <v>25</v>
      </c>
      <c r="O3374" s="27">
        <v>2.0E7</v>
      </c>
      <c r="P3374" s="10">
        <f t="shared" si="2"/>
        <v>12014289</v>
      </c>
      <c r="Q3374" s="12">
        <f t="shared" si="3"/>
        <v>0</v>
      </c>
      <c r="R3374" s="26">
        <v>2013.0</v>
      </c>
      <c r="S3374" s="26">
        <v>3.5</v>
      </c>
    </row>
    <row r="3375" ht="15.75" customHeight="1">
      <c r="A3375" s="21" t="s">
        <v>8105</v>
      </c>
      <c r="B3375" s="8" t="str">
        <f>IFERROR(__xludf.DUMMYFUNCTION("REGEXREPLACE(A3375, ""[^0-9a-zA-Z .'Ã]"","""")"),"Scott Hicks")</f>
        <v>Scott Hicks</v>
      </c>
      <c r="C3375" s="22">
        <v>170.0</v>
      </c>
      <c r="D3375" s="23">
        <v>6.0443237E7</v>
      </c>
      <c r="E3375" s="22" t="s">
        <v>232</v>
      </c>
      <c r="F3375" s="9">
        <f t="shared" si="1"/>
        <v>2</v>
      </c>
      <c r="G3375" s="22" t="s">
        <v>10524</v>
      </c>
      <c r="H3375" s="11" t="str">
        <f>IFERROR(__xludf.DUMMYFUNCTION("REGEXREPLACE(G3375, ""[^0-9a-zA-Z .'Ã]"","""")"),"Blythe Danner")</f>
        <v>Blythe Danner</v>
      </c>
      <c r="I3375" s="24" t="s">
        <v>10525</v>
      </c>
      <c r="J3375" s="22">
        <v>76882.0</v>
      </c>
      <c r="K3375" s="22" t="s">
        <v>10526</v>
      </c>
      <c r="L3375" s="22">
        <v>106.0</v>
      </c>
      <c r="M3375" s="22" t="s">
        <v>24</v>
      </c>
      <c r="N3375" s="22" t="s">
        <v>25</v>
      </c>
      <c r="O3375" s="23">
        <v>2.5E7</v>
      </c>
      <c r="P3375" s="10">
        <f t="shared" si="2"/>
        <v>35443237</v>
      </c>
      <c r="Q3375" s="12">
        <f t="shared" si="3"/>
        <v>0</v>
      </c>
      <c r="R3375" s="22">
        <v>2012.0</v>
      </c>
      <c r="S3375" s="22">
        <v>6.5</v>
      </c>
    </row>
    <row r="3376" ht="15.75" customHeight="1">
      <c r="A3376" s="7" t="s">
        <v>2734</v>
      </c>
      <c r="B3376" s="8" t="str">
        <f>IFERROR(__xludf.DUMMYFUNCTION("REGEXREPLACE(A3376, ""[^0-9a-zA-Z .'Ã]"","""")"),"Alexander Payne")</f>
        <v>Alexander Payne</v>
      </c>
      <c r="C3376" s="9">
        <v>175.0</v>
      </c>
      <c r="D3376" s="10">
        <v>1.4879556E7</v>
      </c>
      <c r="E3376" s="9" t="s">
        <v>454</v>
      </c>
      <c r="F3376" s="9">
        <f t="shared" si="1"/>
        <v>2</v>
      </c>
      <c r="G3376" s="9" t="s">
        <v>2192</v>
      </c>
      <c r="H3376" s="11" t="str">
        <f>IFERROR(__xludf.DUMMYFUNCTION("REGEXREPLACE(G3376, ""[^0-9a-zA-Z .'Ã]"","""")"),"Matthew Broderick")</f>
        <v>Matthew Broderick</v>
      </c>
      <c r="I3376" s="11" t="s">
        <v>10527</v>
      </c>
      <c r="J3376" s="9">
        <v>73640.0</v>
      </c>
      <c r="K3376" s="9" t="s">
        <v>10528</v>
      </c>
      <c r="L3376" s="9">
        <v>441.0</v>
      </c>
      <c r="M3376" s="9" t="s">
        <v>24</v>
      </c>
      <c r="N3376" s="9" t="s">
        <v>25</v>
      </c>
      <c r="O3376" s="10">
        <v>8000000.0</v>
      </c>
      <c r="P3376" s="10">
        <f t="shared" si="2"/>
        <v>6879556</v>
      </c>
      <c r="Q3376" s="12">
        <f t="shared" si="3"/>
        <v>0</v>
      </c>
      <c r="R3376" s="9">
        <v>1999.0</v>
      </c>
      <c r="S3376" s="9">
        <v>7.3</v>
      </c>
    </row>
    <row r="3377" ht="15.75" customHeight="1">
      <c r="A3377" s="7" t="s">
        <v>8799</v>
      </c>
      <c r="B3377" s="8" t="str">
        <f>IFERROR(__xludf.DUMMYFUNCTION("REGEXREPLACE(A3377, ""[^0-9a-zA-Z .'Ã]"","""")"),"James Gray")</f>
        <v>James Gray</v>
      </c>
      <c r="C3377" s="9">
        <v>230.0</v>
      </c>
      <c r="D3377" s="10">
        <v>1984743.0</v>
      </c>
      <c r="E3377" s="9" t="s">
        <v>232</v>
      </c>
      <c r="F3377" s="9">
        <f t="shared" si="1"/>
        <v>2</v>
      </c>
      <c r="G3377" s="9" t="s">
        <v>480</v>
      </c>
      <c r="H3377" s="11" t="str">
        <f>IFERROR(__xludf.DUMMYFUNCTION("REGEXREPLACE(G3377, ""[^0-9a-zA-Z .'Ã]"","""")"),"Jeremy Renner")</f>
        <v>Jeremy Renner</v>
      </c>
      <c r="I3377" s="11" t="s">
        <v>10529</v>
      </c>
      <c r="J3377" s="9">
        <v>20616.0</v>
      </c>
      <c r="K3377" s="9" t="s">
        <v>10530</v>
      </c>
      <c r="L3377" s="9">
        <v>70.0</v>
      </c>
      <c r="M3377" s="9" t="s">
        <v>24</v>
      </c>
      <c r="N3377" s="9" t="s">
        <v>25</v>
      </c>
      <c r="O3377" s="10">
        <v>1.6E7</v>
      </c>
      <c r="P3377" s="10">
        <f t="shared" si="2"/>
        <v>0</v>
      </c>
      <c r="Q3377" s="12">
        <f t="shared" si="3"/>
        <v>14015257</v>
      </c>
      <c r="R3377" s="9">
        <v>2013.0</v>
      </c>
      <c r="S3377" s="9">
        <v>6.6</v>
      </c>
    </row>
    <row r="3378" ht="15.75" customHeight="1">
      <c r="A3378" s="7" t="s">
        <v>1091</v>
      </c>
      <c r="B3378" s="8" t="str">
        <f>IFERROR(__xludf.DUMMYFUNCTION("REGEXREPLACE(A3378, ""[^0-9a-zA-Z .'Ã]"","""")"),"Brian Levant")</f>
        <v>Brian Levant</v>
      </c>
      <c r="C3378" s="9">
        <v>67.0</v>
      </c>
      <c r="D3378" s="10">
        <v>8.1150692E7</v>
      </c>
      <c r="E3378" s="9" t="s">
        <v>6602</v>
      </c>
      <c r="F3378" s="9">
        <f t="shared" si="1"/>
        <v>4</v>
      </c>
      <c r="G3378" s="9" t="s">
        <v>4061</v>
      </c>
      <c r="H3378" s="11" t="str">
        <f>IFERROR(__xludf.DUMMYFUNCTION("REGEXREPLACE(G3378, ""[^0-9a-zA-Z .'Ã]"","""")"),"James Coburn")</f>
        <v>James Coburn</v>
      </c>
      <c r="I3378" s="11" t="s">
        <v>10531</v>
      </c>
      <c r="J3378" s="9">
        <v>20219.0</v>
      </c>
      <c r="K3378" s="9" t="s">
        <v>10532</v>
      </c>
      <c r="L3378" s="9">
        <v>100.0</v>
      </c>
      <c r="M3378" s="9" t="s">
        <v>24</v>
      </c>
      <c r="N3378" s="9" t="s">
        <v>624</v>
      </c>
      <c r="O3378" s="10">
        <v>3.5E7</v>
      </c>
      <c r="P3378" s="10">
        <f t="shared" si="2"/>
        <v>46150692</v>
      </c>
      <c r="Q3378" s="12">
        <f t="shared" si="3"/>
        <v>0</v>
      </c>
      <c r="R3378" s="9">
        <v>2002.0</v>
      </c>
      <c r="S3378" s="9">
        <v>5.1</v>
      </c>
    </row>
    <row r="3379" ht="15.75" customHeight="1">
      <c r="A3379" s="21" t="s">
        <v>10533</v>
      </c>
      <c r="B3379" s="8" t="str">
        <f>IFERROR(__xludf.DUMMYFUNCTION("REGEXREPLACE(A3379, ""[^0-9a-zA-Z .'Ã]"","""")"),"Scott Marshall")</f>
        <v>Scott Marshall</v>
      </c>
      <c r="C3379" s="22">
        <v>20.0</v>
      </c>
      <c r="D3379" s="23">
        <v>5561.0</v>
      </c>
      <c r="E3379" s="22" t="s">
        <v>89</v>
      </c>
      <c r="F3379" s="9">
        <f t="shared" si="1"/>
        <v>2</v>
      </c>
      <c r="G3379" s="22" t="s">
        <v>10534</v>
      </c>
      <c r="H3379" s="11" t="str">
        <f>IFERROR(__xludf.DUMMYFUNCTION("REGEXREPLACE(G3379, ""[^0-9a-zA-Z .'Ã]"","""")"),"Drew Fuller")</f>
        <v>Drew Fuller</v>
      </c>
      <c r="I3379" s="24" t="s">
        <v>10535</v>
      </c>
      <c r="J3379" s="22">
        <v>4995.0</v>
      </c>
      <c r="K3379" s="22" t="s">
        <v>10536</v>
      </c>
      <c r="L3379" s="22">
        <v>34.0</v>
      </c>
      <c r="M3379" s="22" t="s">
        <v>24</v>
      </c>
      <c r="N3379" s="22" t="s">
        <v>25</v>
      </c>
      <c r="O3379" s="23">
        <v>1.0E7</v>
      </c>
      <c r="P3379" s="10">
        <f t="shared" si="2"/>
        <v>0</v>
      </c>
      <c r="Q3379" s="12">
        <f t="shared" si="3"/>
        <v>9994439</v>
      </c>
      <c r="R3379" s="22">
        <v>2007.0</v>
      </c>
      <c r="S3379" s="22">
        <v>3.9</v>
      </c>
    </row>
    <row r="3380" ht="15.75" customHeight="1">
      <c r="A3380" s="17" t="s">
        <v>3832</v>
      </c>
      <c r="B3380" s="8" t="str">
        <f>IFERROR(__xludf.DUMMYFUNCTION("REGEXREPLACE(A3380, ""[^0-9a-zA-Z .'Ã]"","""")"),"Doug Liman")</f>
        <v>Doug Liman</v>
      </c>
      <c r="C3380" s="18">
        <v>238.0</v>
      </c>
      <c r="D3380" s="19">
        <v>8.0170146E7</v>
      </c>
      <c r="E3380" s="18" t="s">
        <v>794</v>
      </c>
      <c r="F3380" s="9">
        <f t="shared" si="1"/>
        <v>4</v>
      </c>
      <c r="G3380" s="18" t="s">
        <v>1969</v>
      </c>
      <c r="H3380" s="11" t="str">
        <f>IFERROR(__xludf.DUMMYFUNCTION("REGEXREPLACE(G3380, ""[^0-9a-zA-Z .'Ã]"","""")"),"Kristen Stewart")</f>
        <v>Kristen Stewart</v>
      </c>
      <c r="I3380" s="20" t="s">
        <v>10537</v>
      </c>
      <c r="J3380" s="18">
        <v>243053.0</v>
      </c>
      <c r="K3380" s="18" t="s">
        <v>10538</v>
      </c>
      <c r="L3380" s="18">
        <v>488.0</v>
      </c>
      <c r="M3380" s="18" t="s">
        <v>24</v>
      </c>
      <c r="N3380" s="18" t="s">
        <v>25</v>
      </c>
      <c r="O3380" s="19">
        <v>8.5E7</v>
      </c>
      <c r="P3380" s="10">
        <f t="shared" si="2"/>
        <v>0</v>
      </c>
      <c r="Q3380" s="12">
        <f t="shared" si="3"/>
        <v>4829854</v>
      </c>
      <c r="R3380" s="18">
        <v>2008.0</v>
      </c>
      <c r="S3380" s="18">
        <v>6.1</v>
      </c>
    </row>
    <row r="3381" ht="15.75" customHeight="1">
      <c r="A3381" s="21" t="s">
        <v>707</v>
      </c>
      <c r="B3381" s="8" t="str">
        <f>IFERROR(__xludf.DUMMYFUNCTION("REGEXREPLACE(A3381, ""[^0-9a-zA-Z .'Ã]"","""")"),"Tom Hooper")</f>
        <v>Tom Hooper</v>
      </c>
      <c r="C3381" s="22">
        <v>488.0</v>
      </c>
      <c r="D3381" s="23">
        <v>1.4877546E8</v>
      </c>
      <c r="E3381" s="22" t="s">
        <v>666</v>
      </c>
      <c r="F3381" s="9">
        <f t="shared" si="1"/>
        <v>3</v>
      </c>
      <c r="G3381" s="22" t="s">
        <v>974</v>
      </c>
      <c r="H3381" s="11" t="str">
        <f>IFERROR(__xludf.DUMMYFUNCTION("REGEXREPLACE(G3381, ""[^0-9a-zA-Z .'Ã]"","""")"),"Hugh Jackman")</f>
        <v>Hugh Jackman</v>
      </c>
      <c r="I3381" s="24" t="s">
        <v>10539</v>
      </c>
      <c r="J3381" s="22">
        <v>243834.0</v>
      </c>
      <c r="K3381" s="22" t="s">
        <v>10540</v>
      </c>
      <c r="L3381" s="22">
        <v>845.0</v>
      </c>
      <c r="M3381" s="22" t="s">
        <v>24</v>
      </c>
      <c r="N3381" s="22" t="s">
        <v>25</v>
      </c>
      <c r="O3381" s="23">
        <v>6.1E7</v>
      </c>
      <c r="P3381" s="10">
        <f t="shared" si="2"/>
        <v>87775460</v>
      </c>
      <c r="Q3381" s="12">
        <f t="shared" si="3"/>
        <v>0</v>
      </c>
      <c r="R3381" s="22">
        <v>2012.0</v>
      </c>
      <c r="S3381" s="22">
        <v>7.6</v>
      </c>
    </row>
    <row r="3382" ht="15.75" customHeight="1">
      <c r="A3382" s="7" t="s">
        <v>6995</v>
      </c>
      <c r="B3382" s="8" t="str">
        <f>IFERROR(__xludf.DUMMYFUNCTION("REGEXREPLACE(A3382, ""[^0-9a-zA-Z .'Ã]"","""")"),"Stuart Gordon")</f>
        <v>Stuart Gordon</v>
      </c>
      <c r="C3382" s="9">
        <v>79.0</v>
      </c>
      <c r="D3382" s="10">
        <v>131617.0</v>
      </c>
      <c r="E3382" s="9" t="s">
        <v>369</v>
      </c>
      <c r="F3382" s="9">
        <f t="shared" si="1"/>
        <v>2</v>
      </c>
      <c r="G3382" s="9" t="s">
        <v>1981</v>
      </c>
      <c r="H3382" s="11" t="str">
        <f>IFERROR(__xludf.DUMMYFUNCTION("REGEXREPLACE(G3382, ""[^0-9a-zA-Z .'Ã]"","""")"),"Joe Mantegna")</f>
        <v>Joe Mantegna</v>
      </c>
      <c r="I3382" s="11" t="s">
        <v>10541</v>
      </c>
      <c r="J3382" s="9">
        <v>9971.0</v>
      </c>
      <c r="K3382" s="9" t="s">
        <v>10542</v>
      </c>
      <c r="L3382" s="9">
        <v>119.0</v>
      </c>
      <c r="M3382" s="9" t="s">
        <v>24</v>
      </c>
      <c r="N3382" s="9" t="s">
        <v>25</v>
      </c>
      <c r="O3382" s="10">
        <v>1.0E7</v>
      </c>
      <c r="P3382" s="10">
        <f t="shared" si="2"/>
        <v>0</v>
      </c>
      <c r="Q3382" s="12">
        <f t="shared" si="3"/>
        <v>9868383</v>
      </c>
      <c r="R3382" s="9">
        <v>2005.0</v>
      </c>
      <c r="S3382" s="9">
        <v>6.3</v>
      </c>
    </row>
    <row r="3383" ht="15.75" customHeight="1">
      <c r="A3383" s="29" t="s">
        <v>6587</v>
      </c>
      <c r="B3383" s="8" t="str">
        <f>IFERROR(__xludf.DUMMYFUNCTION("REGEXREPLACE(A3383, ""[^0-9a-zA-Z .'Ã]"","""")"),"Denis Villeneuve")</f>
        <v>Denis Villeneuve</v>
      </c>
      <c r="C3383" s="30">
        <v>478.0</v>
      </c>
      <c r="D3383" s="31">
        <v>4.6875468E7</v>
      </c>
      <c r="E3383" s="30" t="s">
        <v>610</v>
      </c>
      <c r="F3383" s="9">
        <f t="shared" si="1"/>
        <v>5</v>
      </c>
      <c r="G3383" s="30" t="s">
        <v>10543</v>
      </c>
      <c r="H3383" s="11" t="str">
        <f>IFERROR(__xludf.DUMMYFUNCTION("REGEXREPLACE(G3383, ""[^0-9a-zA-Z .'Ã]"","""")"),"Edgar Arreola")</f>
        <v>Edgar Arreola</v>
      </c>
      <c r="I3383" s="32" t="s">
        <v>10544</v>
      </c>
      <c r="J3383" s="30">
        <v>196217.0</v>
      </c>
      <c r="K3383" s="30" t="s">
        <v>10545</v>
      </c>
      <c r="L3383" s="30">
        <v>461.0</v>
      </c>
      <c r="M3383" s="30" t="s">
        <v>24</v>
      </c>
      <c r="N3383" s="30" t="s">
        <v>25</v>
      </c>
      <c r="O3383" s="31">
        <v>3.0E7</v>
      </c>
      <c r="P3383" s="10">
        <f t="shared" si="2"/>
        <v>16875468</v>
      </c>
      <c r="Q3383" s="12">
        <f t="shared" si="3"/>
        <v>0</v>
      </c>
      <c r="R3383" s="30">
        <v>2015.0</v>
      </c>
      <c r="S3383" s="30">
        <v>7.6</v>
      </c>
    </row>
    <row r="3384" ht="15.75" customHeight="1">
      <c r="A3384" s="21" t="s">
        <v>10546</v>
      </c>
      <c r="B3384" s="8" t="str">
        <f>IFERROR(__xludf.DUMMYFUNCTION("REGEXREPLACE(A3384, ""[^0-9a-zA-Z .'Ã]"","""")"),"Shane Meadows")</f>
        <v>Shane Meadows</v>
      </c>
      <c r="C3384" s="22">
        <v>172.0</v>
      </c>
      <c r="D3384" s="23">
        <v>327919.0</v>
      </c>
      <c r="E3384" s="22" t="s">
        <v>54</v>
      </c>
      <c r="F3384" s="9">
        <f t="shared" si="1"/>
        <v>2</v>
      </c>
      <c r="G3384" s="22" t="s">
        <v>3701</v>
      </c>
      <c r="H3384" s="11" t="str">
        <f>IFERROR(__xludf.DUMMYFUNCTION("REGEXREPLACE(G3384, ""[^0-9a-zA-Z .'Ã]"","""")"),"Stephen Graham")</f>
        <v>Stephen Graham</v>
      </c>
      <c r="I3384" s="24" t="s">
        <v>10547</v>
      </c>
      <c r="J3384" s="22">
        <v>99177.0</v>
      </c>
      <c r="K3384" s="22" t="s">
        <v>10548</v>
      </c>
      <c r="L3384" s="22">
        <v>192.0</v>
      </c>
      <c r="M3384" s="22" t="s">
        <v>24</v>
      </c>
      <c r="N3384" s="22" t="s">
        <v>130</v>
      </c>
      <c r="O3384" s="23">
        <v>1500000.0</v>
      </c>
      <c r="P3384" s="10">
        <f t="shared" si="2"/>
        <v>0</v>
      </c>
      <c r="Q3384" s="12">
        <f t="shared" si="3"/>
        <v>1172081</v>
      </c>
      <c r="R3384" s="22">
        <v>2006.0</v>
      </c>
      <c r="S3384" s="22">
        <v>7.7</v>
      </c>
    </row>
    <row r="3385" ht="15.75" customHeight="1">
      <c r="A3385" s="17" t="s">
        <v>2797</v>
      </c>
      <c r="B3385" s="8" t="str">
        <f>IFERROR(__xludf.DUMMYFUNCTION("REGEXREPLACE(A3385, ""[^0-9a-zA-Z .'Ã]"","""")"),"Anton Corbijn")</f>
        <v>Anton Corbijn</v>
      </c>
      <c r="C3385" s="18">
        <v>183.0</v>
      </c>
      <c r="D3385" s="19">
        <v>871577.0</v>
      </c>
      <c r="E3385" s="18" t="s">
        <v>2225</v>
      </c>
      <c r="F3385" s="9">
        <f t="shared" si="1"/>
        <v>3</v>
      </c>
      <c r="G3385" s="18" t="s">
        <v>10549</v>
      </c>
      <c r="H3385" s="11" t="str">
        <f>IFERROR(__xludf.DUMMYFUNCTION("REGEXREPLACE(G3385, ""[^0-9a-zA-Z .'Ã]"","""")"),"Sam Riley")</f>
        <v>Sam Riley</v>
      </c>
      <c r="I3385" s="20" t="s">
        <v>10550</v>
      </c>
      <c r="J3385" s="18">
        <v>51353.0</v>
      </c>
      <c r="K3385" s="18" t="s">
        <v>10551</v>
      </c>
      <c r="L3385" s="18">
        <v>143.0</v>
      </c>
      <c r="M3385" s="18" t="s">
        <v>24</v>
      </c>
      <c r="N3385" s="18" t="s">
        <v>130</v>
      </c>
      <c r="O3385" s="19">
        <v>4500000.0</v>
      </c>
      <c r="P3385" s="10">
        <f t="shared" si="2"/>
        <v>0</v>
      </c>
      <c r="Q3385" s="12">
        <f t="shared" si="3"/>
        <v>3628423</v>
      </c>
      <c r="R3385" s="18">
        <v>2007.0</v>
      </c>
      <c r="S3385" s="18">
        <v>7.7</v>
      </c>
    </row>
    <row r="3386" ht="15.75" customHeight="1">
      <c r="A3386" s="7" t="s">
        <v>10552</v>
      </c>
      <c r="B3386" s="8" t="str">
        <f>IFERROR(__xludf.DUMMYFUNCTION("REGEXREPLACE(A3386, ""[^0-9a-zA-Z .'Ã]"","""")"),"Lloyd Kaufman")</f>
        <v>Lloyd Kaufman</v>
      </c>
      <c r="C3386" s="9">
        <v>88.0</v>
      </c>
      <c r="D3386" s="10">
        <v>23000.0</v>
      </c>
      <c r="E3386" s="9" t="s">
        <v>8091</v>
      </c>
      <c r="F3386" s="9">
        <f t="shared" si="1"/>
        <v>3</v>
      </c>
      <c r="G3386" s="9" t="s">
        <v>10553</v>
      </c>
      <c r="H3386" s="11" t="str">
        <f>IFERROR(__xludf.DUMMYFUNCTION("REGEXREPLACE(G3386, ""[^0-9a-zA-Z .'Ã]"","""")"),"John Karyus")</f>
        <v>John Karyus</v>
      </c>
      <c r="I3386" s="11" t="s">
        <v>10554</v>
      </c>
      <c r="J3386" s="9">
        <v>5931.0</v>
      </c>
      <c r="K3386" s="9" t="s">
        <v>10555</v>
      </c>
      <c r="L3386" s="9">
        <v>58.0</v>
      </c>
      <c r="M3386" s="9" t="s">
        <v>24</v>
      </c>
      <c r="N3386" s="9" t="s">
        <v>25</v>
      </c>
      <c r="O3386" s="10">
        <v>500000.0</v>
      </c>
      <c r="P3386" s="10">
        <f t="shared" si="2"/>
        <v>0</v>
      </c>
      <c r="Q3386" s="12">
        <f t="shared" si="3"/>
        <v>477000</v>
      </c>
      <c r="R3386" s="9">
        <v>2006.0</v>
      </c>
      <c r="S3386" s="9">
        <v>6.2</v>
      </c>
    </row>
    <row r="3387" ht="15.75" customHeight="1">
      <c r="A3387" s="21" t="s">
        <v>2808</v>
      </c>
      <c r="B3387" s="8" t="str">
        <f>IFERROR(__xludf.DUMMYFUNCTION("REGEXREPLACE(A3387, ""[^0-9a-zA-Z .'Ã]"","""")"),"Paul Verhoeven")</f>
        <v>Paul Verhoeven</v>
      </c>
      <c r="C3387" s="22">
        <v>192.0</v>
      </c>
      <c r="D3387" s="23">
        <v>5.4700065E7</v>
      </c>
      <c r="E3387" s="22" t="s">
        <v>10556</v>
      </c>
      <c r="F3387" s="9">
        <f t="shared" si="1"/>
        <v>3</v>
      </c>
      <c r="G3387" s="22" t="s">
        <v>10557</v>
      </c>
      <c r="H3387" s="11" t="str">
        <f>IFERROR(__xludf.DUMMYFUNCTION("REGEXREPLACE(G3387, ""[^0-9a-zA-Z .'Ã]"","""")"),"Jake Busey")</f>
        <v>Jake Busey</v>
      </c>
      <c r="I3387" s="24" t="s">
        <v>10558</v>
      </c>
      <c r="J3387" s="22">
        <v>221521.0</v>
      </c>
      <c r="K3387" s="22" t="s">
        <v>10559</v>
      </c>
      <c r="L3387" s="22">
        <v>1049.0</v>
      </c>
      <c r="M3387" s="22" t="s">
        <v>24</v>
      </c>
      <c r="N3387" s="22" t="s">
        <v>25</v>
      </c>
      <c r="O3387" s="23">
        <v>1.05E8</v>
      </c>
      <c r="P3387" s="10">
        <f t="shared" si="2"/>
        <v>0</v>
      </c>
      <c r="Q3387" s="12">
        <f t="shared" si="3"/>
        <v>50299935</v>
      </c>
      <c r="R3387" s="22">
        <v>1997.0</v>
      </c>
      <c r="S3387" s="22">
        <v>7.2</v>
      </c>
    </row>
    <row r="3388" ht="15.75" customHeight="1">
      <c r="A3388" s="7" t="s">
        <v>10560</v>
      </c>
      <c r="B3388" s="8" t="str">
        <f>IFERROR(__xludf.DUMMYFUNCTION("REGEXREPLACE(A3388, ""[^0-9a-zA-Z .'Ã]"","""")"),"Wych Kaosayananda")</f>
        <v>Wych Kaosayananda</v>
      </c>
      <c r="C3388" s="9">
        <v>92.0</v>
      </c>
      <c r="D3388" s="10">
        <v>1.4294842E7</v>
      </c>
      <c r="E3388" s="9" t="s">
        <v>771</v>
      </c>
      <c r="F3388" s="9">
        <f t="shared" si="1"/>
        <v>4</v>
      </c>
      <c r="G3388" s="9" t="s">
        <v>10561</v>
      </c>
      <c r="H3388" s="11" t="str">
        <f>IFERROR(__xludf.DUMMYFUNCTION("REGEXREPLACE(G3388, ""[^0-9a-zA-Z .'Ã]"","""")"),"Talisa Soto")</f>
        <v>Talisa Soto</v>
      </c>
      <c r="I3388" s="11" t="s">
        <v>10562</v>
      </c>
      <c r="J3388" s="9">
        <v>16761.0</v>
      </c>
      <c r="K3388" s="9" t="s">
        <v>10563</v>
      </c>
      <c r="L3388" s="9">
        <v>277.0</v>
      </c>
      <c r="M3388" s="9" t="s">
        <v>24</v>
      </c>
      <c r="N3388" s="9" t="s">
        <v>25</v>
      </c>
      <c r="O3388" s="10">
        <v>7.0E7</v>
      </c>
      <c r="P3388" s="10">
        <f t="shared" si="2"/>
        <v>0</v>
      </c>
      <c r="Q3388" s="12">
        <f t="shared" si="3"/>
        <v>55705158</v>
      </c>
      <c r="R3388" s="9">
        <v>2002.0</v>
      </c>
      <c r="S3388" s="9">
        <v>3.6</v>
      </c>
    </row>
    <row r="3389" ht="15.75" customHeight="1">
      <c r="A3389" s="17" t="s">
        <v>10564</v>
      </c>
      <c r="B3389" s="8" t="str">
        <f>IFERROR(__xludf.DUMMYFUNCTION("REGEXREPLACE(A3389, ""[^0-9a-zA-Z .'Ã]"","""")"),"Michael Herz")</f>
        <v>Michael Herz</v>
      </c>
      <c r="C3389" s="18">
        <v>49.0</v>
      </c>
      <c r="D3389" s="19">
        <v>792966.0</v>
      </c>
      <c r="E3389" s="18" t="s">
        <v>10565</v>
      </c>
      <c r="F3389" s="9">
        <f t="shared" si="1"/>
        <v>4</v>
      </c>
      <c r="G3389" s="18" t="s">
        <v>10566</v>
      </c>
      <c r="H3389" s="11" t="str">
        <f>IFERROR(__xludf.DUMMYFUNCTION("REGEXREPLACE(G3389, ""[^0-9a-zA-Z .'Ã]"","""")"),"Phoebe Legere")</f>
        <v>Phoebe Legere</v>
      </c>
      <c r="I3389" s="20" t="s">
        <v>10567</v>
      </c>
      <c r="J3389" s="18">
        <v>4663.0</v>
      </c>
      <c r="K3389" s="18" t="s">
        <v>10568</v>
      </c>
      <c r="L3389" s="18">
        <v>40.0</v>
      </c>
      <c r="M3389" s="18" t="s">
        <v>24</v>
      </c>
      <c r="N3389" s="18" t="s">
        <v>25</v>
      </c>
      <c r="O3389" s="19">
        <v>2300000.0</v>
      </c>
      <c r="P3389" s="10">
        <f t="shared" si="2"/>
        <v>0</v>
      </c>
      <c r="Q3389" s="12">
        <f t="shared" si="3"/>
        <v>1507034</v>
      </c>
      <c r="R3389" s="18">
        <v>1989.0</v>
      </c>
      <c r="S3389" s="18">
        <v>5.1</v>
      </c>
    </row>
    <row r="3390" ht="15.75" customHeight="1">
      <c r="A3390" s="21" t="s">
        <v>2997</v>
      </c>
      <c r="B3390" s="8" t="str">
        <f>IFERROR(__xludf.DUMMYFUNCTION("REGEXREPLACE(A3390, ""[^0-9a-zA-Z .'Ã]"","""")"),"Chris Columbus")</f>
        <v>Chris Columbus</v>
      </c>
      <c r="C3390" s="22">
        <v>258.0</v>
      </c>
      <c r="D3390" s="23">
        <v>3.17557891E8</v>
      </c>
      <c r="E3390" s="22" t="s">
        <v>1252</v>
      </c>
      <c r="F3390" s="9">
        <f t="shared" si="1"/>
        <v>3</v>
      </c>
      <c r="G3390" s="22" t="s">
        <v>2094</v>
      </c>
      <c r="H3390" s="11" t="str">
        <f>IFERROR(__xludf.DUMMYFUNCTION("REGEXREPLACE(G3390, ""[^0-9a-zA-Z .'Ã]"","""")"),"Daniel Radcliffe")</f>
        <v>Daniel Radcliffe</v>
      </c>
      <c r="I3390" s="24" t="s">
        <v>10569</v>
      </c>
      <c r="J3390" s="22">
        <v>444683.0</v>
      </c>
      <c r="K3390" s="22" t="s">
        <v>10570</v>
      </c>
      <c r="L3390" s="22">
        <v>1571.0</v>
      </c>
      <c r="M3390" s="22" t="s">
        <v>24</v>
      </c>
      <c r="N3390" s="22" t="s">
        <v>130</v>
      </c>
      <c r="O3390" s="23">
        <v>1.25E8</v>
      </c>
      <c r="P3390" s="10">
        <f t="shared" si="2"/>
        <v>192557891</v>
      </c>
      <c r="Q3390" s="12">
        <f t="shared" si="3"/>
        <v>0</v>
      </c>
      <c r="R3390" s="22">
        <v>2001.0</v>
      </c>
      <c r="S3390" s="22">
        <v>7.5</v>
      </c>
    </row>
    <row r="3391" ht="15.75" customHeight="1">
      <c r="A3391" s="21" t="s">
        <v>426</v>
      </c>
      <c r="B3391" s="8" t="str">
        <f>IFERROR(__xludf.DUMMYFUNCTION("REGEXREPLACE(A3391, ""[^0-9a-zA-Z .'Ã]"","""")"),"Martin Campbell")</f>
        <v>Martin Campbell</v>
      </c>
      <c r="C3391" s="22">
        <v>134.0</v>
      </c>
      <c r="D3391" s="23">
        <v>6.847336E7</v>
      </c>
      <c r="E3391" s="22" t="s">
        <v>925</v>
      </c>
      <c r="F3391" s="9">
        <f t="shared" si="1"/>
        <v>4</v>
      </c>
      <c r="G3391" s="22" t="s">
        <v>10571</v>
      </c>
      <c r="H3391" s="11" t="str">
        <f>IFERROR(__xludf.DUMMYFUNCTION("REGEXREPLACE(G3391, ""[^0-9a-zA-Z .'Ã]"","""")"),"Nicholas Lea")</f>
        <v>Nicholas Lea</v>
      </c>
      <c r="I3391" s="24" t="s">
        <v>10572</v>
      </c>
      <c r="J3391" s="22">
        <v>49536.0</v>
      </c>
      <c r="K3391" s="22" t="s">
        <v>10573</v>
      </c>
      <c r="L3391" s="22">
        <v>379.0</v>
      </c>
      <c r="M3391" s="22" t="s">
        <v>24</v>
      </c>
      <c r="N3391" s="22" t="s">
        <v>25</v>
      </c>
      <c r="O3391" s="23">
        <v>7.5E7</v>
      </c>
      <c r="P3391" s="10">
        <f t="shared" si="2"/>
        <v>0</v>
      </c>
      <c r="Q3391" s="12">
        <f t="shared" si="3"/>
        <v>6526640</v>
      </c>
      <c r="R3391" s="22">
        <v>2000.0</v>
      </c>
      <c r="S3391" s="22">
        <v>5.9</v>
      </c>
    </row>
    <row r="3392" ht="15.75" customHeight="1">
      <c r="A3392" s="13" t="s">
        <v>1652</v>
      </c>
      <c r="B3392" s="8" t="str">
        <f>IFERROR(__xludf.DUMMYFUNCTION("REGEXREPLACE(A3392, ""[^0-9a-zA-Z .'Ã]"","""")"),"John Carpenter")</f>
        <v>John Carpenter</v>
      </c>
      <c r="C3392" s="14">
        <v>156.0</v>
      </c>
      <c r="D3392" s="15">
        <v>8434601.0</v>
      </c>
      <c r="E3392" s="14" t="s">
        <v>2417</v>
      </c>
      <c r="F3392" s="9">
        <f t="shared" si="1"/>
        <v>3</v>
      </c>
      <c r="G3392" s="14" t="s">
        <v>815</v>
      </c>
      <c r="H3392" s="11" t="str">
        <f>IFERROR(__xludf.DUMMYFUNCTION("REGEXREPLACE(G3392, ""[^0-9a-zA-Z .'Ã]"","""")"),"Jason Statham")</f>
        <v>Jason Statham</v>
      </c>
      <c r="I3392" s="16" t="s">
        <v>10574</v>
      </c>
      <c r="J3392" s="14">
        <v>43006.0</v>
      </c>
      <c r="K3392" s="14" t="s">
        <v>10575</v>
      </c>
      <c r="L3392" s="14">
        <v>460.0</v>
      </c>
      <c r="M3392" s="14" t="s">
        <v>24</v>
      </c>
      <c r="N3392" s="14" t="s">
        <v>25</v>
      </c>
      <c r="O3392" s="15">
        <v>2.8E7</v>
      </c>
      <c r="P3392" s="10">
        <f t="shared" si="2"/>
        <v>0</v>
      </c>
      <c r="Q3392" s="12">
        <f t="shared" si="3"/>
        <v>19565399</v>
      </c>
      <c r="R3392" s="14">
        <v>2001.0</v>
      </c>
      <c r="S3392" s="14">
        <v>4.9</v>
      </c>
    </row>
    <row r="3393" ht="15.75" customHeight="1">
      <c r="A3393" s="7" t="s">
        <v>10576</v>
      </c>
      <c r="B3393" s="8" t="str">
        <f>IFERROR(__xludf.DUMMYFUNCTION("REGEXREPLACE(A3393, ""[^0-9a-zA-Z .'Ã]"","""")"),"Hark Tsui")</f>
        <v>Hark Tsui</v>
      </c>
      <c r="C3393" s="9">
        <v>67.0</v>
      </c>
      <c r="D3393" s="10">
        <v>1.0076136E7</v>
      </c>
      <c r="E3393" s="9" t="s">
        <v>4263</v>
      </c>
      <c r="F3393" s="9">
        <f t="shared" si="1"/>
        <v>3</v>
      </c>
      <c r="G3393" s="9" t="s">
        <v>2772</v>
      </c>
      <c r="H3393" s="11" t="str">
        <f>IFERROR(__xludf.DUMMYFUNCTION("REGEXREPLACE(G3393, ""[^0-9a-zA-Z .'Ã]"","""")"),"Paul Sorvino")</f>
        <v>Paul Sorvino</v>
      </c>
      <c r="I3393" s="11" t="s">
        <v>10577</v>
      </c>
      <c r="J3393" s="9">
        <v>11512.0</v>
      </c>
      <c r="K3393" s="9" t="s">
        <v>10578</v>
      </c>
      <c r="L3393" s="9">
        <v>141.0</v>
      </c>
      <c r="M3393" s="9" t="s">
        <v>24</v>
      </c>
      <c r="N3393" s="9" t="s">
        <v>10579</v>
      </c>
      <c r="O3393" s="10">
        <v>3.5E7</v>
      </c>
      <c r="P3393" s="10">
        <f t="shared" si="2"/>
        <v>0</v>
      </c>
      <c r="Q3393" s="12">
        <f t="shared" si="3"/>
        <v>24923864</v>
      </c>
      <c r="R3393" s="9">
        <v>1998.0</v>
      </c>
      <c r="S3393" s="9">
        <v>4.8</v>
      </c>
    </row>
    <row r="3394" ht="15.75" customHeight="1">
      <c r="A3394" s="7" t="s">
        <v>70</v>
      </c>
      <c r="B3394" s="8" t="str">
        <f>IFERROR(__xludf.DUMMYFUNCTION("REGEXREPLACE(A3394, ""[^0-9a-zA-Z .'Ã]"","""")"),"Denzel Washington")</f>
        <v>Denzel Washington</v>
      </c>
      <c r="C3394" s="9">
        <v>121.0</v>
      </c>
      <c r="D3394" s="10">
        <v>2.1078145E7</v>
      </c>
      <c r="E3394" s="9" t="s">
        <v>359</v>
      </c>
      <c r="F3394" s="9">
        <f t="shared" si="1"/>
        <v>2</v>
      </c>
      <c r="G3394" s="9" t="s">
        <v>70</v>
      </c>
      <c r="H3394" s="11" t="str">
        <f>IFERROR(__xludf.DUMMYFUNCTION("REGEXREPLACE(G3394, ""[^0-9a-zA-Z .'Ã]"","""")"),"Denzel Washington")</f>
        <v>Denzel Washington</v>
      </c>
      <c r="I3394" s="11" t="s">
        <v>10580</v>
      </c>
      <c r="J3394" s="9">
        <v>26493.0</v>
      </c>
      <c r="K3394" s="9" t="s">
        <v>10581</v>
      </c>
      <c r="L3394" s="9">
        <v>159.0</v>
      </c>
      <c r="M3394" s="9" t="s">
        <v>24</v>
      </c>
      <c r="N3394" s="9" t="s">
        <v>25</v>
      </c>
      <c r="O3394" s="10">
        <v>1.25E7</v>
      </c>
      <c r="P3394" s="10">
        <f t="shared" si="2"/>
        <v>8578145</v>
      </c>
      <c r="Q3394" s="12">
        <f t="shared" si="3"/>
        <v>0</v>
      </c>
      <c r="R3394" s="9">
        <v>2002.0</v>
      </c>
      <c r="S3394" s="9">
        <v>7.3</v>
      </c>
    </row>
    <row r="3395" ht="15.75" customHeight="1">
      <c r="A3395" s="17" t="s">
        <v>5165</v>
      </c>
      <c r="B3395" s="8" t="str">
        <f>IFERROR(__xludf.DUMMYFUNCTION("REGEXREPLACE(A3395, ""[^0-9a-zA-Z .'Ã]"","""")"),"Christian Alvart")</f>
        <v>Christian Alvart</v>
      </c>
      <c r="C3395" s="18">
        <v>167.0</v>
      </c>
      <c r="D3395" s="19">
        <v>1.3248477E7</v>
      </c>
      <c r="E3395" s="18" t="s">
        <v>94</v>
      </c>
      <c r="F3395" s="9">
        <f t="shared" si="1"/>
        <v>3</v>
      </c>
      <c r="G3395" s="18" t="s">
        <v>1903</v>
      </c>
      <c r="H3395" s="11" t="str">
        <f>IFERROR(__xludf.DUMMYFUNCTION("REGEXREPLACE(G3395, ""[^0-9a-zA-Z .'Ã]"","""")"),"Bradley Cooper")</f>
        <v>Bradley Cooper</v>
      </c>
      <c r="I3395" s="20" t="s">
        <v>10582</v>
      </c>
      <c r="J3395" s="18">
        <v>60555.0</v>
      </c>
      <c r="K3395" s="18" t="s">
        <v>10583</v>
      </c>
      <c r="L3395" s="18">
        <v>174.0</v>
      </c>
      <c r="M3395" s="18" t="s">
        <v>24</v>
      </c>
      <c r="N3395" s="18" t="s">
        <v>25</v>
      </c>
      <c r="O3395" s="19">
        <v>2.7E7</v>
      </c>
      <c r="P3395" s="10">
        <f t="shared" si="2"/>
        <v>0</v>
      </c>
      <c r="Q3395" s="12">
        <f t="shared" si="3"/>
        <v>13751523</v>
      </c>
      <c r="R3395" s="18">
        <v>2009.0</v>
      </c>
      <c r="S3395" s="18">
        <v>6.2</v>
      </c>
    </row>
    <row r="3396" ht="15.75" customHeight="1">
      <c r="A3396" s="7" t="s">
        <v>3036</v>
      </c>
      <c r="B3396" s="8" t="str">
        <f>IFERROR(__xludf.DUMMYFUNCTION("REGEXREPLACE(A3396, ""[^0-9a-zA-Z .'Ã]"","""")"),"John Schultz")</f>
        <v>John Schultz</v>
      </c>
      <c r="C3396" s="9">
        <v>82.0</v>
      </c>
      <c r="D3396" s="10">
        <v>2.5200412E7</v>
      </c>
      <c r="E3396" s="9" t="s">
        <v>8940</v>
      </c>
      <c r="F3396" s="9">
        <f t="shared" si="1"/>
        <v>5</v>
      </c>
      <c r="G3396" s="9" t="s">
        <v>10584</v>
      </c>
      <c r="H3396" s="11" t="str">
        <f>IFERROR(__xludf.DUMMYFUNCTION("REGEXREPLACE(G3396, ""[^0-9a-zA-Z .'Ã]"","""")"),"Malese Jow")</f>
        <v>Malese Jow</v>
      </c>
      <c r="I3396" s="11" t="s">
        <v>10585</v>
      </c>
      <c r="J3396" s="9">
        <v>16580.0</v>
      </c>
      <c r="K3396" s="9" t="s">
        <v>10586</v>
      </c>
      <c r="L3396" s="9">
        <v>55.0</v>
      </c>
      <c r="M3396" s="9" t="s">
        <v>24</v>
      </c>
      <c r="N3396" s="9" t="s">
        <v>25</v>
      </c>
      <c r="O3396" s="10">
        <v>4.5E7</v>
      </c>
      <c r="P3396" s="10">
        <f t="shared" si="2"/>
        <v>0</v>
      </c>
      <c r="Q3396" s="12">
        <f t="shared" si="3"/>
        <v>19799588</v>
      </c>
      <c r="R3396" s="9">
        <v>2009.0</v>
      </c>
      <c r="S3396" s="9">
        <v>5.4</v>
      </c>
    </row>
    <row r="3397" ht="15.75" customHeight="1">
      <c r="A3397" s="21" t="s">
        <v>2535</v>
      </c>
      <c r="B3397" s="8" t="str">
        <f>IFERROR(__xludf.DUMMYFUNCTION("REGEXREPLACE(A3397, ""[^0-9a-zA-Z .'Ã]"","""")"),"Ivan Reitman")</f>
        <v>Ivan Reitman</v>
      </c>
      <c r="C3397" s="22">
        <v>245.0</v>
      </c>
      <c r="D3397" s="23">
        <v>7.0625986E7</v>
      </c>
      <c r="E3397" s="22" t="s">
        <v>89</v>
      </c>
      <c r="F3397" s="9">
        <f t="shared" si="1"/>
        <v>2</v>
      </c>
      <c r="G3397" s="22" t="s">
        <v>1088</v>
      </c>
      <c r="H3397" s="11" t="str">
        <f>IFERROR(__xludf.DUMMYFUNCTION("REGEXREPLACE(G3397, ""[^0-9a-zA-Z .'Ã]"","""")"),"Natalie Portman")</f>
        <v>Natalie Portman</v>
      </c>
      <c r="I3397" s="24" t="s">
        <v>10587</v>
      </c>
      <c r="J3397" s="22">
        <v>168717.0</v>
      </c>
      <c r="K3397" s="22" t="s">
        <v>10588</v>
      </c>
      <c r="L3397" s="22">
        <v>178.0</v>
      </c>
      <c r="M3397" s="22" t="s">
        <v>24</v>
      </c>
      <c r="N3397" s="22" t="s">
        <v>25</v>
      </c>
      <c r="O3397" s="23">
        <v>2.5E7</v>
      </c>
      <c r="P3397" s="10">
        <f t="shared" si="2"/>
        <v>45625986</v>
      </c>
      <c r="Q3397" s="12">
        <f t="shared" si="3"/>
        <v>0</v>
      </c>
      <c r="R3397" s="22">
        <v>2011.0</v>
      </c>
      <c r="S3397" s="22">
        <v>6.2</v>
      </c>
    </row>
    <row r="3398" ht="15.75" customHeight="1">
      <c r="A3398" s="25" t="s">
        <v>7932</v>
      </c>
      <c r="B3398" s="8" t="str">
        <f>IFERROR(__xludf.DUMMYFUNCTION("REGEXREPLACE(A3398, ""[^0-9a-zA-Z .'Ã]"","""")"),"Anthony Russo")</f>
        <v>Anthony Russo</v>
      </c>
      <c r="C3398" s="26">
        <v>136.0</v>
      </c>
      <c r="D3398" s="27">
        <v>7.560432E7</v>
      </c>
      <c r="E3398" s="26" t="s">
        <v>89</v>
      </c>
      <c r="F3398" s="9">
        <f t="shared" si="1"/>
        <v>2</v>
      </c>
      <c r="G3398" s="26" t="s">
        <v>10589</v>
      </c>
      <c r="H3398" s="11" t="str">
        <f>IFERROR(__xludf.DUMMYFUNCTION("REGEXREPLACE(G3398, ""[^0-9a-zA-Z .'Ã]"","""")"),"Todd Stashwick")</f>
        <v>Todd Stashwick</v>
      </c>
      <c r="I3398" s="28" t="s">
        <v>10590</v>
      </c>
      <c r="J3398" s="26">
        <v>68417.0</v>
      </c>
      <c r="K3398" s="26" t="s">
        <v>10591</v>
      </c>
      <c r="L3398" s="26">
        <v>195.0</v>
      </c>
      <c r="M3398" s="26" t="s">
        <v>24</v>
      </c>
      <c r="N3398" s="26" t="s">
        <v>25</v>
      </c>
      <c r="O3398" s="27">
        <v>5.4E7</v>
      </c>
      <c r="P3398" s="10">
        <f t="shared" si="2"/>
        <v>21604320</v>
      </c>
      <c r="Q3398" s="12">
        <f t="shared" si="3"/>
        <v>0</v>
      </c>
      <c r="R3398" s="26">
        <v>2006.0</v>
      </c>
      <c r="S3398" s="26">
        <v>5.6</v>
      </c>
    </row>
    <row r="3399" ht="15.75" customHeight="1">
      <c r="A3399" s="7" t="s">
        <v>10592</v>
      </c>
      <c r="B3399" s="8" t="str">
        <f>IFERROR(__xludf.DUMMYFUNCTION("REGEXREPLACE(A3399, ""[^0-9a-zA-Z .'Ã]"","""")"),"Michael Patrick Jann")</f>
        <v>Michael Patrick Jann</v>
      </c>
      <c r="C3399" s="9">
        <v>77.0</v>
      </c>
      <c r="D3399" s="10">
        <v>1.0561238E7</v>
      </c>
      <c r="E3399" s="9" t="s">
        <v>10593</v>
      </c>
      <c r="F3399" s="9">
        <f t="shared" si="1"/>
        <v>3</v>
      </c>
      <c r="G3399" s="9" t="s">
        <v>951</v>
      </c>
      <c r="H3399" s="11" t="str">
        <f>IFERROR(__xludf.DUMMYFUNCTION("REGEXREPLACE(G3399, ""[^0-9a-zA-Z .'Ã]"","""")"),"Kirsten Dunst")</f>
        <v>Kirsten Dunst</v>
      </c>
      <c r="I3399" s="11" t="s">
        <v>10594</v>
      </c>
      <c r="J3399" s="9">
        <v>27265.0</v>
      </c>
      <c r="K3399" s="9" t="s">
        <v>10595</v>
      </c>
      <c r="L3399" s="9">
        <v>321.0</v>
      </c>
      <c r="M3399" s="9" t="s">
        <v>24</v>
      </c>
      <c r="N3399" s="9" t="s">
        <v>173</v>
      </c>
      <c r="O3399" s="10">
        <v>1.0E7</v>
      </c>
      <c r="P3399" s="10">
        <f t="shared" si="2"/>
        <v>561238</v>
      </c>
      <c r="Q3399" s="12">
        <f t="shared" si="3"/>
        <v>0</v>
      </c>
      <c r="R3399" s="9">
        <v>1999.0</v>
      </c>
      <c r="S3399" s="9">
        <v>6.5</v>
      </c>
    </row>
    <row r="3400" ht="15.75" customHeight="1">
      <c r="A3400" s="21" t="s">
        <v>3711</v>
      </c>
      <c r="B3400" s="8" t="str">
        <f>IFERROR(__xludf.DUMMYFUNCTION("REGEXREPLACE(A3400, ""[^0-9a-zA-Z .'Ã]"","""")"),"Martin Brest")</f>
        <v>Martin Brest</v>
      </c>
      <c r="C3400" s="22">
        <v>77.0</v>
      </c>
      <c r="D3400" s="23">
        <v>3.8413606E7</v>
      </c>
      <c r="E3400" s="22" t="s">
        <v>790</v>
      </c>
      <c r="F3400" s="9">
        <f t="shared" si="1"/>
        <v>4</v>
      </c>
      <c r="G3400" s="22" t="s">
        <v>883</v>
      </c>
      <c r="H3400" s="11" t="str">
        <f>IFERROR(__xludf.DUMMYFUNCTION("REGEXREPLACE(G3400, ""[^0-9a-zA-Z .'Ã]"","""")"),"Robert De Niro")</f>
        <v>Robert De Niro</v>
      </c>
      <c r="I3400" s="24" t="s">
        <v>10596</v>
      </c>
      <c r="J3400" s="22">
        <v>54042.0</v>
      </c>
      <c r="K3400" s="22" t="s">
        <v>10597</v>
      </c>
      <c r="L3400" s="22">
        <v>215.0</v>
      </c>
      <c r="M3400" s="22" t="s">
        <v>24</v>
      </c>
      <c r="N3400" s="22" t="s">
        <v>25</v>
      </c>
      <c r="O3400" s="23">
        <v>3.0E7</v>
      </c>
      <c r="P3400" s="10">
        <f t="shared" si="2"/>
        <v>8413606</v>
      </c>
      <c r="Q3400" s="12">
        <f t="shared" si="3"/>
        <v>0</v>
      </c>
      <c r="R3400" s="22">
        <v>1988.0</v>
      </c>
      <c r="S3400" s="22">
        <v>7.6</v>
      </c>
    </row>
    <row r="3401" ht="15.75" customHeight="1">
      <c r="A3401" s="7" t="s">
        <v>413</v>
      </c>
      <c r="B3401" s="8" t="str">
        <f>IFERROR(__xludf.DUMMYFUNCTION("REGEXREPLACE(A3401, ""[^0-9a-zA-Z .'Ã]"","""")"),"Joe Dante")</f>
        <v>Joe Dante</v>
      </c>
      <c r="C3401" s="9">
        <v>161.0</v>
      </c>
      <c r="D3401" s="10">
        <v>1.7986E7</v>
      </c>
      <c r="E3401" s="9" t="s">
        <v>148</v>
      </c>
      <c r="F3401" s="9">
        <f t="shared" si="1"/>
        <v>1</v>
      </c>
      <c r="G3401" s="9" t="s">
        <v>2828</v>
      </c>
      <c r="H3401" s="11" t="str">
        <f>IFERROR(__xludf.DUMMYFUNCTION("REGEXREPLACE(G3401, ""[^0-9a-zA-Z .'Ã]"","""")"),"Patrick Macnee")</f>
        <v>Patrick Macnee</v>
      </c>
      <c r="I3401" s="11" t="s">
        <v>10598</v>
      </c>
      <c r="J3401" s="9">
        <v>22773.0</v>
      </c>
      <c r="K3401" s="9" t="s">
        <v>10599</v>
      </c>
      <c r="L3401" s="9">
        <v>195.0</v>
      </c>
      <c r="M3401" s="9" t="s">
        <v>24</v>
      </c>
      <c r="N3401" s="9" t="s">
        <v>25</v>
      </c>
      <c r="O3401" s="10">
        <v>1000000.0</v>
      </c>
      <c r="P3401" s="10">
        <f t="shared" si="2"/>
        <v>16986000</v>
      </c>
      <c r="Q3401" s="12">
        <f t="shared" si="3"/>
        <v>0</v>
      </c>
      <c r="R3401" s="9">
        <v>1981.0</v>
      </c>
      <c r="S3401" s="9">
        <v>6.6</v>
      </c>
    </row>
    <row r="3402" ht="15.75" customHeight="1">
      <c r="A3402" s="29" t="s">
        <v>2139</v>
      </c>
      <c r="B3402" s="8" t="str">
        <f>IFERROR(__xludf.DUMMYFUNCTION("REGEXREPLACE(A3402, ""[^0-9a-zA-Z .'Ã]"","""")"),"Neil Marshall")</f>
        <v>Neil Marshall</v>
      </c>
      <c r="C3402" s="30">
        <v>342.0</v>
      </c>
      <c r="D3402" s="31">
        <v>2.6005908E7</v>
      </c>
      <c r="E3402" s="30" t="s">
        <v>2036</v>
      </c>
      <c r="F3402" s="9">
        <f t="shared" si="1"/>
        <v>3</v>
      </c>
      <c r="G3402" s="30" t="s">
        <v>10600</v>
      </c>
      <c r="H3402" s="11" t="str">
        <f>IFERROR(__xludf.DUMMYFUNCTION("REGEXREPLACE(G3402, ""[^0-9a-zA-Z .'Ã]"","""")"),"MyAnna Buring")</f>
        <v>MyAnna Buring</v>
      </c>
      <c r="I3402" s="32" t="s">
        <v>10601</v>
      </c>
      <c r="J3402" s="30">
        <v>154938.0</v>
      </c>
      <c r="K3402" s="30" t="s">
        <v>10602</v>
      </c>
      <c r="L3402" s="30">
        <v>1100.0</v>
      </c>
      <c r="M3402" s="30" t="s">
        <v>24</v>
      </c>
      <c r="N3402" s="30" t="s">
        <v>130</v>
      </c>
      <c r="O3402" s="31">
        <v>3500000.0</v>
      </c>
      <c r="P3402" s="10">
        <f t="shared" si="2"/>
        <v>22505908</v>
      </c>
      <c r="Q3402" s="12">
        <f t="shared" si="3"/>
        <v>0</v>
      </c>
      <c r="R3402" s="30">
        <v>2005.0</v>
      </c>
      <c r="S3402" s="30">
        <v>7.2</v>
      </c>
    </row>
    <row r="3403" ht="15.75" customHeight="1">
      <c r="A3403" s="7" t="s">
        <v>1206</v>
      </c>
      <c r="B3403" s="8" t="str">
        <f>IFERROR(__xludf.DUMMYFUNCTION("REGEXREPLACE(A3403, ""[^0-9a-zA-Z .'Ã]"","""")"),"Breck Eisner")</f>
        <v>Breck Eisner</v>
      </c>
      <c r="C3403" s="9">
        <v>202.0</v>
      </c>
      <c r="D3403" s="10">
        <v>2.735609E7</v>
      </c>
      <c r="E3403" s="9" t="s">
        <v>278</v>
      </c>
      <c r="F3403" s="9">
        <f t="shared" si="1"/>
        <v>3</v>
      </c>
      <c r="G3403" s="9" t="s">
        <v>917</v>
      </c>
      <c r="H3403" s="11" t="str">
        <f>IFERROR(__xludf.DUMMYFUNCTION("REGEXREPLACE(G3403, ""[^0-9a-zA-Z .'Ã]"","""")"),"Vin Diesel")</f>
        <v>Vin Diesel</v>
      </c>
      <c r="I3403" s="11" t="s">
        <v>10603</v>
      </c>
      <c r="J3403" s="9">
        <v>58752.0</v>
      </c>
      <c r="K3403" s="9" t="s">
        <v>10604</v>
      </c>
      <c r="L3403" s="9">
        <v>117.0</v>
      </c>
      <c r="M3403" s="9" t="s">
        <v>24</v>
      </c>
      <c r="N3403" s="9" t="s">
        <v>25</v>
      </c>
      <c r="O3403" s="10">
        <v>9.0E7</v>
      </c>
      <c r="P3403" s="10">
        <f t="shared" si="2"/>
        <v>0</v>
      </c>
      <c r="Q3403" s="12">
        <f t="shared" si="3"/>
        <v>62643910</v>
      </c>
      <c r="R3403" s="9">
        <v>2015.0</v>
      </c>
      <c r="S3403" s="9">
        <v>6.0</v>
      </c>
    </row>
    <row r="3404" ht="15.75" customHeight="1">
      <c r="A3404" s="17" t="s">
        <v>10605</v>
      </c>
      <c r="B3404" s="8" t="str">
        <f>IFERROR(__xludf.DUMMYFUNCTION("REGEXREPLACE(A3404, ""[^0-9a-zA-Z .'Ã]"","""")"),"Scott Alexander")</f>
        <v>Scott Alexander</v>
      </c>
      <c r="C3404" s="18">
        <v>29.0</v>
      </c>
      <c r="D3404" s="19">
        <v>6982680.0</v>
      </c>
      <c r="E3404" s="18" t="s">
        <v>440</v>
      </c>
      <c r="F3404" s="9">
        <f t="shared" si="1"/>
        <v>2</v>
      </c>
      <c r="G3404" s="18" t="s">
        <v>242</v>
      </c>
      <c r="H3404" s="11" t="str">
        <f>IFERROR(__xludf.DUMMYFUNCTION("REGEXREPLACE(G3404, ""[^0-9a-zA-Z .'Ã]"","""")"),"Sarah Silverman")</f>
        <v>Sarah Silverman</v>
      </c>
      <c r="I3404" s="20" t="s">
        <v>10606</v>
      </c>
      <c r="J3404" s="18">
        <v>6965.0</v>
      </c>
      <c r="K3404" s="18" t="s">
        <v>10607</v>
      </c>
      <c r="L3404" s="18">
        <v>69.0</v>
      </c>
      <c r="M3404" s="18" t="s">
        <v>24</v>
      </c>
      <c r="N3404" s="18" t="s">
        <v>25</v>
      </c>
      <c r="O3404" s="19">
        <v>1.0E7</v>
      </c>
      <c r="P3404" s="10">
        <f t="shared" si="2"/>
        <v>0</v>
      </c>
      <c r="Q3404" s="12">
        <f t="shared" si="3"/>
        <v>3017320</v>
      </c>
      <c r="R3404" s="18">
        <v>2000.0</v>
      </c>
      <c r="S3404" s="18">
        <v>5.7</v>
      </c>
    </row>
    <row r="3405" ht="15.75" customHeight="1">
      <c r="A3405" s="17" t="s">
        <v>1844</v>
      </c>
      <c r="B3405" s="8" t="str">
        <f>IFERROR(__xludf.DUMMYFUNCTION("REGEXREPLACE(A3405, ""[^0-9a-zA-Z .'Ã]"","""")"),"Mike Leigh")</f>
        <v>Mike Leigh</v>
      </c>
      <c r="C3405" s="18">
        <v>248.0</v>
      </c>
      <c r="D3405" s="19">
        <v>3205244.0</v>
      </c>
      <c r="E3405" s="18" t="s">
        <v>454</v>
      </c>
      <c r="F3405" s="9">
        <f t="shared" si="1"/>
        <v>2</v>
      </c>
      <c r="G3405" s="18" t="s">
        <v>1846</v>
      </c>
      <c r="H3405" s="11" t="str">
        <f>IFERROR(__xludf.DUMMYFUNCTION("REGEXREPLACE(G3405, ""[^0-9a-zA-Z .'Ã]"","""")"),"Jim Broadbent")</f>
        <v>Jim Broadbent</v>
      </c>
      <c r="I3405" s="20" t="s">
        <v>10608</v>
      </c>
      <c r="J3405" s="18">
        <v>23629.0</v>
      </c>
      <c r="K3405" s="18" t="s">
        <v>10609</v>
      </c>
      <c r="L3405" s="18">
        <v>141.0</v>
      </c>
      <c r="M3405" s="18" t="s">
        <v>24</v>
      </c>
      <c r="N3405" s="18" t="s">
        <v>130</v>
      </c>
      <c r="O3405" s="19">
        <v>1.0E7</v>
      </c>
      <c r="P3405" s="10">
        <f t="shared" si="2"/>
        <v>0</v>
      </c>
      <c r="Q3405" s="12">
        <f t="shared" si="3"/>
        <v>6794756</v>
      </c>
      <c r="R3405" s="18">
        <v>2010.0</v>
      </c>
      <c r="S3405" s="18">
        <v>7.3</v>
      </c>
    </row>
    <row r="3406" ht="15.75" customHeight="1">
      <c r="A3406" s="17" t="s">
        <v>4971</v>
      </c>
      <c r="B3406" s="8" t="str">
        <f>IFERROR(__xludf.DUMMYFUNCTION("REGEXREPLACE(A3406, ""[^0-9a-zA-Z .'Ã]"","""")"),"Penny Marshall")</f>
        <v>Penny Marshall</v>
      </c>
      <c r="C3406" s="18">
        <v>99.0</v>
      </c>
      <c r="D3406" s="19">
        <v>1.14968774E8</v>
      </c>
      <c r="E3406" s="18" t="s">
        <v>8845</v>
      </c>
      <c r="F3406" s="9">
        <f t="shared" si="1"/>
        <v>5</v>
      </c>
      <c r="G3406" s="18" t="s">
        <v>461</v>
      </c>
      <c r="H3406" s="11" t="str">
        <f>IFERROR(__xludf.DUMMYFUNCTION("REGEXREPLACE(G3406, ""[^0-9a-zA-Z .'Ã]"","""")"),"Tom Hanks")</f>
        <v>Tom Hanks</v>
      </c>
      <c r="I3406" s="20" t="s">
        <v>10610</v>
      </c>
      <c r="J3406" s="18">
        <v>153468.0</v>
      </c>
      <c r="K3406" s="18" t="s">
        <v>10611</v>
      </c>
      <c r="L3406" s="18">
        <v>204.0</v>
      </c>
      <c r="M3406" s="18" t="s">
        <v>24</v>
      </c>
      <c r="N3406" s="18" t="s">
        <v>25</v>
      </c>
      <c r="O3406" s="19">
        <v>1.8E7</v>
      </c>
      <c r="P3406" s="10">
        <f t="shared" si="2"/>
        <v>96968774</v>
      </c>
      <c r="Q3406" s="12">
        <f t="shared" si="3"/>
        <v>0</v>
      </c>
      <c r="R3406" s="18">
        <v>1988.0</v>
      </c>
      <c r="S3406" s="18">
        <v>7.3</v>
      </c>
    </row>
    <row r="3407" ht="15.75" customHeight="1">
      <c r="A3407" s="7" t="s">
        <v>2187</v>
      </c>
      <c r="B3407" s="8" t="str">
        <f>IFERROR(__xludf.DUMMYFUNCTION("REGEXREPLACE(A3407, ""[^0-9a-zA-Z .'Ã]"","""")"),"Raja Gosnell")</f>
        <v>Raja Gosnell</v>
      </c>
      <c r="C3407" s="9">
        <v>172.0</v>
      </c>
      <c r="D3407" s="10">
        <v>1.42614158E8</v>
      </c>
      <c r="E3407" s="9" t="s">
        <v>301</v>
      </c>
      <c r="F3407" s="9">
        <f t="shared" si="1"/>
        <v>5</v>
      </c>
      <c r="G3407" s="9" t="s">
        <v>10612</v>
      </c>
      <c r="H3407" s="11" t="str">
        <f>IFERROR(__xludf.DUMMYFUNCTION("REGEXREPLACE(G3407, ""[^0-9a-zA-Z .'Ã]"","""")"),"Mahadeo Shivraj")</f>
        <v>Mahadeo Shivraj</v>
      </c>
      <c r="I3407" s="11" t="s">
        <v>10613</v>
      </c>
      <c r="J3407" s="9">
        <v>66593.0</v>
      </c>
      <c r="K3407" s="9" t="s">
        <v>10614</v>
      </c>
      <c r="L3407" s="9">
        <v>153.0</v>
      </c>
      <c r="M3407" s="9" t="s">
        <v>24</v>
      </c>
      <c r="N3407" s="9" t="s">
        <v>25</v>
      </c>
      <c r="O3407" s="10">
        <v>1.1E8</v>
      </c>
      <c r="P3407" s="10">
        <f t="shared" si="2"/>
        <v>32614158</v>
      </c>
      <c r="Q3407" s="12">
        <f t="shared" si="3"/>
        <v>0</v>
      </c>
      <c r="R3407" s="9">
        <v>2011.0</v>
      </c>
      <c r="S3407" s="9">
        <v>5.5</v>
      </c>
    </row>
    <row r="3408" ht="15.75" customHeight="1">
      <c r="A3408" s="7" t="s">
        <v>1985</v>
      </c>
      <c r="B3408" s="8" t="str">
        <f>IFERROR(__xludf.DUMMYFUNCTION("REGEXREPLACE(A3408, ""[^0-9a-zA-Z .'Ã]"","""")"),"Frank Whaley")</f>
        <v>Frank Whaley</v>
      </c>
      <c r="C3408" s="9">
        <v>9.0</v>
      </c>
      <c r="D3408" s="10">
        <v>703.0</v>
      </c>
      <c r="E3408" s="9" t="s">
        <v>454</v>
      </c>
      <c r="F3408" s="9">
        <f t="shared" si="1"/>
        <v>2</v>
      </c>
      <c r="G3408" s="9" t="s">
        <v>3485</v>
      </c>
      <c r="H3408" s="11" t="str">
        <f>IFERROR(__xludf.DUMMYFUNCTION("REGEXREPLACE(G3408, ""[^0-9a-zA-Z .'Ã]"","""")"),"Lynn Cohen")</f>
        <v>Lynn Cohen</v>
      </c>
      <c r="I3408" s="11" t="s">
        <v>10615</v>
      </c>
      <c r="J3408" s="9">
        <v>480.0</v>
      </c>
      <c r="K3408" s="9" t="s">
        <v>10616</v>
      </c>
      <c r="L3408" s="9">
        <v>21.0</v>
      </c>
      <c r="M3408" s="9" t="s">
        <v>24</v>
      </c>
      <c r="N3408" s="9" t="s">
        <v>25</v>
      </c>
      <c r="O3408" s="10">
        <v>1500000.0</v>
      </c>
      <c r="P3408" s="10">
        <f t="shared" si="2"/>
        <v>0</v>
      </c>
      <c r="Q3408" s="12">
        <f t="shared" si="3"/>
        <v>1499297</v>
      </c>
      <c r="R3408" s="9">
        <v>2001.0</v>
      </c>
      <c r="S3408" s="9">
        <v>5.4</v>
      </c>
    </row>
    <row r="3409" ht="15.75" customHeight="1">
      <c r="A3409" s="7" t="s">
        <v>10617</v>
      </c>
      <c r="B3409" s="8" t="str">
        <f>IFERROR(__xludf.DUMMYFUNCTION("REGEXREPLACE(A3409, ""[^0-9a-zA-Z .'Ã]"","""")"),"Peter Medak")</f>
        <v>Peter Medak</v>
      </c>
      <c r="C3409" s="9">
        <v>30.0</v>
      </c>
      <c r="D3409" s="10">
        <v>3275585.0</v>
      </c>
      <c r="E3409" s="9" t="s">
        <v>501</v>
      </c>
      <c r="F3409" s="9">
        <f t="shared" si="1"/>
        <v>4</v>
      </c>
      <c r="G3409" s="9" t="s">
        <v>772</v>
      </c>
      <c r="H3409" s="11" t="str">
        <f>IFERROR(__xludf.DUMMYFUNCTION("REGEXREPLACE(G3409, ""[^0-9a-zA-Z .'Ã]"","""")"),"Gary Oldman")</f>
        <v>Gary Oldman</v>
      </c>
      <c r="I3409" s="11" t="s">
        <v>10618</v>
      </c>
      <c r="J3409" s="9">
        <v>10735.0</v>
      </c>
      <c r="K3409" s="9" t="s">
        <v>10619</v>
      </c>
      <c r="L3409" s="9">
        <v>88.0</v>
      </c>
      <c r="M3409" s="9" t="s">
        <v>24</v>
      </c>
      <c r="N3409" s="9" t="s">
        <v>130</v>
      </c>
      <c r="O3409" s="10">
        <v>1.15E7</v>
      </c>
      <c r="P3409" s="10">
        <f t="shared" si="2"/>
        <v>0</v>
      </c>
      <c r="Q3409" s="12">
        <f t="shared" si="3"/>
        <v>8224415</v>
      </c>
      <c r="R3409" s="9">
        <v>1993.0</v>
      </c>
      <c r="S3409" s="9">
        <v>6.6</v>
      </c>
    </row>
    <row r="3410" ht="15.75" customHeight="1">
      <c r="A3410" s="25" t="s">
        <v>4516</v>
      </c>
      <c r="B3410" s="8" t="str">
        <f>IFERROR(__xludf.DUMMYFUNCTION("REGEXREPLACE(A3410, ""[^0-9a-zA-Z .'Ã]"","""")"),"George Miller")</f>
        <v>George Miller</v>
      </c>
      <c r="C3410" s="26">
        <v>177.0</v>
      </c>
      <c r="D3410" s="27">
        <v>9003011.0</v>
      </c>
      <c r="E3410" s="26" t="s">
        <v>794</v>
      </c>
      <c r="F3410" s="9">
        <f t="shared" si="1"/>
        <v>4</v>
      </c>
      <c r="G3410" s="26" t="s">
        <v>10620</v>
      </c>
      <c r="H3410" s="11" t="str">
        <f>IFERROR(__xludf.DUMMYFUNCTION("REGEXREPLACE(G3410, ""[^0-9a-zA-Z .'Ã]"","""")"),"Vernon Wells")</f>
        <v>Vernon Wells</v>
      </c>
      <c r="I3410" s="28" t="s">
        <v>10621</v>
      </c>
      <c r="J3410" s="26">
        <v>133966.0</v>
      </c>
      <c r="K3410" s="26" t="s">
        <v>10622</v>
      </c>
      <c r="L3410" s="26">
        <v>294.0</v>
      </c>
      <c r="M3410" s="26" t="s">
        <v>24</v>
      </c>
      <c r="N3410" s="26" t="s">
        <v>146</v>
      </c>
      <c r="O3410" s="27">
        <v>2000000.0</v>
      </c>
      <c r="P3410" s="10">
        <f t="shared" si="2"/>
        <v>7003011</v>
      </c>
      <c r="Q3410" s="12">
        <f t="shared" si="3"/>
        <v>0</v>
      </c>
      <c r="R3410" s="26">
        <v>1981.0</v>
      </c>
      <c r="S3410" s="26">
        <v>7.6</v>
      </c>
    </row>
    <row r="3411" ht="15.75" customHeight="1">
      <c r="A3411" s="7" t="s">
        <v>1454</v>
      </c>
      <c r="B3411" s="8" t="str">
        <f>IFERROR(__xludf.DUMMYFUNCTION("REGEXREPLACE(A3411, ""[^0-9a-zA-Z .'Ã]"","""")"),"Tom Shadyac")</f>
        <v>Tom Shadyac</v>
      </c>
      <c r="C3411" s="9">
        <v>73.0</v>
      </c>
      <c r="D3411" s="10">
        <v>1.8139538E8</v>
      </c>
      <c r="E3411" s="9" t="s">
        <v>1741</v>
      </c>
      <c r="F3411" s="9">
        <f t="shared" si="1"/>
        <v>3</v>
      </c>
      <c r="G3411" s="9" t="s">
        <v>753</v>
      </c>
      <c r="H3411" s="11" t="str">
        <f>IFERROR(__xludf.DUMMYFUNCTION("REGEXREPLACE(G3411, ""[^0-9a-zA-Z .'Ã]"","""")"),"Maura Tierney")</f>
        <v>Maura Tierney</v>
      </c>
      <c r="I3411" s="11" t="s">
        <v>10623</v>
      </c>
      <c r="J3411" s="9">
        <v>220392.0</v>
      </c>
      <c r="K3411" s="9" t="s">
        <v>10624</v>
      </c>
      <c r="L3411" s="9">
        <v>243.0</v>
      </c>
      <c r="M3411" s="9" t="s">
        <v>24</v>
      </c>
      <c r="N3411" s="9" t="s">
        <v>25</v>
      </c>
      <c r="O3411" s="10">
        <v>4.5E7</v>
      </c>
      <c r="P3411" s="10">
        <f t="shared" si="2"/>
        <v>136395380</v>
      </c>
      <c r="Q3411" s="12">
        <f t="shared" si="3"/>
        <v>0</v>
      </c>
      <c r="R3411" s="9">
        <v>1997.0</v>
      </c>
      <c r="S3411" s="9">
        <v>6.8</v>
      </c>
    </row>
    <row r="3412" ht="15.75" customHeight="1">
      <c r="A3412" s="25" t="s">
        <v>6443</v>
      </c>
      <c r="B3412" s="8" t="str">
        <f>IFERROR(__xludf.DUMMYFUNCTION("REGEXREPLACE(A3412, ""[^0-9a-zA-Z .'Ã]"","""")"),"Bill Condon")</f>
        <v>Bill Condon</v>
      </c>
      <c r="C3412" s="26">
        <v>322.0</v>
      </c>
      <c r="D3412" s="27">
        <v>2.92298923E8</v>
      </c>
      <c r="E3412" s="26" t="s">
        <v>260</v>
      </c>
      <c r="F3412" s="9">
        <f t="shared" si="1"/>
        <v>4</v>
      </c>
      <c r="G3412" s="26" t="s">
        <v>261</v>
      </c>
      <c r="H3412" s="11" t="str">
        <f>IFERROR(__xludf.DUMMYFUNCTION("REGEXREPLACE(G3412, ""[^0-9a-zA-Z .'Ã]"","""")"),"Robert Pattinson")</f>
        <v>Robert Pattinson</v>
      </c>
      <c r="I3412" s="28" t="s">
        <v>10625</v>
      </c>
      <c r="J3412" s="26">
        <v>185394.0</v>
      </c>
      <c r="K3412" s="26" t="s">
        <v>10626</v>
      </c>
      <c r="L3412" s="26">
        <v>329.0</v>
      </c>
      <c r="M3412" s="26" t="s">
        <v>24</v>
      </c>
      <c r="N3412" s="26" t="s">
        <v>25</v>
      </c>
      <c r="O3412" s="27">
        <v>1.2E8</v>
      </c>
      <c r="P3412" s="10">
        <f t="shared" si="2"/>
        <v>172298923</v>
      </c>
      <c r="Q3412" s="12">
        <f t="shared" si="3"/>
        <v>0</v>
      </c>
      <c r="R3412" s="26">
        <v>2012.0</v>
      </c>
      <c r="S3412" s="26">
        <v>5.5</v>
      </c>
    </row>
    <row r="3413" ht="15.75" customHeight="1">
      <c r="A3413" s="7" t="s">
        <v>10627</v>
      </c>
      <c r="B3413" s="8" t="str">
        <f>IFERROR(__xludf.DUMMYFUNCTION("REGEXREPLACE(A3413, ""[^0-9a-zA-Z .'Ã]"","""")"),"Michel Orion Scott")</f>
        <v>Michel Orion Scott</v>
      </c>
      <c r="C3413" s="9">
        <v>29.0</v>
      </c>
      <c r="D3413" s="10">
        <v>155984.0</v>
      </c>
      <c r="E3413" s="9" t="s">
        <v>251</v>
      </c>
      <c r="F3413" s="9">
        <f t="shared" si="1"/>
        <v>1</v>
      </c>
      <c r="G3413" s="9" t="s">
        <v>10628</v>
      </c>
      <c r="H3413" s="11" t="str">
        <f>IFERROR(__xludf.DUMMYFUNCTION("REGEXREPLACE(G3413, ""[^0-9a-zA-Z .'Ã]"","""")"),"Temple Grandin")</f>
        <v>Temple Grandin</v>
      </c>
      <c r="I3413" s="11" t="s">
        <v>10629</v>
      </c>
      <c r="J3413" s="9">
        <v>586.0</v>
      </c>
      <c r="K3413" s="9" t="s">
        <v>10630</v>
      </c>
      <c r="L3413" s="9">
        <v>9.0</v>
      </c>
      <c r="M3413" s="9" t="s">
        <v>24</v>
      </c>
      <c r="N3413" s="9" t="s">
        <v>25</v>
      </c>
      <c r="O3413" s="10">
        <v>160000.0</v>
      </c>
      <c r="P3413" s="10">
        <f t="shared" si="2"/>
        <v>0</v>
      </c>
      <c r="Q3413" s="12">
        <f t="shared" si="3"/>
        <v>4016</v>
      </c>
      <c r="R3413" s="9">
        <v>2009.0</v>
      </c>
      <c r="S3413" s="9">
        <v>7.4</v>
      </c>
    </row>
    <row r="3414" ht="15.75" customHeight="1">
      <c r="A3414" s="7" t="s">
        <v>8802</v>
      </c>
      <c r="B3414" s="8" t="str">
        <f>IFERROR(__xludf.DUMMYFUNCTION("REGEXREPLACE(A3414, ""[^0-9a-zA-Z .'Ã]"","""")"),"Jodie Foster")</f>
        <v>Jodie Foster</v>
      </c>
      <c r="C3414" s="9">
        <v>276.0</v>
      </c>
      <c r="D3414" s="10">
        <v>958319.0</v>
      </c>
      <c r="E3414" s="9" t="s">
        <v>103</v>
      </c>
      <c r="F3414" s="9">
        <f t="shared" si="1"/>
        <v>1</v>
      </c>
      <c r="G3414" s="9" t="s">
        <v>1494</v>
      </c>
      <c r="H3414" s="11" t="str">
        <f>IFERROR(__xludf.DUMMYFUNCTION("REGEXREPLACE(G3414, ""[^0-9a-zA-Z .'Ã]"","""")"),"Jennifer Lawrence")</f>
        <v>Jennifer Lawrence</v>
      </c>
      <c r="I3414" s="11" t="s">
        <v>10631</v>
      </c>
      <c r="J3414" s="9">
        <v>39764.0</v>
      </c>
      <c r="K3414" s="9" t="s">
        <v>10632</v>
      </c>
      <c r="L3414" s="9">
        <v>148.0</v>
      </c>
      <c r="M3414" s="9" t="s">
        <v>24</v>
      </c>
      <c r="N3414" s="9" t="s">
        <v>25</v>
      </c>
      <c r="O3414" s="10">
        <v>2.1E7</v>
      </c>
      <c r="P3414" s="10">
        <f t="shared" si="2"/>
        <v>0</v>
      </c>
      <c r="Q3414" s="12">
        <f t="shared" si="3"/>
        <v>20041681</v>
      </c>
      <c r="R3414" s="9">
        <v>2011.0</v>
      </c>
      <c r="S3414" s="9">
        <v>6.7</v>
      </c>
    </row>
    <row r="3415" ht="15.75" customHeight="1">
      <c r="A3415" s="29" t="s">
        <v>1489</v>
      </c>
      <c r="B3415" s="8" t="str">
        <f>IFERROR(__xludf.DUMMYFUNCTION("REGEXREPLACE(A3415, ""[^0-9a-zA-Z .'Ã]"","""")"),"John Madden")</f>
        <v>John Madden</v>
      </c>
      <c r="C3415" s="30">
        <v>96.0</v>
      </c>
      <c r="D3415" s="31">
        <v>2.5528495E7</v>
      </c>
      <c r="E3415" s="30" t="s">
        <v>10633</v>
      </c>
      <c r="F3415" s="9">
        <f t="shared" si="1"/>
        <v>4</v>
      </c>
      <c r="G3415" s="30" t="s">
        <v>1579</v>
      </c>
      <c r="H3415" s="11" t="str">
        <f>IFERROR(__xludf.DUMMYFUNCTION("REGEXREPLACE(G3415, ""[^0-9a-zA-Z .'Ã]"","""")"),"Christian Bale")</f>
        <v>Christian Bale</v>
      </c>
      <c r="I3415" s="32" t="s">
        <v>10634</v>
      </c>
      <c r="J3415" s="30">
        <v>28099.0</v>
      </c>
      <c r="K3415" s="30" t="s">
        <v>10635</v>
      </c>
      <c r="L3415" s="30">
        <v>220.0</v>
      </c>
      <c r="M3415" s="30" t="s">
        <v>24</v>
      </c>
      <c r="N3415" s="30" t="s">
        <v>130</v>
      </c>
      <c r="O3415" s="31">
        <v>5.7E7</v>
      </c>
      <c r="P3415" s="10">
        <f t="shared" si="2"/>
        <v>0</v>
      </c>
      <c r="Q3415" s="12">
        <f t="shared" si="3"/>
        <v>31471505</v>
      </c>
      <c r="R3415" s="30">
        <v>2001.0</v>
      </c>
      <c r="S3415" s="30">
        <v>5.9</v>
      </c>
    </row>
    <row r="3416" ht="15.75" customHeight="1">
      <c r="A3416" s="7" t="s">
        <v>1805</v>
      </c>
      <c r="B3416" s="8" t="str">
        <f>IFERROR(__xludf.DUMMYFUNCTION("REGEXREPLACE(A3416, ""[^0-9a-zA-Z .'Ã]"","""")"),"Mike Newell")</f>
        <v>Mike Newell</v>
      </c>
      <c r="C3416" s="9">
        <v>306.0</v>
      </c>
      <c r="D3416" s="10">
        <v>9.0755643E7</v>
      </c>
      <c r="E3416" s="9" t="s">
        <v>3545</v>
      </c>
      <c r="F3416" s="9">
        <f t="shared" si="1"/>
        <v>4</v>
      </c>
      <c r="G3416" s="9" t="s">
        <v>2509</v>
      </c>
      <c r="H3416" s="11" t="str">
        <f>IFERROR(__xludf.DUMMYFUNCTION("REGEXREPLACE(G3416, ""[^0-9a-zA-Z .'Ã]"","""")"),"Jake Gyllenhaal")</f>
        <v>Jake Gyllenhaal</v>
      </c>
      <c r="I3416" s="11" t="s">
        <v>10636</v>
      </c>
      <c r="J3416" s="9">
        <v>222403.0</v>
      </c>
      <c r="K3416" s="9" t="s">
        <v>10637</v>
      </c>
      <c r="L3416" s="9">
        <v>453.0</v>
      </c>
      <c r="M3416" s="9" t="s">
        <v>24</v>
      </c>
      <c r="N3416" s="9" t="s">
        <v>25</v>
      </c>
      <c r="O3416" s="10">
        <v>2.0E8</v>
      </c>
      <c r="P3416" s="10">
        <f t="shared" si="2"/>
        <v>0</v>
      </c>
      <c r="Q3416" s="12">
        <f t="shared" si="3"/>
        <v>109244357</v>
      </c>
      <c r="R3416" s="9">
        <v>2010.0</v>
      </c>
      <c r="S3416" s="9">
        <v>6.6</v>
      </c>
    </row>
    <row r="3417" ht="15.75" customHeight="1">
      <c r="A3417" s="7" t="s">
        <v>1350</v>
      </c>
      <c r="B3417" s="8" t="str">
        <f>IFERROR(__xludf.DUMMYFUNCTION("REGEXREPLACE(A3417, ""[^0-9a-zA-Z .'Ã]"","""")"),"Christopher Nolan")</f>
        <v>Christopher Nolan</v>
      </c>
      <c r="C3417" s="9">
        <v>712.0</v>
      </c>
      <c r="D3417" s="10">
        <v>1.87991439E8</v>
      </c>
      <c r="E3417" s="9" t="s">
        <v>7495</v>
      </c>
      <c r="F3417" s="9">
        <f t="shared" si="1"/>
        <v>3</v>
      </c>
      <c r="G3417" s="9" t="s">
        <v>80</v>
      </c>
      <c r="H3417" s="11" t="str">
        <f>IFERROR(__xludf.DUMMYFUNCTION("REGEXREPLACE(G3417, ""[^0-9a-zA-Z .'Ã]"","""")"),"Matthew McConaughey")</f>
        <v>Matthew McConaughey</v>
      </c>
      <c r="I3417" s="11" t="s">
        <v>10638</v>
      </c>
      <c r="J3417" s="9">
        <v>928227.0</v>
      </c>
      <c r="K3417" s="9" t="s">
        <v>10639</v>
      </c>
      <c r="L3417" s="9">
        <v>2725.0</v>
      </c>
      <c r="M3417" s="9" t="s">
        <v>24</v>
      </c>
      <c r="N3417" s="9" t="s">
        <v>25</v>
      </c>
      <c r="O3417" s="10">
        <v>1.65E8</v>
      </c>
      <c r="P3417" s="10">
        <f t="shared" si="2"/>
        <v>22991439</v>
      </c>
      <c r="Q3417" s="12">
        <f t="shared" si="3"/>
        <v>0</v>
      </c>
      <c r="R3417" s="9">
        <v>2014.0</v>
      </c>
      <c r="S3417" s="9">
        <v>8.6</v>
      </c>
    </row>
    <row r="3418" ht="15.75" customHeight="1">
      <c r="A3418" s="17" t="s">
        <v>1047</v>
      </c>
      <c r="B3418" s="8" t="str">
        <f>IFERROR(__xludf.DUMMYFUNCTION("REGEXREPLACE(A3418, ""[^0-9a-zA-Z .'Ã]"","""")"),"Tyler Perry")</f>
        <v>Tyler Perry</v>
      </c>
      <c r="C3418" s="18">
        <v>41.0</v>
      </c>
      <c r="D3418" s="19">
        <v>5.5184721E7</v>
      </c>
      <c r="E3418" s="18" t="s">
        <v>454</v>
      </c>
      <c r="F3418" s="9">
        <f t="shared" si="1"/>
        <v>2</v>
      </c>
      <c r="G3418" s="18" t="s">
        <v>2107</v>
      </c>
      <c r="H3418" s="11" t="str">
        <f>IFERROR(__xludf.DUMMYFUNCTION("REGEXREPLACE(G3418, ""[^0-9a-zA-Z .'Ã]"","""")"),"Michael Jai White")</f>
        <v>Michael Jai White</v>
      </c>
      <c r="I3418" s="20" t="s">
        <v>10640</v>
      </c>
      <c r="J3418" s="18">
        <v>9811.0</v>
      </c>
      <c r="K3418" s="18" t="s">
        <v>10641</v>
      </c>
      <c r="L3418" s="18">
        <v>100.0</v>
      </c>
      <c r="M3418" s="18" t="s">
        <v>24</v>
      </c>
      <c r="N3418" s="18" t="s">
        <v>25</v>
      </c>
      <c r="O3418" s="19">
        <v>1.5E7</v>
      </c>
      <c r="P3418" s="10">
        <f t="shared" si="2"/>
        <v>40184721</v>
      </c>
      <c r="Q3418" s="12">
        <f t="shared" si="3"/>
        <v>0</v>
      </c>
      <c r="R3418" s="18">
        <v>2007.0</v>
      </c>
      <c r="S3418" s="18">
        <v>5.6</v>
      </c>
    </row>
    <row r="3419" ht="15.75" customHeight="1">
      <c r="A3419" s="21" t="s">
        <v>10642</v>
      </c>
      <c r="B3419" s="8" t="str">
        <f>IFERROR(__xludf.DUMMYFUNCTION("REGEXREPLACE(A3419, ""[^0-9a-zA-Z .'Ã]"","""")"),"John Stainton")</f>
        <v>John Stainton</v>
      </c>
      <c r="C3419" s="22">
        <v>61.0</v>
      </c>
      <c r="D3419" s="23">
        <v>2.8399192E7</v>
      </c>
      <c r="E3419" s="22" t="s">
        <v>10643</v>
      </c>
      <c r="F3419" s="9">
        <f t="shared" si="1"/>
        <v>4</v>
      </c>
      <c r="G3419" s="22" t="s">
        <v>10644</v>
      </c>
      <c r="H3419" s="11" t="str">
        <f>IFERROR(__xludf.DUMMYFUNCTION("REGEXREPLACE(G3419, ""[^0-9a-zA-Z .'Ã]"","""")"),"Steve Irwin")</f>
        <v>Steve Irwin</v>
      </c>
      <c r="I3419" s="24" t="s">
        <v>10645</v>
      </c>
      <c r="J3419" s="22">
        <v>5663.0</v>
      </c>
      <c r="K3419" s="22" t="s">
        <v>10646</v>
      </c>
      <c r="L3419" s="22">
        <v>106.0</v>
      </c>
      <c r="M3419" s="22" t="s">
        <v>24</v>
      </c>
      <c r="N3419" s="22" t="s">
        <v>146</v>
      </c>
      <c r="O3419" s="23">
        <v>1.3E7</v>
      </c>
      <c r="P3419" s="10">
        <f t="shared" si="2"/>
        <v>15399192</v>
      </c>
      <c r="Q3419" s="12">
        <f t="shared" si="3"/>
        <v>0</v>
      </c>
      <c r="R3419" s="22">
        <v>2002.0</v>
      </c>
      <c r="S3419" s="22">
        <v>5.4</v>
      </c>
    </row>
    <row r="3420" ht="15.75" customHeight="1">
      <c r="A3420" s="21" t="s">
        <v>5062</v>
      </c>
      <c r="B3420" s="8" t="str">
        <f>IFERROR(__xludf.DUMMYFUNCTION("REGEXREPLACE(A3420, ""[^0-9a-zA-Z .'Ã]"","""")"),"Sidney Lumet")</f>
        <v>Sidney Lumet</v>
      </c>
      <c r="C3420" s="22">
        <v>79.0</v>
      </c>
      <c r="D3420" s="23">
        <v>5.4E7</v>
      </c>
      <c r="E3420" s="22" t="s">
        <v>103</v>
      </c>
      <c r="F3420" s="9">
        <f t="shared" si="1"/>
        <v>1</v>
      </c>
      <c r="G3420" s="22" t="s">
        <v>5162</v>
      </c>
      <c r="H3420" s="11" t="str">
        <f>IFERROR(__xludf.DUMMYFUNCTION("REGEXREPLACE(G3420, ""[^0-9a-zA-Z .'Ã]"","""")"),"Charlotte Rampling")</f>
        <v>Charlotte Rampling</v>
      </c>
      <c r="I3420" s="24" t="s">
        <v>10647</v>
      </c>
      <c r="J3420" s="22">
        <v>26310.0</v>
      </c>
      <c r="K3420" s="22" t="s">
        <v>10648</v>
      </c>
      <c r="L3420" s="22">
        <v>154.0</v>
      </c>
      <c r="M3420" s="22" t="s">
        <v>24</v>
      </c>
      <c r="N3420" s="22" t="s">
        <v>25</v>
      </c>
      <c r="O3420" s="23">
        <v>1.6E7</v>
      </c>
      <c r="P3420" s="10">
        <f t="shared" si="2"/>
        <v>38000000</v>
      </c>
      <c r="Q3420" s="12">
        <f t="shared" si="3"/>
        <v>0</v>
      </c>
      <c r="R3420" s="22">
        <v>1982.0</v>
      </c>
      <c r="S3420" s="22">
        <v>7.8</v>
      </c>
    </row>
    <row r="3421" ht="15.75" customHeight="1">
      <c r="A3421" s="7" t="s">
        <v>10649</v>
      </c>
      <c r="B3421" s="8" t="str">
        <f>IFERROR(__xludf.DUMMYFUNCTION("REGEXREPLACE(A3421, ""[^0-9a-zA-Z .'Ã]"","""")"),"Kevin Tenney")</f>
        <v>Kevin Tenney</v>
      </c>
      <c r="C3421" s="9">
        <v>65.0</v>
      </c>
      <c r="D3421" s="10">
        <v>7369373.0</v>
      </c>
      <c r="E3421" s="9" t="s">
        <v>94</v>
      </c>
      <c r="F3421" s="9">
        <f t="shared" si="1"/>
        <v>3</v>
      </c>
      <c r="G3421" s="9" t="s">
        <v>10650</v>
      </c>
      <c r="H3421" s="11" t="str">
        <f>IFERROR(__xludf.DUMMYFUNCTION("REGEXREPLACE(G3421, ""[^0-9a-zA-Z .'Ã]"","""")"),"Kathleen Wilhoite")</f>
        <v>Kathleen Wilhoite</v>
      </c>
      <c r="I3421" s="11" t="s">
        <v>10651</v>
      </c>
      <c r="J3421" s="9">
        <v>4288.0</v>
      </c>
      <c r="K3421" s="9" t="s">
        <v>10652</v>
      </c>
      <c r="L3421" s="9">
        <v>74.0</v>
      </c>
      <c r="M3421" s="9" t="s">
        <v>24</v>
      </c>
      <c r="N3421" s="9" t="s">
        <v>130</v>
      </c>
      <c r="O3421" s="10">
        <v>2000000.0</v>
      </c>
      <c r="P3421" s="10">
        <f t="shared" si="2"/>
        <v>5369373</v>
      </c>
      <c r="Q3421" s="12">
        <f t="shared" si="3"/>
        <v>0</v>
      </c>
      <c r="R3421" s="9">
        <v>1986.0</v>
      </c>
      <c r="S3421" s="9">
        <v>5.7</v>
      </c>
    </row>
    <row r="3422" ht="15.75" customHeight="1">
      <c r="A3422" s="25" t="s">
        <v>1047</v>
      </c>
      <c r="B3422" s="8" t="str">
        <f>IFERROR(__xludf.DUMMYFUNCTION("REGEXREPLACE(A3422, ""[^0-9a-zA-Z .'Ã]"","""")"),"Tyler Perry")</f>
        <v>Tyler Perry</v>
      </c>
      <c r="C3422" s="26">
        <v>40.0</v>
      </c>
      <c r="D3422" s="27">
        <v>6.0072596E7</v>
      </c>
      <c r="E3422" s="26" t="s">
        <v>159</v>
      </c>
      <c r="F3422" s="9">
        <f t="shared" si="1"/>
        <v>3</v>
      </c>
      <c r="G3422" s="26" t="s">
        <v>2107</v>
      </c>
      <c r="H3422" s="11" t="str">
        <f>IFERROR(__xludf.DUMMYFUNCTION("REGEXREPLACE(G3422, ""[^0-9a-zA-Z .'Ã]"","""")"),"Michael Jai White")</f>
        <v>Michael Jai White</v>
      </c>
      <c r="I3422" s="28" t="s">
        <v>10653</v>
      </c>
      <c r="J3422" s="26">
        <v>7664.0</v>
      </c>
      <c r="K3422" s="26" t="s">
        <v>10654</v>
      </c>
      <c r="L3422" s="26">
        <v>68.0</v>
      </c>
      <c r="M3422" s="26" t="s">
        <v>24</v>
      </c>
      <c r="N3422" s="26" t="s">
        <v>25</v>
      </c>
      <c r="O3422" s="27">
        <v>2.0E7</v>
      </c>
      <c r="P3422" s="10">
        <f t="shared" si="2"/>
        <v>40072596</v>
      </c>
      <c r="Q3422" s="12">
        <f t="shared" si="3"/>
        <v>0</v>
      </c>
      <c r="R3422" s="26">
        <v>2010.0</v>
      </c>
      <c r="S3422" s="26">
        <v>4.4</v>
      </c>
    </row>
    <row r="3423" ht="15.75" customHeight="1">
      <c r="A3423" s="7" t="s">
        <v>2388</v>
      </c>
      <c r="B3423" s="8" t="str">
        <f>IFERROR(__xludf.DUMMYFUNCTION("REGEXREPLACE(A3423, ""[^0-9a-zA-Z .'Ã]"","""")"),"Paul Greengrass")</f>
        <v>Paul Greengrass</v>
      </c>
      <c r="C3423" s="9">
        <v>239.0</v>
      </c>
      <c r="D3423" s="10">
        <v>1.7604913E8</v>
      </c>
      <c r="E3423" s="9" t="s">
        <v>1155</v>
      </c>
      <c r="F3423" s="9">
        <f t="shared" si="1"/>
        <v>3</v>
      </c>
      <c r="G3423" s="9" t="s">
        <v>585</v>
      </c>
      <c r="H3423" s="11" t="str">
        <f>IFERROR(__xludf.DUMMYFUNCTION("REGEXREPLACE(G3423, ""[^0-9a-zA-Z .'Ã]"","""")"),"Matt Damon")</f>
        <v>Matt Damon</v>
      </c>
      <c r="I3423" s="11" t="s">
        <v>10655</v>
      </c>
      <c r="J3423" s="9">
        <v>348232.0</v>
      </c>
      <c r="K3423" s="9" t="s">
        <v>10656</v>
      </c>
      <c r="L3423" s="9">
        <v>806.0</v>
      </c>
      <c r="M3423" s="9" t="s">
        <v>24</v>
      </c>
      <c r="N3423" s="9" t="s">
        <v>25</v>
      </c>
      <c r="O3423" s="10">
        <v>7.5E7</v>
      </c>
      <c r="P3423" s="10">
        <f t="shared" si="2"/>
        <v>101049130</v>
      </c>
      <c r="Q3423" s="12">
        <f t="shared" si="3"/>
        <v>0</v>
      </c>
      <c r="R3423" s="9">
        <v>2004.0</v>
      </c>
      <c r="S3423" s="9">
        <v>7.8</v>
      </c>
    </row>
    <row r="3424" ht="15.75" customHeight="1">
      <c r="A3424" s="7" t="s">
        <v>3707</v>
      </c>
      <c r="B3424" s="8" t="str">
        <f>IFERROR(__xludf.DUMMYFUNCTION("REGEXREPLACE(A3424, ""[^0-9a-zA-Z .'Ã]"","""")"),"Eli Roth")</f>
        <v>Eli Roth</v>
      </c>
      <c r="C3424" s="9">
        <v>303.0</v>
      </c>
      <c r="D3424" s="10">
        <v>4.7277326E7</v>
      </c>
      <c r="E3424" s="9" t="s">
        <v>148</v>
      </c>
      <c r="F3424" s="9">
        <f t="shared" si="1"/>
        <v>1</v>
      </c>
      <c r="G3424" s="9" t="s">
        <v>3708</v>
      </c>
      <c r="H3424" s="11" t="str">
        <f>IFERROR(__xludf.DUMMYFUNCTION("REGEXREPLACE(G3424, ""[^0-9a-zA-Z .'Ã]"","""")"),"Jay Hernandez")</f>
        <v>Jay Hernandez</v>
      </c>
      <c r="I3424" s="11" t="s">
        <v>10657</v>
      </c>
      <c r="J3424" s="9">
        <v>138814.0</v>
      </c>
      <c r="K3424" s="9" t="s">
        <v>10658</v>
      </c>
      <c r="L3424" s="9">
        <v>1516.0</v>
      </c>
      <c r="M3424" s="9" t="s">
        <v>24</v>
      </c>
      <c r="N3424" s="9" t="s">
        <v>25</v>
      </c>
      <c r="O3424" s="10">
        <v>4800000.0</v>
      </c>
      <c r="P3424" s="10">
        <f t="shared" si="2"/>
        <v>42477326</v>
      </c>
      <c r="Q3424" s="12">
        <f t="shared" si="3"/>
        <v>0</v>
      </c>
      <c r="R3424" s="9">
        <v>2005.0</v>
      </c>
      <c r="S3424" s="9">
        <v>5.9</v>
      </c>
    </row>
    <row r="3425" ht="15.75" customHeight="1">
      <c r="A3425" s="7" t="s">
        <v>4782</v>
      </c>
      <c r="B3425" s="8" t="str">
        <f>IFERROR(__xludf.DUMMYFUNCTION("REGEXREPLACE(A3425, ""[^0-9a-zA-Z .'Ã]"","""")"),"Ryan Coogler")</f>
        <v>Ryan Coogler</v>
      </c>
      <c r="C3425" s="9">
        <v>437.0</v>
      </c>
      <c r="D3425" s="10">
        <v>1.09712885E8</v>
      </c>
      <c r="E3425" s="9" t="s">
        <v>132</v>
      </c>
      <c r="F3425" s="9">
        <f t="shared" si="1"/>
        <v>2</v>
      </c>
      <c r="G3425" s="9" t="s">
        <v>2532</v>
      </c>
      <c r="H3425" s="11" t="str">
        <f>IFERROR(__xludf.DUMMYFUNCTION("REGEXREPLACE(G3425, ""[^0-9a-zA-Z .'Ã]"","""")"),"Sylvester Stallone")</f>
        <v>Sylvester Stallone</v>
      </c>
      <c r="I3425" s="11" t="s">
        <v>10659</v>
      </c>
      <c r="J3425" s="9">
        <v>146708.0</v>
      </c>
      <c r="K3425" s="9" t="s">
        <v>10660</v>
      </c>
      <c r="L3425" s="9">
        <v>362.0</v>
      </c>
      <c r="M3425" s="9" t="s">
        <v>24</v>
      </c>
      <c r="N3425" s="9" t="s">
        <v>25</v>
      </c>
      <c r="O3425" s="10">
        <v>3.5E7</v>
      </c>
      <c r="P3425" s="10">
        <f t="shared" si="2"/>
        <v>74712885</v>
      </c>
      <c r="Q3425" s="12">
        <f t="shared" si="3"/>
        <v>0</v>
      </c>
      <c r="R3425" s="9">
        <v>2015.0</v>
      </c>
      <c r="S3425" s="9">
        <v>7.7</v>
      </c>
    </row>
    <row r="3426" ht="15.75" customHeight="1">
      <c r="A3426" s="17" t="s">
        <v>10661</v>
      </c>
      <c r="B3426" s="8" t="str">
        <f>IFERROR(__xludf.DUMMYFUNCTION("REGEXREPLACE(A3426, ""[^0-9a-zA-Z .'Ã]"","""")"),"Benjamin Dickinson")</f>
        <v>Benjamin Dickinson</v>
      </c>
      <c r="C3426" s="18">
        <v>36.0</v>
      </c>
      <c r="D3426" s="19">
        <v>62480.0</v>
      </c>
      <c r="E3426" s="18" t="s">
        <v>882</v>
      </c>
      <c r="F3426" s="9">
        <f t="shared" si="1"/>
        <v>2</v>
      </c>
      <c r="G3426" s="18" t="s">
        <v>10662</v>
      </c>
      <c r="H3426" s="11" t="str">
        <f>IFERROR(__xludf.DUMMYFUNCTION("REGEXREPLACE(G3426, ""[^0-9a-zA-Z .'Ã]"","""")"),"Nora Zehetner")</f>
        <v>Nora Zehetner</v>
      </c>
      <c r="I3426" s="20" t="s">
        <v>10663</v>
      </c>
      <c r="J3426" s="18">
        <v>1048.0</v>
      </c>
      <c r="K3426" s="18" t="s">
        <v>10664</v>
      </c>
      <c r="L3426" s="18">
        <v>7.0</v>
      </c>
      <c r="M3426" s="18" t="s">
        <v>24</v>
      </c>
      <c r="N3426" s="18" t="s">
        <v>25</v>
      </c>
      <c r="O3426" s="19">
        <v>1000000.0</v>
      </c>
      <c r="P3426" s="10">
        <f t="shared" si="2"/>
        <v>0</v>
      </c>
      <c r="Q3426" s="12">
        <f t="shared" si="3"/>
        <v>937520</v>
      </c>
      <c r="R3426" s="18">
        <v>2015.0</v>
      </c>
      <c r="S3426" s="18">
        <v>5.5</v>
      </c>
    </row>
    <row r="3427" ht="15.75" customHeight="1">
      <c r="A3427" s="13" t="s">
        <v>277</v>
      </c>
      <c r="B3427" s="8" t="str">
        <f>IFERROR(__xludf.DUMMYFUNCTION("REGEXREPLACE(A3427, ""[^0-9a-zA-Z .'Ã]"","""")"),"Rob Cohen")</f>
        <v>Rob Cohen</v>
      </c>
      <c r="C3427" s="14">
        <v>102.0</v>
      </c>
      <c r="D3427" s="15">
        <v>3.500718E7</v>
      </c>
      <c r="E3427" s="14" t="s">
        <v>501</v>
      </c>
      <c r="F3427" s="9">
        <f t="shared" si="1"/>
        <v>4</v>
      </c>
      <c r="G3427" s="14" t="s">
        <v>802</v>
      </c>
      <c r="H3427" s="11" t="str">
        <f>IFERROR(__xludf.DUMMYFUNCTION("REGEXREPLACE(G3427, ""[^0-9a-zA-Z .'Ã]"","""")"),"Paul Walker")</f>
        <v>Paul Walker</v>
      </c>
      <c r="I3427" s="16" t="s">
        <v>10665</v>
      </c>
      <c r="J3427" s="14">
        <v>26846.0</v>
      </c>
      <c r="K3427" s="14" t="s">
        <v>10666</v>
      </c>
      <c r="L3427" s="14">
        <v>193.0</v>
      </c>
      <c r="M3427" s="14" t="s">
        <v>24</v>
      </c>
      <c r="N3427" s="14" t="s">
        <v>25</v>
      </c>
      <c r="O3427" s="15">
        <v>1.5E7</v>
      </c>
      <c r="P3427" s="10">
        <f t="shared" si="2"/>
        <v>20007180</v>
      </c>
      <c r="Q3427" s="12">
        <f t="shared" si="3"/>
        <v>0</v>
      </c>
      <c r="R3427" s="14">
        <v>2000.0</v>
      </c>
      <c r="S3427" s="14">
        <v>5.6</v>
      </c>
    </row>
    <row r="3428" ht="15.75" customHeight="1">
      <c r="A3428" s="7" t="s">
        <v>457</v>
      </c>
      <c r="B3428" s="8" t="str">
        <f>IFERROR(__xludf.DUMMYFUNCTION("REGEXREPLACE(A3428, ""[^0-9a-zA-Z .'Ã]"","""")"),"Werner Herzog")</f>
        <v>Werner Herzog</v>
      </c>
      <c r="C3428" s="9">
        <v>198.0</v>
      </c>
      <c r="D3428" s="10">
        <v>5484375.0</v>
      </c>
      <c r="E3428" s="9" t="s">
        <v>10667</v>
      </c>
      <c r="F3428" s="9">
        <f t="shared" si="1"/>
        <v>4</v>
      </c>
      <c r="G3428" s="9" t="s">
        <v>1579</v>
      </c>
      <c r="H3428" s="11" t="str">
        <f>IFERROR(__xludf.DUMMYFUNCTION("REGEXREPLACE(G3428, ""[^0-9a-zA-Z .'Ã]"","""")"),"Christian Bale")</f>
        <v>Christian Bale</v>
      </c>
      <c r="I3428" s="11" t="s">
        <v>10668</v>
      </c>
      <c r="J3428" s="9">
        <v>84641.0</v>
      </c>
      <c r="K3428" s="9" t="s">
        <v>10669</v>
      </c>
      <c r="L3428" s="9">
        <v>205.0</v>
      </c>
      <c r="M3428" s="9" t="s">
        <v>24</v>
      </c>
      <c r="N3428" s="9" t="s">
        <v>25</v>
      </c>
      <c r="O3428" s="10">
        <v>1.0E7</v>
      </c>
      <c r="P3428" s="10">
        <f t="shared" si="2"/>
        <v>0</v>
      </c>
      <c r="Q3428" s="12">
        <f t="shared" si="3"/>
        <v>4515625</v>
      </c>
      <c r="R3428" s="9">
        <v>2006.0</v>
      </c>
      <c r="S3428" s="9">
        <v>7.3</v>
      </c>
    </row>
    <row r="3429" ht="15.75" customHeight="1">
      <c r="A3429" s="21" t="s">
        <v>320</v>
      </c>
      <c r="B3429" s="8" t="str">
        <f>IFERROR(__xludf.DUMMYFUNCTION("REGEXREPLACE(A3429, ""[^0-9a-zA-Z .'Ã]"","""")"),"Andrew Fleming")</f>
        <v>Andrew Fleming</v>
      </c>
      <c r="C3429" s="22">
        <v>93.0</v>
      </c>
      <c r="D3429" s="23">
        <v>2.5584685E7</v>
      </c>
      <c r="E3429" s="22" t="s">
        <v>10670</v>
      </c>
      <c r="F3429" s="9">
        <f t="shared" si="1"/>
        <v>6</v>
      </c>
      <c r="G3429" s="22" t="s">
        <v>10671</v>
      </c>
      <c r="H3429" s="11" t="str">
        <f>IFERROR(__xludf.DUMMYFUNCTION("REGEXREPLACE(G3429, ""[^0-9a-zA-Z .'Ã]"","""")"),"Kay Panabaker")</f>
        <v>Kay Panabaker</v>
      </c>
      <c r="I3429" s="24" t="s">
        <v>10672</v>
      </c>
      <c r="J3429" s="22">
        <v>15877.0</v>
      </c>
      <c r="K3429" s="22" t="s">
        <v>10673</v>
      </c>
      <c r="L3429" s="22">
        <v>102.0</v>
      </c>
      <c r="M3429" s="22" t="s">
        <v>24</v>
      </c>
      <c r="N3429" s="22" t="s">
        <v>25</v>
      </c>
      <c r="O3429" s="23">
        <v>2.0E7</v>
      </c>
      <c r="P3429" s="10">
        <f t="shared" si="2"/>
        <v>5584685</v>
      </c>
      <c r="Q3429" s="12">
        <f t="shared" si="3"/>
        <v>0</v>
      </c>
      <c r="R3429" s="22">
        <v>2007.0</v>
      </c>
      <c r="S3429" s="22">
        <v>5.9</v>
      </c>
    </row>
    <row r="3430" ht="15.75" customHeight="1">
      <c r="A3430" s="21" t="s">
        <v>10674</v>
      </c>
      <c r="B3430" s="8" t="str">
        <f>IFERROR(__xludf.DUMMYFUNCTION("REGEXREPLACE(A3430, ""[^0-9a-zA-Z .'Ã]"","""")"),"Aaron Schneider")</f>
        <v>Aaron Schneider</v>
      </c>
      <c r="C3430" s="22">
        <v>160.0</v>
      </c>
      <c r="D3430" s="23">
        <v>9176553.0</v>
      </c>
      <c r="E3430" s="22" t="s">
        <v>79</v>
      </c>
      <c r="F3430" s="9">
        <f t="shared" si="1"/>
        <v>2</v>
      </c>
      <c r="G3430" s="22" t="s">
        <v>470</v>
      </c>
      <c r="H3430" s="11" t="str">
        <f>IFERROR(__xludf.DUMMYFUNCTION("REGEXREPLACE(G3430, ""[^0-9a-zA-Z .'Ã]"","""")"),"Bill Murray")</f>
        <v>Bill Murray</v>
      </c>
      <c r="I3430" s="24" t="s">
        <v>10675</v>
      </c>
      <c r="J3430" s="22">
        <v>19147.0</v>
      </c>
      <c r="K3430" s="22" t="s">
        <v>10676</v>
      </c>
      <c r="L3430" s="22">
        <v>97.0</v>
      </c>
      <c r="M3430" s="22" t="s">
        <v>24</v>
      </c>
      <c r="N3430" s="22" t="s">
        <v>25</v>
      </c>
      <c r="O3430" s="23">
        <v>7500000.0</v>
      </c>
      <c r="P3430" s="10">
        <f t="shared" si="2"/>
        <v>1676553</v>
      </c>
      <c r="Q3430" s="12">
        <f t="shared" si="3"/>
        <v>0</v>
      </c>
      <c r="R3430" s="22">
        <v>2009.0</v>
      </c>
      <c r="S3430" s="22">
        <v>7.1</v>
      </c>
    </row>
    <row r="3431" ht="15.75" customHeight="1">
      <c r="A3431" s="7" t="s">
        <v>10677</v>
      </c>
      <c r="B3431" s="8" t="str">
        <f>IFERROR(__xludf.DUMMYFUNCTION("REGEXREPLACE(A3431, ""[^0-9a-zA-Z .'Ã]"","""")"),"Vincent Ward")</f>
        <v>Vincent Ward</v>
      </c>
      <c r="C3431" s="9">
        <v>121.0</v>
      </c>
      <c r="D3431" s="10">
        <v>5.5350897E7</v>
      </c>
      <c r="E3431" s="9" t="s">
        <v>3253</v>
      </c>
      <c r="F3431" s="9">
        <f t="shared" si="1"/>
        <v>3</v>
      </c>
      <c r="G3431" s="9" t="s">
        <v>673</v>
      </c>
      <c r="H3431" s="11" t="str">
        <f>IFERROR(__xludf.DUMMYFUNCTION("REGEXREPLACE(G3431, ""[^0-9a-zA-Z .'Ã]"","""")"),"Robin Williams")</f>
        <v>Robin Williams</v>
      </c>
      <c r="I3431" s="11" t="s">
        <v>10678</v>
      </c>
      <c r="J3431" s="9">
        <v>83560.0</v>
      </c>
      <c r="K3431" s="9" t="s">
        <v>10679</v>
      </c>
      <c r="L3431" s="9">
        <v>619.0</v>
      </c>
      <c r="M3431" s="9" t="s">
        <v>24</v>
      </c>
      <c r="N3431" s="9" t="s">
        <v>25</v>
      </c>
      <c r="O3431" s="10">
        <v>8.5E7</v>
      </c>
      <c r="P3431" s="10">
        <f t="shared" si="2"/>
        <v>0</v>
      </c>
      <c r="Q3431" s="12">
        <f t="shared" si="3"/>
        <v>29649103</v>
      </c>
      <c r="R3431" s="9">
        <v>1998.0</v>
      </c>
      <c r="S3431" s="9">
        <v>7.0</v>
      </c>
    </row>
    <row r="3432" ht="15.75" customHeight="1">
      <c r="A3432" s="25" t="s">
        <v>838</v>
      </c>
      <c r="B3432" s="8" t="str">
        <f>IFERROR(__xludf.DUMMYFUNCTION("REGEXREPLACE(A3432, ""[^0-9a-zA-Z .'Ã]"","""")"),"John Glen")</f>
        <v>John Glen</v>
      </c>
      <c r="C3432" s="26">
        <v>112.0</v>
      </c>
      <c r="D3432" s="27">
        <v>6.23E7</v>
      </c>
      <c r="E3432" s="26" t="s">
        <v>474</v>
      </c>
      <c r="F3432" s="9">
        <f t="shared" si="1"/>
        <v>3</v>
      </c>
      <c r="G3432" s="26" t="s">
        <v>10680</v>
      </c>
      <c r="H3432" s="11" t="str">
        <f>IFERROR(__xludf.DUMMYFUNCTION("REGEXREPLACE(G3432, ""[^0-9a-zA-Z .'Ã]"","""")"),"Julian Glover")</f>
        <v>Julian Glover</v>
      </c>
      <c r="I3432" s="28" t="s">
        <v>10681</v>
      </c>
      <c r="J3432" s="26">
        <v>72085.0</v>
      </c>
      <c r="K3432" s="26" t="s">
        <v>10682</v>
      </c>
      <c r="L3432" s="26">
        <v>263.0</v>
      </c>
      <c r="M3432" s="26" t="s">
        <v>24</v>
      </c>
      <c r="N3432" s="26" t="s">
        <v>130</v>
      </c>
      <c r="O3432" s="27">
        <v>2.8E7</v>
      </c>
      <c r="P3432" s="10">
        <f t="shared" si="2"/>
        <v>34300000</v>
      </c>
      <c r="Q3432" s="12">
        <f t="shared" si="3"/>
        <v>0</v>
      </c>
      <c r="R3432" s="26">
        <v>1981.0</v>
      </c>
      <c r="S3432" s="26">
        <v>6.8</v>
      </c>
    </row>
    <row r="3433" ht="15.75" customHeight="1">
      <c r="A3433" s="21" t="s">
        <v>1501</v>
      </c>
      <c r="B3433" s="8" t="str">
        <f>IFERROR(__xludf.DUMMYFUNCTION("REGEXREPLACE(A3433, ""[^0-9a-zA-Z .'Ã]"","""")"),"Rob Bowman")</f>
        <v>Rob Bowman</v>
      </c>
      <c r="C3433" s="22">
        <v>142.0</v>
      </c>
      <c r="D3433" s="23">
        <v>8.3892374E7</v>
      </c>
      <c r="E3433" s="22" t="s">
        <v>1592</v>
      </c>
      <c r="F3433" s="9">
        <f t="shared" si="1"/>
        <v>4</v>
      </c>
      <c r="G3433" s="22" t="s">
        <v>3626</v>
      </c>
      <c r="H3433" s="11" t="str">
        <f>IFERROR(__xludf.DUMMYFUNCTION("REGEXREPLACE(G3433, ""[^0-9a-zA-Z .'Ã]"","""")"),"Martin Landau")</f>
        <v>Martin Landau</v>
      </c>
      <c r="I3433" s="24" t="s">
        <v>10683</v>
      </c>
      <c r="J3433" s="22">
        <v>85720.0</v>
      </c>
      <c r="K3433" s="22" t="s">
        <v>10684</v>
      </c>
      <c r="L3433" s="22">
        <v>297.0</v>
      </c>
      <c r="M3433" s="22" t="s">
        <v>24</v>
      </c>
      <c r="N3433" s="22" t="s">
        <v>25</v>
      </c>
      <c r="O3433" s="23">
        <v>6.6E7</v>
      </c>
      <c r="P3433" s="10">
        <f t="shared" si="2"/>
        <v>17892374</v>
      </c>
      <c r="Q3433" s="12">
        <f t="shared" si="3"/>
        <v>0</v>
      </c>
      <c r="R3433" s="22">
        <v>1998.0</v>
      </c>
      <c r="S3433" s="22">
        <v>7.0</v>
      </c>
    </row>
    <row r="3434" ht="15.75" customHeight="1">
      <c r="A3434" s="25" t="s">
        <v>5249</v>
      </c>
      <c r="B3434" s="8" t="str">
        <f>IFERROR(__xludf.DUMMYFUNCTION("REGEXREPLACE(A3434, ""[^0-9a-zA-Z .'Ã]"","""")"),"Neill Blomkamp")</f>
        <v>Neill Blomkamp</v>
      </c>
      <c r="C3434" s="26">
        <v>472.0</v>
      </c>
      <c r="D3434" s="27">
        <v>1.15646235E8</v>
      </c>
      <c r="E3434" s="26" t="s">
        <v>1734</v>
      </c>
      <c r="F3434" s="9">
        <f t="shared" si="1"/>
        <v>3</v>
      </c>
      <c r="G3434" s="26" t="s">
        <v>10685</v>
      </c>
      <c r="H3434" s="11" t="str">
        <f>IFERROR(__xludf.DUMMYFUNCTION("REGEXREPLACE(G3434, ""[^0-9a-zA-Z .'Ã]"","""")"),"Sharlto Copley")</f>
        <v>Sharlto Copley</v>
      </c>
      <c r="I3434" s="28" t="s">
        <v>10686</v>
      </c>
      <c r="J3434" s="26">
        <v>531737.0</v>
      </c>
      <c r="K3434" s="26" t="s">
        <v>10687</v>
      </c>
      <c r="L3434" s="26">
        <v>1262.0</v>
      </c>
      <c r="M3434" s="26" t="s">
        <v>24</v>
      </c>
      <c r="N3434" s="26" t="s">
        <v>4319</v>
      </c>
      <c r="O3434" s="27">
        <v>3.0E7</v>
      </c>
      <c r="P3434" s="10">
        <f t="shared" si="2"/>
        <v>85646235</v>
      </c>
      <c r="Q3434" s="12">
        <f t="shared" si="3"/>
        <v>0</v>
      </c>
      <c r="R3434" s="26">
        <v>2009.0</v>
      </c>
      <c r="S3434" s="26">
        <v>8.0</v>
      </c>
    </row>
    <row r="3435" ht="15.75" customHeight="1">
      <c r="A3435" s="17" t="s">
        <v>68</v>
      </c>
      <c r="B3435" s="8" t="str">
        <f>IFERROR(__xludf.DUMMYFUNCTION("REGEXREPLACE(A3435, ""[^0-9a-zA-Z .'Ã]"","""")"),"Spike Lee")</f>
        <v>Spike Lee</v>
      </c>
      <c r="C3435" s="18">
        <v>57.0</v>
      </c>
      <c r="D3435" s="19">
        <v>2185266.0</v>
      </c>
      <c r="E3435" s="18" t="s">
        <v>462</v>
      </c>
      <c r="F3435" s="9">
        <f t="shared" si="1"/>
        <v>3</v>
      </c>
      <c r="G3435" s="18" t="s">
        <v>10688</v>
      </c>
      <c r="H3435" s="11" t="str">
        <f>IFERROR(__xludf.DUMMYFUNCTION("REGEXREPLACE(G3435, ""[^0-9a-zA-Z .'Ã]"","""")"),"Gillian White")</f>
        <v>Gillian White</v>
      </c>
      <c r="I3435" s="20" t="s">
        <v>10689</v>
      </c>
      <c r="J3435" s="18">
        <v>8720.0</v>
      </c>
      <c r="K3435" s="18" t="s">
        <v>10690</v>
      </c>
      <c r="L3435" s="18">
        <v>186.0</v>
      </c>
      <c r="M3435" s="18" t="s">
        <v>24</v>
      </c>
      <c r="N3435" s="18" t="s">
        <v>25</v>
      </c>
      <c r="O3435" s="19">
        <v>1.0E7</v>
      </c>
      <c r="P3435" s="10">
        <f t="shared" si="2"/>
        <v>0</v>
      </c>
      <c r="Q3435" s="12">
        <f t="shared" si="3"/>
        <v>7814734</v>
      </c>
      <c r="R3435" s="18">
        <v>2000.0</v>
      </c>
      <c r="S3435" s="18">
        <v>6.5</v>
      </c>
    </row>
    <row r="3436" ht="15.75" customHeight="1">
      <c r="A3436" s="7" t="s">
        <v>1716</v>
      </c>
      <c r="B3436" s="8" t="str">
        <f>IFERROR(__xludf.DUMMYFUNCTION("REGEXREPLACE(A3436, ""[^0-9a-zA-Z .'Ã]"","""")"),"Roger Michell")</f>
        <v>Roger Michell</v>
      </c>
      <c r="C3436" s="9">
        <v>150.0</v>
      </c>
      <c r="D3436" s="10">
        <v>1.1600608E8</v>
      </c>
      <c r="E3436" s="9" t="s">
        <v>159</v>
      </c>
      <c r="F3436" s="9">
        <f t="shared" si="1"/>
        <v>3</v>
      </c>
      <c r="G3436" s="9" t="s">
        <v>533</v>
      </c>
      <c r="H3436" s="11" t="str">
        <f>IFERROR(__xludf.DUMMYFUNCTION("REGEXREPLACE(G3436, ""[^0-9a-zA-Z .'Ã]"","""")"),"Julia Roberts")</f>
        <v>Julia Roberts</v>
      </c>
      <c r="I3436" s="11" t="s">
        <v>10691</v>
      </c>
      <c r="J3436" s="9">
        <v>203269.0</v>
      </c>
      <c r="K3436" s="9" t="s">
        <v>10692</v>
      </c>
      <c r="L3436" s="9">
        <v>602.0</v>
      </c>
      <c r="M3436" s="9" t="s">
        <v>24</v>
      </c>
      <c r="N3436" s="9" t="s">
        <v>130</v>
      </c>
      <c r="O3436" s="10">
        <v>4.2E7</v>
      </c>
      <c r="P3436" s="10">
        <f t="shared" si="2"/>
        <v>74006080</v>
      </c>
      <c r="Q3436" s="12">
        <f t="shared" si="3"/>
        <v>0</v>
      </c>
      <c r="R3436" s="9">
        <v>1999.0</v>
      </c>
      <c r="S3436" s="9">
        <v>7.0</v>
      </c>
    </row>
    <row r="3437" ht="15.75" customHeight="1">
      <c r="A3437" s="7" t="s">
        <v>5342</v>
      </c>
      <c r="B3437" s="8" t="str">
        <f>IFERROR(__xludf.DUMMYFUNCTION("REGEXREPLACE(A3437, ""[^0-9a-zA-Z -.'Ã]"","""")"),"Alejandro AmenÃbar")</f>
        <v>Alejandro AmenÃbar</v>
      </c>
      <c r="C3437" s="9">
        <v>239.0</v>
      </c>
      <c r="D3437" s="10">
        <v>9.6471845E7</v>
      </c>
      <c r="E3437" s="9" t="s">
        <v>955</v>
      </c>
      <c r="F3437" s="9">
        <f t="shared" si="1"/>
        <v>3</v>
      </c>
      <c r="G3437" s="9" t="s">
        <v>10693</v>
      </c>
      <c r="H3437" s="11" t="str">
        <f>IFERROR(__xludf.DUMMYFUNCTION("REGEXREPLACE(G3437, ""[^0-9a-zA-Z .'Ã]"","""")"),"Fionnula Flanagan")</f>
        <v>Fionnula Flanagan</v>
      </c>
      <c r="I3437" s="11" t="s">
        <v>10694</v>
      </c>
      <c r="J3437" s="9">
        <v>268581.0</v>
      </c>
      <c r="K3437" s="9" t="s">
        <v>10695</v>
      </c>
      <c r="L3437" s="9">
        <v>1109.0</v>
      </c>
      <c r="M3437" s="9" t="s">
        <v>24</v>
      </c>
      <c r="N3437" s="9" t="s">
        <v>25</v>
      </c>
      <c r="O3437" s="10">
        <v>1.7E7</v>
      </c>
      <c r="P3437" s="10">
        <f t="shared" si="2"/>
        <v>79471845</v>
      </c>
      <c r="Q3437" s="12">
        <f t="shared" si="3"/>
        <v>0</v>
      </c>
      <c r="R3437" s="9">
        <v>2001.0</v>
      </c>
      <c r="S3437" s="9">
        <v>7.6</v>
      </c>
    </row>
    <row r="3438" ht="15.75" customHeight="1">
      <c r="A3438" s="25" t="s">
        <v>10696</v>
      </c>
      <c r="B3438" s="8" t="str">
        <f>IFERROR(__xludf.DUMMYFUNCTION("REGEXREPLACE(A3438, ""[^0-9a-zA-Z .'Ã]"","""")"),"Susan Stroman")</f>
        <v>Susan Stroman</v>
      </c>
      <c r="C3438" s="26">
        <v>168.0</v>
      </c>
      <c r="D3438" s="27">
        <v>1.9377727E7</v>
      </c>
      <c r="E3438" s="26" t="s">
        <v>2468</v>
      </c>
      <c r="F3438" s="9">
        <f t="shared" si="1"/>
        <v>2</v>
      </c>
      <c r="G3438" s="26" t="s">
        <v>1749</v>
      </c>
      <c r="H3438" s="11" t="str">
        <f>IFERROR(__xludf.DUMMYFUNCTION("REGEXREPLACE(G3438, ""[^0-9a-zA-Z .'Ã]"","""")"),"Jon Lovitz")</f>
        <v>Jon Lovitz</v>
      </c>
      <c r="I3438" s="28" t="s">
        <v>10697</v>
      </c>
      <c r="J3438" s="26">
        <v>35140.0</v>
      </c>
      <c r="K3438" s="26" t="s">
        <v>10698</v>
      </c>
      <c r="L3438" s="26">
        <v>409.0</v>
      </c>
      <c r="M3438" s="26" t="s">
        <v>24</v>
      </c>
      <c r="N3438" s="26" t="s">
        <v>25</v>
      </c>
      <c r="O3438" s="27">
        <v>4.5E7</v>
      </c>
      <c r="P3438" s="10">
        <f t="shared" si="2"/>
        <v>0</v>
      </c>
      <c r="Q3438" s="12">
        <f t="shared" si="3"/>
        <v>25622273</v>
      </c>
      <c r="R3438" s="26">
        <v>2005.0</v>
      </c>
      <c r="S3438" s="26">
        <v>6.4</v>
      </c>
    </row>
    <row r="3439" ht="15.75" customHeight="1">
      <c r="A3439" s="21" t="s">
        <v>2623</v>
      </c>
      <c r="B3439" s="8" t="str">
        <f>IFERROR(__xludf.DUMMYFUNCTION("REGEXREPLACE(A3439, ""[^0-9a-zA-Z .'Ã]"","""")"),"Alex Proyas")</f>
        <v>Alex Proyas</v>
      </c>
      <c r="C3439" s="22">
        <v>222.0</v>
      </c>
      <c r="D3439" s="23">
        <v>1.4337579E7</v>
      </c>
      <c r="E3439" s="22" t="s">
        <v>10699</v>
      </c>
      <c r="F3439" s="9">
        <f t="shared" si="1"/>
        <v>6</v>
      </c>
      <c r="G3439" s="22" t="s">
        <v>7687</v>
      </c>
      <c r="H3439" s="11" t="str">
        <f>IFERROR(__xludf.DUMMYFUNCTION("REGEXREPLACE(G3439, ""[^0-9a-zA-Z .'Ã]"","""")"),"Rufus Sewell")</f>
        <v>Rufus Sewell</v>
      </c>
      <c r="I3439" s="24" t="s">
        <v>10700</v>
      </c>
      <c r="J3439" s="22">
        <v>156929.0</v>
      </c>
      <c r="K3439" s="22" t="s">
        <v>10701</v>
      </c>
      <c r="L3439" s="22">
        <v>624.0</v>
      </c>
      <c r="M3439" s="22" t="s">
        <v>24</v>
      </c>
      <c r="N3439" s="22" t="s">
        <v>146</v>
      </c>
      <c r="O3439" s="23">
        <v>2.7E7</v>
      </c>
      <c r="P3439" s="10">
        <f t="shared" si="2"/>
        <v>0</v>
      </c>
      <c r="Q3439" s="12">
        <f t="shared" si="3"/>
        <v>12662421</v>
      </c>
      <c r="R3439" s="22">
        <v>1998.0</v>
      </c>
      <c r="S3439" s="22">
        <v>7.7</v>
      </c>
    </row>
    <row r="3440" ht="15.75" customHeight="1">
      <c r="A3440" s="25" t="s">
        <v>692</v>
      </c>
      <c r="B3440" s="8" t="str">
        <f>IFERROR(__xludf.DUMMYFUNCTION("REGEXREPLACE(A3440, ""[^0-9a-zA-Z .'Ã]"","""")"),"Peter Segal")</f>
        <v>Peter Segal</v>
      </c>
      <c r="C3440" s="26">
        <v>211.0</v>
      </c>
      <c r="D3440" s="27">
        <v>2.9802761E7</v>
      </c>
      <c r="E3440" s="26" t="s">
        <v>3398</v>
      </c>
      <c r="F3440" s="9">
        <f t="shared" si="1"/>
        <v>2</v>
      </c>
      <c r="G3440" s="26" t="s">
        <v>883</v>
      </c>
      <c r="H3440" s="11" t="str">
        <f>IFERROR(__xludf.DUMMYFUNCTION("REGEXREPLACE(G3440, ""[^0-9a-zA-Z .'Ã]"","""")"),"Robert De Niro")</f>
        <v>Robert De Niro</v>
      </c>
      <c r="I3440" s="28" t="s">
        <v>10702</v>
      </c>
      <c r="J3440" s="26">
        <v>46480.0</v>
      </c>
      <c r="K3440" s="26" t="s">
        <v>10703</v>
      </c>
      <c r="L3440" s="26">
        <v>115.0</v>
      </c>
      <c r="M3440" s="26" t="s">
        <v>24</v>
      </c>
      <c r="N3440" s="26" t="s">
        <v>25</v>
      </c>
      <c r="O3440" s="27">
        <v>4.0E7</v>
      </c>
      <c r="P3440" s="10">
        <f t="shared" si="2"/>
        <v>0</v>
      </c>
      <c r="Q3440" s="12">
        <f t="shared" si="3"/>
        <v>10197239</v>
      </c>
      <c r="R3440" s="26">
        <v>2013.0</v>
      </c>
      <c r="S3440" s="26">
        <v>6.4</v>
      </c>
    </row>
    <row r="3441" ht="15.75" customHeight="1">
      <c r="A3441" s="17" t="s">
        <v>1796</v>
      </c>
      <c r="B3441" s="8" t="str">
        <f>IFERROR(__xludf.DUMMYFUNCTION("REGEXREPLACE(A3441, ""[^0-9a-zA-Z .'Ã]"","""")"),"Harold Ramis")</f>
        <v>Harold Ramis</v>
      </c>
      <c r="C3441" s="18">
        <v>105.0</v>
      </c>
      <c r="D3441" s="19">
        <v>3.2122249E7</v>
      </c>
      <c r="E3441" s="18" t="s">
        <v>440</v>
      </c>
      <c r="F3441" s="9">
        <f t="shared" si="1"/>
        <v>2</v>
      </c>
      <c r="G3441" s="18" t="s">
        <v>883</v>
      </c>
      <c r="H3441" s="11" t="str">
        <f>IFERROR(__xludf.DUMMYFUNCTION("REGEXREPLACE(G3441, ""[^0-9a-zA-Z .'Ã]"","""")"),"Robert De Niro")</f>
        <v>Robert De Niro</v>
      </c>
      <c r="I3441" s="20" t="s">
        <v>10704</v>
      </c>
      <c r="J3441" s="18">
        <v>69319.0</v>
      </c>
      <c r="K3441" s="18" t="s">
        <v>10705</v>
      </c>
      <c r="L3441" s="18">
        <v>138.0</v>
      </c>
      <c r="M3441" s="18" t="s">
        <v>24</v>
      </c>
      <c r="N3441" s="18" t="s">
        <v>25</v>
      </c>
      <c r="O3441" s="19">
        <v>6.0E7</v>
      </c>
      <c r="P3441" s="10">
        <f t="shared" si="2"/>
        <v>0</v>
      </c>
      <c r="Q3441" s="12">
        <f t="shared" si="3"/>
        <v>27877751</v>
      </c>
      <c r="R3441" s="18">
        <v>2002.0</v>
      </c>
      <c r="S3441" s="18">
        <v>5.9</v>
      </c>
    </row>
    <row r="3442" ht="15.75" customHeight="1">
      <c r="A3442" s="7" t="s">
        <v>697</v>
      </c>
      <c r="B3442" s="8" t="str">
        <f>IFERROR(__xludf.DUMMYFUNCTION("REGEXREPLACE(A3442, ""[^0-9a-zA-Z .'Ã]"","""")"),"William Friedkin")</f>
        <v>William Friedkin</v>
      </c>
      <c r="C3442" s="9">
        <v>304.0</v>
      </c>
      <c r="D3442" s="10">
        <v>2.04565E8</v>
      </c>
      <c r="E3442" s="9" t="s">
        <v>148</v>
      </c>
      <c r="F3442" s="9">
        <f t="shared" si="1"/>
        <v>1</v>
      </c>
      <c r="G3442" s="9" t="s">
        <v>133</v>
      </c>
      <c r="H3442" s="11" t="str">
        <f>IFERROR(__xludf.DUMMYFUNCTION("REGEXREPLACE(G3442, ""[^0-9a-zA-Z .'Ã]"","""")"),"Ellen Burstyn")</f>
        <v>Ellen Burstyn</v>
      </c>
      <c r="I3442" s="11" t="s">
        <v>10706</v>
      </c>
      <c r="J3442" s="9">
        <v>284252.0</v>
      </c>
      <c r="K3442" s="9" t="s">
        <v>10707</v>
      </c>
      <c r="L3442" s="9">
        <v>1058.0</v>
      </c>
      <c r="M3442" s="9" t="s">
        <v>24</v>
      </c>
      <c r="N3442" s="9" t="s">
        <v>25</v>
      </c>
      <c r="O3442" s="10">
        <v>8000000.0</v>
      </c>
      <c r="P3442" s="10">
        <f t="shared" si="2"/>
        <v>196565000</v>
      </c>
      <c r="Q3442" s="12">
        <f t="shared" si="3"/>
        <v>0</v>
      </c>
      <c r="R3442" s="9">
        <v>1973.0</v>
      </c>
      <c r="S3442" s="9">
        <v>8.0</v>
      </c>
    </row>
    <row r="3443" ht="15.75" customHeight="1">
      <c r="A3443" s="13" t="s">
        <v>2715</v>
      </c>
      <c r="B3443" s="8" t="str">
        <f>IFERROR(__xludf.DUMMYFUNCTION("REGEXREPLACE(A3443, ""[^0-9a-zA-Z .'Ã]"","""")"),"Barry Sonnenfeld")</f>
        <v>Barry Sonnenfeld</v>
      </c>
      <c r="C3443" s="14">
        <v>85.0</v>
      </c>
      <c r="D3443" s="15">
        <v>1.13745408E8</v>
      </c>
      <c r="E3443" s="14" t="s">
        <v>10708</v>
      </c>
      <c r="F3443" s="9">
        <f t="shared" si="1"/>
        <v>4</v>
      </c>
      <c r="G3443" s="14" t="s">
        <v>2717</v>
      </c>
      <c r="H3443" s="11" t="str">
        <f>IFERROR(__xludf.DUMMYFUNCTION("REGEXREPLACE(G3443, ""[^0-9a-zA-Z .'Ã]"","""")"),"Will Smith")</f>
        <v>Will Smith</v>
      </c>
      <c r="I3443" s="16" t="s">
        <v>10709</v>
      </c>
      <c r="J3443" s="14">
        <v>129601.0</v>
      </c>
      <c r="K3443" s="14" t="s">
        <v>10710</v>
      </c>
      <c r="L3443" s="14">
        <v>648.0</v>
      </c>
      <c r="M3443" s="14" t="s">
        <v>24</v>
      </c>
      <c r="N3443" s="14" t="s">
        <v>25</v>
      </c>
      <c r="O3443" s="15">
        <v>1.7E8</v>
      </c>
      <c r="P3443" s="10">
        <f t="shared" si="2"/>
        <v>0</v>
      </c>
      <c r="Q3443" s="12">
        <f t="shared" si="3"/>
        <v>56254592</v>
      </c>
      <c r="R3443" s="14">
        <v>1999.0</v>
      </c>
      <c r="S3443" s="14">
        <v>4.8</v>
      </c>
    </row>
    <row r="3444" ht="15.75" customHeight="1">
      <c r="A3444" s="7" t="s">
        <v>5577</v>
      </c>
      <c r="B3444" s="8" t="str">
        <f>IFERROR(__xludf.DUMMYFUNCTION("REGEXREPLACE(A3444, ""[^0-9a-zA-Z .'Ã]"","""")"),"Jeff Wadlow")</f>
        <v>Jeff Wadlow</v>
      </c>
      <c r="C3444" s="9">
        <v>137.0</v>
      </c>
      <c r="D3444" s="10">
        <v>1.0042266E7</v>
      </c>
      <c r="E3444" s="9" t="s">
        <v>2384</v>
      </c>
      <c r="F3444" s="9">
        <f t="shared" si="1"/>
        <v>4</v>
      </c>
      <c r="G3444" s="9" t="s">
        <v>3481</v>
      </c>
      <c r="H3444" s="11" t="str">
        <f>IFERROR(__xludf.DUMMYFUNCTION("REGEXREPLACE(G3444, ""[^0-9a-zA-Z .'Ã]"","""")"),"Julian Morris")</f>
        <v>Julian Morris</v>
      </c>
      <c r="I3444" s="11" t="s">
        <v>10711</v>
      </c>
      <c r="J3444" s="9">
        <v>23021.0</v>
      </c>
      <c r="K3444" s="9" t="s">
        <v>10712</v>
      </c>
      <c r="L3444" s="9">
        <v>220.0</v>
      </c>
      <c r="M3444" s="9" t="s">
        <v>24</v>
      </c>
      <c r="N3444" s="9" t="s">
        <v>25</v>
      </c>
      <c r="O3444" s="10">
        <v>1000000.0</v>
      </c>
      <c r="P3444" s="10">
        <f t="shared" si="2"/>
        <v>9042266</v>
      </c>
      <c r="Q3444" s="12">
        <f t="shared" si="3"/>
        <v>0</v>
      </c>
      <c r="R3444" s="9">
        <v>2005.0</v>
      </c>
      <c r="S3444" s="9">
        <v>5.9</v>
      </c>
    </row>
    <row r="3445" ht="15.75" customHeight="1">
      <c r="A3445" s="21" t="s">
        <v>959</v>
      </c>
      <c r="B3445" s="8" t="str">
        <f>IFERROR(__xludf.DUMMYFUNCTION("REGEXREPLACE(A3445, ""[^0-9a-zA-Z .'Ã]"","""")"),"Oliver Stone")</f>
        <v>Oliver Stone</v>
      </c>
      <c r="C3445" s="22">
        <v>242.0</v>
      </c>
      <c r="D3445" s="23">
        <v>2.55175E7</v>
      </c>
      <c r="E3445" s="22" t="s">
        <v>620</v>
      </c>
      <c r="F3445" s="9">
        <f t="shared" si="1"/>
        <v>3</v>
      </c>
      <c r="G3445" s="22" t="s">
        <v>6867</v>
      </c>
      <c r="H3445" s="11" t="str">
        <f>IFERROR(__xludf.DUMMYFUNCTION("REGEXREPLACE(G3445, ""[^0-9a-zA-Z .'Ã]"","""")"),"Toby Jones")</f>
        <v>Toby Jones</v>
      </c>
      <c r="I3445" s="24" t="s">
        <v>10713</v>
      </c>
      <c r="J3445" s="22">
        <v>40941.0</v>
      </c>
      <c r="K3445" s="22" t="s">
        <v>10714</v>
      </c>
      <c r="L3445" s="22">
        <v>320.0</v>
      </c>
      <c r="M3445" s="22" t="s">
        <v>24</v>
      </c>
      <c r="N3445" s="22" t="s">
        <v>25</v>
      </c>
      <c r="O3445" s="23">
        <v>2.51E7</v>
      </c>
      <c r="P3445" s="10">
        <f t="shared" si="2"/>
        <v>417500</v>
      </c>
      <c r="Q3445" s="12">
        <f t="shared" si="3"/>
        <v>0</v>
      </c>
      <c r="R3445" s="22">
        <v>2008.0</v>
      </c>
      <c r="S3445" s="22">
        <v>6.4</v>
      </c>
    </row>
    <row r="3446" ht="15.75" customHeight="1">
      <c r="A3446" s="25" t="s">
        <v>1805</v>
      </c>
      <c r="B3446" s="8" t="str">
        <f>IFERROR(__xludf.DUMMYFUNCTION("REGEXREPLACE(A3446, ""[^0-9a-zA-Z .'Ã]"","""")"),"Mike Newell")</f>
        <v>Mike Newell</v>
      </c>
      <c r="C3446" s="26">
        <v>295.0</v>
      </c>
      <c r="D3446" s="27">
        <v>2.89994397E8</v>
      </c>
      <c r="E3446" s="26" t="s">
        <v>1022</v>
      </c>
      <c r="F3446" s="9">
        <f t="shared" si="1"/>
        <v>4</v>
      </c>
      <c r="G3446" s="26" t="s">
        <v>261</v>
      </c>
      <c r="H3446" s="11" t="str">
        <f>IFERROR(__xludf.DUMMYFUNCTION("REGEXREPLACE(G3446, ""[^0-9a-zA-Z .'Ã]"","""")"),"Robert Pattinson")</f>
        <v>Robert Pattinson</v>
      </c>
      <c r="I3446" s="28" t="s">
        <v>10715</v>
      </c>
      <c r="J3446" s="26">
        <v>385670.0</v>
      </c>
      <c r="K3446" s="26" t="s">
        <v>10716</v>
      </c>
      <c r="L3446" s="26">
        <v>1896.0</v>
      </c>
      <c r="M3446" s="26" t="s">
        <v>24</v>
      </c>
      <c r="N3446" s="26" t="s">
        <v>130</v>
      </c>
      <c r="O3446" s="27">
        <v>1.5E8</v>
      </c>
      <c r="P3446" s="10">
        <f t="shared" si="2"/>
        <v>139994397</v>
      </c>
      <c r="Q3446" s="12">
        <f t="shared" si="3"/>
        <v>0</v>
      </c>
      <c r="R3446" s="26">
        <v>2005.0</v>
      </c>
      <c r="S3446" s="26">
        <v>7.6</v>
      </c>
    </row>
    <row r="3447" ht="15.75" customHeight="1">
      <c r="A3447" s="17" t="s">
        <v>10717</v>
      </c>
      <c r="B3447" s="8" t="str">
        <f>IFERROR(__xludf.DUMMYFUNCTION("REGEXREPLACE(A3447, ""[^0-9a-zA-Z .'Ã]"","""")"),"Steve Barron")</f>
        <v>Steve Barron</v>
      </c>
      <c r="C3447" s="18">
        <v>19.0</v>
      </c>
      <c r="D3447" s="19">
        <v>1.5091542E7</v>
      </c>
      <c r="E3447" s="18" t="s">
        <v>2895</v>
      </c>
      <c r="F3447" s="9">
        <f t="shared" si="1"/>
        <v>4</v>
      </c>
      <c r="G3447" s="18" t="s">
        <v>3626</v>
      </c>
      <c r="H3447" s="11" t="str">
        <f>IFERROR(__xludf.DUMMYFUNCTION("REGEXREPLACE(G3447, ""[^0-9a-zA-Z .'Ã]"","""")"),"Martin Landau")</f>
        <v>Martin Landau</v>
      </c>
      <c r="I3447" s="20" t="s">
        <v>10718</v>
      </c>
      <c r="J3447" s="18">
        <v>4086.0</v>
      </c>
      <c r="K3447" s="18" t="s">
        <v>10719</v>
      </c>
      <c r="L3447" s="18">
        <v>22.0</v>
      </c>
      <c r="M3447" s="18" t="s">
        <v>41</v>
      </c>
      <c r="N3447" s="18" t="s">
        <v>130</v>
      </c>
      <c r="O3447" s="19">
        <v>2.5E7</v>
      </c>
      <c r="P3447" s="10">
        <f t="shared" si="2"/>
        <v>0</v>
      </c>
      <c r="Q3447" s="12">
        <f t="shared" si="3"/>
        <v>9908458</v>
      </c>
      <c r="R3447" s="18">
        <v>1996.0</v>
      </c>
      <c r="S3447" s="18">
        <v>5.3</v>
      </c>
    </row>
    <row r="3448" ht="15.75" customHeight="1">
      <c r="A3448" s="7" t="s">
        <v>255</v>
      </c>
      <c r="B3448" s="8" t="str">
        <f>IFERROR(__xludf.DUMMYFUNCTION("REGEXREPLACE(A3448, ""[^0-9a-zA-Z .'Ã]"","""")"),"Eric Darnell")</f>
        <v>Eric Darnell</v>
      </c>
      <c r="C3448" s="9">
        <v>181.0</v>
      </c>
      <c r="D3448" s="10">
        <v>1.93136719E8</v>
      </c>
      <c r="E3448" s="9" t="s">
        <v>1813</v>
      </c>
      <c r="F3448" s="9">
        <f t="shared" si="1"/>
        <v>4</v>
      </c>
      <c r="G3448" s="9" t="s">
        <v>266</v>
      </c>
      <c r="H3448" s="11" t="str">
        <f>IFERROR(__xludf.DUMMYFUNCTION("REGEXREPLACE(G3448, ""[^0-9a-zA-Z .'Ã]"","""")"),"Jada Pinkett Smith")</f>
        <v>Jada Pinkett Smith</v>
      </c>
      <c r="I3448" s="11" t="s">
        <v>10720</v>
      </c>
      <c r="J3448" s="9">
        <v>266636.0</v>
      </c>
      <c r="K3448" s="9" t="s">
        <v>10721</v>
      </c>
      <c r="L3448" s="9">
        <v>385.0</v>
      </c>
      <c r="M3448" s="9" t="s">
        <v>24</v>
      </c>
      <c r="N3448" s="9" t="s">
        <v>25</v>
      </c>
      <c r="O3448" s="10">
        <v>7.5E7</v>
      </c>
      <c r="P3448" s="10">
        <f t="shared" si="2"/>
        <v>118136719</v>
      </c>
      <c r="Q3448" s="12">
        <f t="shared" si="3"/>
        <v>0</v>
      </c>
      <c r="R3448" s="9">
        <v>2005.0</v>
      </c>
      <c r="S3448" s="9">
        <v>6.9</v>
      </c>
    </row>
    <row r="3449" ht="15.75" customHeight="1">
      <c r="A3449" s="7" t="s">
        <v>10722</v>
      </c>
      <c r="B3449" s="8" t="str">
        <f>IFERROR(__xludf.DUMMYFUNCTION("REGEXREPLACE(A3449, ""[^0-9a-zA-Z .'Ã]"","""")"),"Joshua Oppenheimer")</f>
        <v>Joshua Oppenheimer</v>
      </c>
      <c r="C3449" s="9">
        <v>248.0</v>
      </c>
      <c r="D3449" s="10">
        <v>484221.0</v>
      </c>
      <c r="E3449" s="9" t="s">
        <v>10723</v>
      </c>
      <c r="F3449" s="9">
        <f t="shared" si="1"/>
        <v>4</v>
      </c>
      <c r="G3449" s="9" t="s">
        <v>10724</v>
      </c>
      <c r="H3449" s="11" t="str">
        <f>IFERROR(__xludf.DUMMYFUNCTION("REGEXREPLACE(G3449, ""[^0-9a-zA-Z .'Ã]"","""")"),"Anwar Congo")</f>
        <v>Anwar Congo</v>
      </c>
      <c r="I3449" s="11" t="s">
        <v>10725</v>
      </c>
      <c r="J3449" s="9">
        <v>23836.0</v>
      </c>
      <c r="K3449" s="9" t="s">
        <v>10726</v>
      </c>
      <c r="L3449" s="9">
        <v>107.0</v>
      </c>
      <c r="M3449" s="9" t="s">
        <v>6345</v>
      </c>
      <c r="N3449" s="9" t="s">
        <v>130</v>
      </c>
      <c r="O3449" s="10">
        <v>1000000.0</v>
      </c>
      <c r="P3449" s="10">
        <f t="shared" si="2"/>
        <v>0</v>
      </c>
      <c r="Q3449" s="12">
        <f t="shared" si="3"/>
        <v>515779</v>
      </c>
      <c r="R3449" s="9">
        <v>2012.0</v>
      </c>
      <c r="S3449" s="9">
        <v>8.2</v>
      </c>
    </row>
    <row r="3450" ht="15.75" customHeight="1">
      <c r="A3450" s="25" t="s">
        <v>10727</v>
      </c>
      <c r="B3450" s="8" t="str">
        <f>IFERROR(__xludf.DUMMYFUNCTION("REGEXREPLACE(A3450, ""[^0-9a-zA-Z .'Ã]"","""")"),"Saul Dibb")</f>
        <v>Saul Dibb</v>
      </c>
      <c r="C3450" s="26">
        <v>194.0</v>
      </c>
      <c r="D3450" s="27">
        <v>1.3823741E7</v>
      </c>
      <c r="E3450" s="26" t="s">
        <v>69</v>
      </c>
      <c r="F3450" s="9">
        <f t="shared" si="1"/>
        <v>4</v>
      </c>
      <c r="G3450" s="26" t="s">
        <v>2478</v>
      </c>
      <c r="H3450" s="11" t="str">
        <f>IFERROR(__xludf.DUMMYFUNCTION("REGEXREPLACE(G3450, ""[^0-9a-zA-Z .'Ã]"","""")"),"Dominic Cooper")</f>
        <v>Dominic Cooper</v>
      </c>
      <c r="I3450" s="28" t="s">
        <v>10728</v>
      </c>
      <c r="J3450" s="26">
        <v>61777.0</v>
      </c>
      <c r="K3450" s="26" t="s">
        <v>10729</v>
      </c>
      <c r="L3450" s="26">
        <v>140.0</v>
      </c>
      <c r="M3450" s="26" t="s">
        <v>24</v>
      </c>
      <c r="N3450" s="26" t="s">
        <v>130</v>
      </c>
      <c r="O3450" s="27">
        <v>1.35E7</v>
      </c>
      <c r="P3450" s="10">
        <f t="shared" si="2"/>
        <v>323741</v>
      </c>
      <c r="Q3450" s="12">
        <f t="shared" si="3"/>
        <v>0</v>
      </c>
      <c r="R3450" s="26">
        <v>2008.0</v>
      </c>
      <c r="S3450" s="26">
        <v>6.9</v>
      </c>
    </row>
    <row r="3451" ht="15.75" customHeight="1">
      <c r="A3451" s="25" t="s">
        <v>10730</v>
      </c>
      <c r="B3451" s="8" t="str">
        <f>IFERROR(__xludf.DUMMYFUNCTION("REGEXREPLACE(A3451, ""[^0-9a-zA-Z .'Ã]"","""")"),"Gary Halvorson")</f>
        <v>Gary Halvorson</v>
      </c>
      <c r="C3451" s="26">
        <v>44.0</v>
      </c>
      <c r="D3451" s="27">
        <v>1.1634458E7</v>
      </c>
      <c r="E3451" s="26" t="s">
        <v>10731</v>
      </c>
      <c r="F3451" s="9">
        <f t="shared" si="1"/>
        <v>5</v>
      </c>
      <c r="G3451" s="26" t="s">
        <v>1181</v>
      </c>
      <c r="H3451" s="11" t="str">
        <f>IFERROR(__xludf.DUMMYFUNCTION("REGEXREPLACE(G3451, ""[^0-9a-zA-Z .'Ã]"","""")"),"Vanessa Williams")</f>
        <v>Vanessa Williams</v>
      </c>
      <c r="I3451" s="28" t="s">
        <v>10732</v>
      </c>
      <c r="J3451" s="26">
        <v>2045.0</v>
      </c>
      <c r="K3451" s="26" t="s">
        <v>10733</v>
      </c>
      <c r="L3451" s="26">
        <v>37.0</v>
      </c>
      <c r="M3451" s="26" t="s">
        <v>24</v>
      </c>
      <c r="N3451" s="26" t="s">
        <v>25</v>
      </c>
      <c r="O3451" s="27">
        <v>1.7E7</v>
      </c>
      <c r="P3451" s="10">
        <f t="shared" si="2"/>
        <v>0</v>
      </c>
      <c r="Q3451" s="12">
        <f t="shared" si="3"/>
        <v>5365542</v>
      </c>
      <c r="R3451" s="26">
        <v>1999.0</v>
      </c>
      <c r="S3451" s="26">
        <v>5.8</v>
      </c>
    </row>
    <row r="3452" ht="15.75" customHeight="1">
      <c r="A3452" s="29" t="s">
        <v>536</v>
      </c>
      <c r="B3452" s="8" t="str">
        <f>IFERROR(__xludf.DUMMYFUNCTION("REGEXREPLACE(A3452, ""[^0-9a-zA-Z .'Ã]"","""")"),"Robert Zemeckis")</f>
        <v>Robert Zemeckis</v>
      </c>
      <c r="C3452" s="30">
        <v>159.0</v>
      </c>
      <c r="D3452" s="31">
        <v>1.00853835E8</v>
      </c>
      <c r="E3452" s="30" t="s">
        <v>1592</v>
      </c>
      <c r="F3452" s="9">
        <f t="shared" si="1"/>
        <v>4</v>
      </c>
      <c r="G3452" s="30" t="s">
        <v>80</v>
      </c>
      <c r="H3452" s="11" t="str">
        <f>IFERROR(__xludf.DUMMYFUNCTION("REGEXREPLACE(G3452, ""[^0-9a-zA-Z .'Ã]"","""")"),"Matthew McConaughey")</f>
        <v>Matthew McConaughey</v>
      </c>
      <c r="I3452" s="32" t="s">
        <v>10734</v>
      </c>
      <c r="J3452" s="30">
        <v>200556.0</v>
      </c>
      <c r="K3452" s="30" t="s">
        <v>10735</v>
      </c>
      <c r="L3452" s="30">
        <v>611.0</v>
      </c>
      <c r="M3452" s="30" t="s">
        <v>24</v>
      </c>
      <c r="N3452" s="30" t="s">
        <v>25</v>
      </c>
      <c r="O3452" s="31">
        <v>9.0E7</v>
      </c>
      <c r="P3452" s="10">
        <f t="shared" si="2"/>
        <v>10853835</v>
      </c>
      <c r="Q3452" s="12">
        <f t="shared" si="3"/>
        <v>0</v>
      </c>
      <c r="R3452" s="30">
        <v>1997.0</v>
      </c>
      <c r="S3452" s="30">
        <v>7.4</v>
      </c>
    </row>
    <row r="3453" ht="15.75" customHeight="1">
      <c r="A3453" s="17" t="s">
        <v>10736</v>
      </c>
      <c r="B3453" s="8" t="str">
        <f>IFERROR(__xludf.DUMMYFUNCTION("REGEXREPLACE(A3453, ""[^0-9a-zA-Z .'Ã]"","""")"),"Marcus Raboy")</f>
        <v>Marcus Raboy</v>
      </c>
      <c r="C3453" s="18">
        <v>26.0</v>
      </c>
      <c r="D3453" s="19">
        <v>3.2983713E7</v>
      </c>
      <c r="E3453" s="18" t="s">
        <v>454</v>
      </c>
      <c r="F3453" s="9">
        <f t="shared" si="1"/>
        <v>2</v>
      </c>
      <c r="G3453" s="18" t="s">
        <v>3155</v>
      </c>
      <c r="H3453" s="11" t="str">
        <f>IFERROR(__xludf.DUMMYFUNCTION("REGEXREPLACE(G3453, ""[^0-9a-zA-Z .'Ã]"","""")"),"John Witherspoon")</f>
        <v>John Witherspoon</v>
      </c>
      <c r="I3453" s="20" t="s">
        <v>10737</v>
      </c>
      <c r="J3453" s="18">
        <v>19284.0</v>
      </c>
      <c r="K3453" s="18" t="s">
        <v>10738</v>
      </c>
      <c r="L3453" s="18">
        <v>66.0</v>
      </c>
      <c r="M3453" s="18" t="s">
        <v>24</v>
      </c>
      <c r="N3453" s="18" t="s">
        <v>25</v>
      </c>
      <c r="O3453" s="19">
        <v>2.0E7</v>
      </c>
      <c r="P3453" s="10">
        <f t="shared" si="2"/>
        <v>12983713</v>
      </c>
      <c r="Q3453" s="12">
        <f t="shared" si="3"/>
        <v>0</v>
      </c>
      <c r="R3453" s="18">
        <v>2002.0</v>
      </c>
      <c r="S3453" s="18">
        <v>5.8</v>
      </c>
    </row>
    <row r="3454" ht="15.75" customHeight="1">
      <c r="A3454" s="7" t="s">
        <v>10739</v>
      </c>
      <c r="B3454" s="8" t="str">
        <f>IFERROR(__xludf.DUMMYFUNCTION("REGEXREPLACE(A3454, ""[^0-9a-zA-Z -.'Ã]"","""")"),"Rodrigo GarcÃa")</f>
        <v>Rodrigo GarcÃa</v>
      </c>
      <c r="C3454" s="9">
        <v>222.0</v>
      </c>
      <c r="D3454" s="10">
        <v>3014541.0</v>
      </c>
      <c r="E3454" s="9" t="s">
        <v>103</v>
      </c>
      <c r="F3454" s="9">
        <f t="shared" si="1"/>
        <v>1</v>
      </c>
      <c r="G3454" s="9" t="s">
        <v>7898</v>
      </c>
      <c r="H3454" s="11" t="str">
        <f>IFERROR(__xludf.DUMMYFUNCTION("REGEXREPLACE(G3454, ""[^0-9a-zA-Z .'Ã]"","""")"),"Mia Wasikowska")</f>
        <v>Mia Wasikowska</v>
      </c>
      <c r="I3454" s="11" t="s">
        <v>10740</v>
      </c>
      <c r="J3454" s="9">
        <v>19616.0</v>
      </c>
      <c r="K3454" s="9" t="s">
        <v>10741</v>
      </c>
      <c r="L3454" s="9">
        <v>98.0</v>
      </c>
      <c r="M3454" s="9" t="s">
        <v>24</v>
      </c>
      <c r="N3454" s="9" t="s">
        <v>130</v>
      </c>
      <c r="O3454" s="10">
        <v>8000000.0</v>
      </c>
      <c r="P3454" s="10">
        <f t="shared" si="2"/>
        <v>0</v>
      </c>
      <c r="Q3454" s="12">
        <f t="shared" si="3"/>
        <v>4985459</v>
      </c>
      <c r="R3454" s="9">
        <v>2011.0</v>
      </c>
      <c r="S3454" s="9">
        <v>6.7</v>
      </c>
    </row>
    <row r="3455" ht="15.75" customHeight="1">
      <c r="A3455" s="7" t="s">
        <v>521</v>
      </c>
      <c r="B3455" s="8" t="str">
        <f>IFERROR(__xludf.DUMMYFUNCTION("REGEXREPLACE(A3455, ""[^0-9a-zA-Z .'Ã]"","""")"),"Phillip Noyce")</f>
        <v>Phillip Noyce</v>
      </c>
      <c r="C3455" s="9">
        <v>47.0</v>
      </c>
      <c r="D3455" s="10">
        <v>8.3287363E7</v>
      </c>
      <c r="E3455" s="9" t="s">
        <v>1096</v>
      </c>
      <c r="F3455" s="9">
        <f t="shared" si="1"/>
        <v>2</v>
      </c>
      <c r="G3455" s="9" t="s">
        <v>637</v>
      </c>
      <c r="H3455" s="11" t="str">
        <f>IFERROR(__xludf.DUMMYFUNCTION("REGEXREPLACE(G3455, ""[^0-9a-zA-Z .'Ã]"","""")"),"Harrison Ford")</f>
        <v>Harrison Ford</v>
      </c>
      <c r="I3455" s="11" t="s">
        <v>10742</v>
      </c>
      <c r="J3455" s="9">
        <v>81442.0</v>
      </c>
      <c r="K3455" s="9" t="s">
        <v>10743</v>
      </c>
      <c r="L3455" s="9">
        <v>137.0</v>
      </c>
      <c r="M3455" s="9" t="s">
        <v>24</v>
      </c>
      <c r="N3455" s="9" t="s">
        <v>25</v>
      </c>
      <c r="O3455" s="10">
        <v>4.5E7</v>
      </c>
      <c r="P3455" s="10">
        <f t="shared" si="2"/>
        <v>38287363</v>
      </c>
      <c r="Q3455" s="12">
        <f t="shared" si="3"/>
        <v>0</v>
      </c>
      <c r="R3455" s="9">
        <v>1992.0</v>
      </c>
      <c r="S3455" s="9">
        <v>6.9</v>
      </c>
    </row>
    <row r="3456" ht="15.75" customHeight="1">
      <c r="A3456" s="21" t="s">
        <v>10744</v>
      </c>
      <c r="B3456" s="8" t="str">
        <f>IFERROR(__xludf.DUMMYFUNCTION("REGEXREPLACE(A3456, ""[^0-9a-zA-Z .'Ã]"","""")"),"Phil Alden Robinson")</f>
        <v>Phil Alden Robinson</v>
      </c>
      <c r="C3456" s="22">
        <v>176.0</v>
      </c>
      <c r="D3456" s="23">
        <v>1.1847132E8</v>
      </c>
      <c r="E3456" s="22" t="s">
        <v>175</v>
      </c>
      <c r="F3456" s="9">
        <f t="shared" si="1"/>
        <v>3</v>
      </c>
      <c r="G3456" s="22" t="s">
        <v>170</v>
      </c>
      <c r="H3456" s="11" t="str">
        <f>IFERROR(__xludf.DUMMYFUNCTION("REGEXREPLACE(G3456, ""[^0-9a-zA-Z .'Ã]"","""")"),"Morgan Freeman")</f>
        <v>Morgan Freeman</v>
      </c>
      <c r="I3456" s="24" t="s">
        <v>10745</v>
      </c>
      <c r="J3456" s="22">
        <v>86504.0</v>
      </c>
      <c r="K3456" s="22" t="s">
        <v>10746</v>
      </c>
      <c r="L3456" s="22">
        <v>568.0</v>
      </c>
      <c r="M3456" s="22" t="s">
        <v>24</v>
      </c>
      <c r="N3456" s="22" t="s">
        <v>25</v>
      </c>
      <c r="O3456" s="23">
        <v>6.8E7</v>
      </c>
      <c r="P3456" s="10">
        <f t="shared" si="2"/>
        <v>50471320</v>
      </c>
      <c r="Q3456" s="12">
        <f t="shared" si="3"/>
        <v>0</v>
      </c>
      <c r="R3456" s="22">
        <v>2002.0</v>
      </c>
      <c r="S3456" s="22">
        <v>6.4</v>
      </c>
    </row>
    <row r="3457" ht="15.75" customHeight="1">
      <c r="A3457" s="29" t="s">
        <v>5534</v>
      </c>
      <c r="B3457" s="8" t="str">
        <f>IFERROR(__xludf.DUMMYFUNCTION("REGEXREPLACE(A3457, ""[^0-9a-zA-Z .'Ã]"","""")"),"Thomas Carter")</f>
        <v>Thomas Carter</v>
      </c>
      <c r="C3457" s="30">
        <v>50.0</v>
      </c>
      <c r="D3457" s="31">
        <v>3.0127963E7</v>
      </c>
      <c r="E3457" s="30" t="s">
        <v>273</v>
      </c>
      <c r="F3457" s="9">
        <f t="shared" si="1"/>
        <v>3</v>
      </c>
      <c r="G3457" s="30" t="s">
        <v>10747</v>
      </c>
      <c r="H3457" s="11" t="str">
        <f>IFERROR(__xludf.DUMMYFUNCTION("REGEXREPLACE(G3457, ""[^0-9a-zA-Z .'Ã]"","""")"),"Jessie T. Usher")</f>
        <v>Jessie T. Usher</v>
      </c>
      <c r="I3457" s="32" t="s">
        <v>10748</v>
      </c>
      <c r="J3457" s="30">
        <v>12596.0</v>
      </c>
      <c r="K3457" s="30" t="s">
        <v>10749</v>
      </c>
      <c r="L3457" s="30">
        <v>64.0</v>
      </c>
      <c r="M3457" s="30" t="s">
        <v>24</v>
      </c>
      <c r="N3457" s="30" t="s">
        <v>25</v>
      </c>
      <c r="O3457" s="31">
        <v>1.5E7</v>
      </c>
      <c r="P3457" s="10">
        <f t="shared" si="2"/>
        <v>15127963</v>
      </c>
      <c r="Q3457" s="12">
        <f t="shared" si="3"/>
        <v>0</v>
      </c>
      <c r="R3457" s="30">
        <v>2014.0</v>
      </c>
      <c r="S3457" s="30">
        <v>6.7</v>
      </c>
    </row>
    <row r="3458" ht="15.75" customHeight="1">
      <c r="A3458" s="7" t="s">
        <v>2649</v>
      </c>
      <c r="B3458" s="8" t="str">
        <f>IFERROR(__xludf.DUMMYFUNCTION("REGEXREPLACE(A3458, ""[^0-9a-zA-Z .'Ã]"","""")"),"Les Mayfield")</f>
        <v>Les Mayfield</v>
      </c>
      <c r="C3458" s="9">
        <v>53.0</v>
      </c>
      <c r="D3458" s="10">
        <v>8104069.0</v>
      </c>
      <c r="E3458" s="9" t="s">
        <v>265</v>
      </c>
      <c r="F3458" s="9">
        <f t="shared" si="1"/>
        <v>3</v>
      </c>
      <c r="G3458" s="9" t="s">
        <v>6330</v>
      </c>
      <c r="H3458" s="11" t="str">
        <f>IFERROR(__xludf.DUMMYFUNCTION("REGEXREPLACE(G3458, ""[^0-9a-zA-Z .'Ã]"","""")"),"Callum Rennie")</f>
        <v>Callum Rennie</v>
      </c>
      <c r="I3458" s="11" t="s">
        <v>10750</v>
      </c>
      <c r="J3458" s="9">
        <v>9785.0</v>
      </c>
      <c r="K3458" s="9" t="s">
        <v>10751</v>
      </c>
      <c r="L3458" s="9">
        <v>26.0</v>
      </c>
      <c r="M3458" s="9" t="s">
        <v>24</v>
      </c>
      <c r="N3458" s="9" t="s">
        <v>25</v>
      </c>
      <c r="O3458" s="10">
        <v>2.0E7</v>
      </c>
      <c r="P3458" s="10">
        <f t="shared" si="2"/>
        <v>0</v>
      </c>
      <c r="Q3458" s="12">
        <f t="shared" si="3"/>
        <v>11895931</v>
      </c>
      <c r="R3458" s="9">
        <v>2007.0</v>
      </c>
      <c r="S3458" s="9">
        <v>4.5</v>
      </c>
    </row>
    <row r="3459" ht="15.75" customHeight="1">
      <c r="A3459" s="7" t="s">
        <v>6645</v>
      </c>
      <c r="B3459" s="8" t="str">
        <f>IFERROR(__xludf.DUMMYFUNCTION("REGEXREPLACE(A3459, ""[^0-9a-zA-Z .'Ã]"","""")"),"Christopher Cain")</f>
        <v>Christopher Cain</v>
      </c>
      <c r="C3459" s="9">
        <v>43.0</v>
      </c>
      <c r="D3459" s="10">
        <v>1066555.0</v>
      </c>
      <c r="E3459" s="9" t="s">
        <v>10752</v>
      </c>
      <c r="F3459" s="9">
        <f t="shared" si="1"/>
        <v>4</v>
      </c>
      <c r="G3459" s="9" t="s">
        <v>10753</v>
      </c>
      <c r="H3459" s="11" t="str">
        <f>IFERROR(__xludf.DUMMYFUNCTION("REGEXREPLACE(G3459, ""[^0-9a-zA-Z .'Ã]"","""")"),"Jon Gries")</f>
        <v>Jon Gries</v>
      </c>
      <c r="I3459" s="11" t="s">
        <v>10754</v>
      </c>
      <c r="J3459" s="9">
        <v>2618.0</v>
      </c>
      <c r="K3459" s="9" t="s">
        <v>10755</v>
      </c>
      <c r="L3459" s="9">
        <v>111.0</v>
      </c>
      <c r="M3459" s="11" t="s">
        <v>24</v>
      </c>
      <c r="N3459" s="9" t="s">
        <v>25</v>
      </c>
      <c r="O3459" s="10">
        <v>1.1E7</v>
      </c>
      <c r="P3459" s="10">
        <f t="shared" si="2"/>
        <v>0</v>
      </c>
      <c r="Q3459" s="12">
        <f t="shared" si="3"/>
        <v>9933445</v>
      </c>
      <c r="R3459" s="9">
        <v>2007.0</v>
      </c>
      <c r="S3459" s="9">
        <v>5.8</v>
      </c>
    </row>
    <row r="3460" ht="15.75" customHeight="1">
      <c r="A3460" s="13" t="s">
        <v>7034</v>
      </c>
      <c r="B3460" s="8" t="str">
        <f>IFERROR(__xludf.DUMMYFUNCTION("REGEXREPLACE(A3460, ""[^0-9a-zA-Z .'Ã]"","""")"),"Steven Zaillian")</f>
        <v>Steven Zaillian</v>
      </c>
      <c r="C3460" s="14">
        <v>127.0</v>
      </c>
      <c r="D3460" s="15">
        <v>7221458.0</v>
      </c>
      <c r="E3460" s="14" t="s">
        <v>369</v>
      </c>
      <c r="F3460" s="9">
        <f t="shared" si="1"/>
        <v>2</v>
      </c>
      <c r="G3460" s="14" t="s">
        <v>777</v>
      </c>
      <c r="H3460" s="11" t="str">
        <f>IFERROR(__xludf.DUMMYFUNCTION("REGEXREPLACE(G3460, ""[^0-9a-zA-Z .'Ã]"","""")"),"Kate Winslet")</f>
        <v>Kate Winslet</v>
      </c>
      <c r="I3460" s="16" t="s">
        <v>10756</v>
      </c>
      <c r="J3460" s="14">
        <v>20740.0</v>
      </c>
      <c r="K3460" s="14" t="s">
        <v>10757</v>
      </c>
      <c r="L3460" s="14">
        <v>178.0</v>
      </c>
      <c r="M3460" s="14" t="s">
        <v>24</v>
      </c>
      <c r="N3460" s="14" t="s">
        <v>173</v>
      </c>
      <c r="O3460" s="15">
        <v>5.5E7</v>
      </c>
      <c r="P3460" s="10">
        <f t="shared" si="2"/>
        <v>0</v>
      </c>
      <c r="Q3460" s="12">
        <f t="shared" si="3"/>
        <v>47778542</v>
      </c>
      <c r="R3460" s="14">
        <v>2006.0</v>
      </c>
      <c r="S3460" s="14">
        <v>6.2</v>
      </c>
    </row>
    <row r="3461" ht="15.75" customHeight="1">
      <c r="A3461" s="21" t="s">
        <v>2135</v>
      </c>
      <c r="B3461" s="8" t="str">
        <f>IFERROR(__xludf.DUMMYFUNCTION("REGEXREPLACE(A3461, ""[^0-9a-zA-Z .'Ã]"","""")"),"Nora Ephron")</f>
        <v>Nora Ephron</v>
      </c>
      <c r="C3461" s="22">
        <v>252.0</v>
      </c>
      <c r="D3461" s="23">
        <v>9.4125426E7</v>
      </c>
      <c r="E3461" s="22" t="s">
        <v>887</v>
      </c>
      <c r="F3461" s="9">
        <f t="shared" si="1"/>
        <v>3</v>
      </c>
      <c r="G3461" s="22" t="s">
        <v>1941</v>
      </c>
      <c r="H3461" s="11" t="str">
        <f>IFERROR(__xludf.DUMMYFUNCTION("REGEXREPLACE(G3461, ""[^0-9a-zA-Z .'Ã]"","""")"),"Meryl Streep")</f>
        <v>Meryl Streep</v>
      </c>
      <c r="I3461" s="24" t="s">
        <v>10758</v>
      </c>
      <c r="J3461" s="22">
        <v>79264.0</v>
      </c>
      <c r="K3461" s="22" t="s">
        <v>10759</v>
      </c>
      <c r="L3461" s="22">
        <v>277.0</v>
      </c>
      <c r="M3461" s="22" t="s">
        <v>24</v>
      </c>
      <c r="N3461" s="22" t="s">
        <v>25</v>
      </c>
      <c r="O3461" s="23">
        <v>4.0E7</v>
      </c>
      <c r="P3461" s="10">
        <f t="shared" si="2"/>
        <v>54125426</v>
      </c>
      <c r="Q3461" s="12">
        <f t="shared" si="3"/>
        <v>0</v>
      </c>
      <c r="R3461" s="22">
        <v>2009.0</v>
      </c>
      <c r="S3461" s="22">
        <v>7.0</v>
      </c>
    </row>
    <row r="3462" ht="15.75" customHeight="1">
      <c r="A3462" s="17" t="s">
        <v>4831</v>
      </c>
      <c r="B3462" s="8" t="str">
        <f>IFERROR(__xludf.DUMMYFUNCTION("REGEXREPLACE(A3462, ""[^0-9a-zA-Z .'Ã]"","""")"),"Kasi Lemmons")</f>
        <v>Kasi Lemmons</v>
      </c>
      <c r="C3462" s="18">
        <v>31.0</v>
      </c>
      <c r="D3462" s="19">
        <v>1.4821531E7</v>
      </c>
      <c r="E3462" s="18" t="s">
        <v>103</v>
      </c>
      <c r="F3462" s="9">
        <f t="shared" si="1"/>
        <v>1</v>
      </c>
      <c r="G3462" s="18" t="s">
        <v>10760</v>
      </c>
      <c r="H3462" s="11" t="str">
        <f>IFERROR(__xludf.DUMMYFUNCTION("REGEXREPLACE(G3462, ""[^0-9a-zA-Z .'Ã]"","""")"),"Jurnee SmollettBell")</f>
        <v>Jurnee SmollettBell</v>
      </c>
      <c r="I3462" s="20" t="s">
        <v>10761</v>
      </c>
      <c r="J3462" s="18">
        <v>6915.0</v>
      </c>
      <c r="K3462" s="18" t="s">
        <v>10762</v>
      </c>
      <c r="L3462" s="18">
        <v>209.0</v>
      </c>
      <c r="M3462" s="18" t="s">
        <v>24</v>
      </c>
      <c r="N3462" s="18" t="s">
        <v>25</v>
      </c>
      <c r="O3462" s="19">
        <v>6000000.0</v>
      </c>
      <c r="P3462" s="10">
        <f t="shared" si="2"/>
        <v>8821531</v>
      </c>
      <c r="Q3462" s="12">
        <f t="shared" si="3"/>
        <v>0</v>
      </c>
      <c r="R3462" s="18">
        <v>1997.0</v>
      </c>
      <c r="S3462" s="18">
        <v>7.3</v>
      </c>
    </row>
    <row r="3463" ht="15.75" customHeight="1">
      <c r="A3463" s="7" t="s">
        <v>10763</v>
      </c>
      <c r="B3463" s="8" t="str">
        <f>IFERROR(__xludf.DUMMYFUNCTION("REGEXREPLACE(A3463, ""[^0-9a-zA-Z .'Ã]"","""")"),"Ari Folman")</f>
        <v>Ari Folman</v>
      </c>
      <c r="C3463" s="9">
        <v>231.0</v>
      </c>
      <c r="D3463" s="10">
        <v>2283276.0</v>
      </c>
      <c r="E3463" s="9" t="s">
        <v>10764</v>
      </c>
      <c r="F3463" s="9">
        <f t="shared" si="1"/>
        <v>6</v>
      </c>
      <c r="G3463" s="9" t="s">
        <v>10763</v>
      </c>
      <c r="H3463" s="11" t="str">
        <f>IFERROR(__xludf.DUMMYFUNCTION("REGEXREPLACE(G3463, ""[^0-9a-zA-Z .'Ã]"","""")"),"Ari Folman")</f>
        <v>Ari Folman</v>
      </c>
      <c r="I3463" s="11" t="s">
        <v>10765</v>
      </c>
      <c r="J3463" s="9">
        <v>46107.0</v>
      </c>
      <c r="K3463" s="9" t="s">
        <v>10766</v>
      </c>
      <c r="L3463" s="9">
        <v>156.0</v>
      </c>
      <c r="M3463" s="9" t="s">
        <v>10767</v>
      </c>
      <c r="N3463" s="9" t="s">
        <v>10768</v>
      </c>
      <c r="O3463" s="10">
        <v>1500000.0</v>
      </c>
      <c r="P3463" s="10">
        <f t="shared" si="2"/>
        <v>783276</v>
      </c>
      <c r="Q3463" s="12">
        <f t="shared" si="3"/>
        <v>0</v>
      </c>
      <c r="R3463" s="9">
        <v>2008.0</v>
      </c>
      <c r="S3463" s="9">
        <v>8.0</v>
      </c>
    </row>
    <row r="3464" ht="15.75" customHeight="1">
      <c r="A3464" s="7" t="s">
        <v>73</v>
      </c>
      <c r="B3464" s="8" t="str">
        <f>IFERROR(__xludf.DUMMYFUNCTION("REGEXREPLACE(A3464, ""[^0-9a-zA-Z .'Ã]"","""")"),"Ridley Scott")</f>
        <v>Ridley Scott</v>
      </c>
      <c r="C3464" s="9">
        <v>238.0</v>
      </c>
      <c r="D3464" s="10">
        <v>3.9380442E7</v>
      </c>
      <c r="E3464" s="9" t="s">
        <v>175</v>
      </c>
      <c r="F3464" s="9">
        <f t="shared" si="1"/>
        <v>3</v>
      </c>
      <c r="G3464" s="9" t="s">
        <v>1351</v>
      </c>
      <c r="H3464" s="11" t="str">
        <f>IFERROR(__xludf.DUMMYFUNCTION("REGEXREPLACE(G3464, ""[^0-9a-zA-Z .'Ã]"","""")"),"Leonardo DiCaprio")</f>
        <v>Leonardo DiCaprio</v>
      </c>
      <c r="I3464" s="11" t="s">
        <v>10769</v>
      </c>
      <c r="J3464" s="9">
        <v>174248.0</v>
      </c>
      <c r="K3464" s="9" t="s">
        <v>10770</v>
      </c>
      <c r="L3464" s="9">
        <v>263.0</v>
      </c>
      <c r="M3464" s="9" t="s">
        <v>24</v>
      </c>
      <c r="N3464" s="9" t="s">
        <v>25</v>
      </c>
      <c r="O3464" s="10">
        <v>7.0E7</v>
      </c>
      <c r="P3464" s="10">
        <f t="shared" si="2"/>
        <v>0</v>
      </c>
      <c r="Q3464" s="12">
        <f t="shared" si="3"/>
        <v>30619558</v>
      </c>
      <c r="R3464" s="9">
        <v>2008.0</v>
      </c>
      <c r="S3464" s="9">
        <v>7.1</v>
      </c>
    </row>
    <row r="3465" ht="15.75" customHeight="1">
      <c r="A3465" s="7" t="s">
        <v>8328</v>
      </c>
      <c r="B3465" s="8" t="str">
        <f>IFERROR(__xludf.DUMMYFUNCTION("REGEXREPLACE(A3465, ""[^0-9a-zA-Z .'Ã]"","""")"),"Richard Shepard")</f>
        <v>Richard Shepard</v>
      </c>
      <c r="C3465" s="9">
        <v>94.0</v>
      </c>
      <c r="D3465" s="10">
        <v>876671.0</v>
      </c>
      <c r="E3465" s="9" t="s">
        <v>10771</v>
      </c>
      <c r="F3465" s="9">
        <f t="shared" si="1"/>
        <v>6</v>
      </c>
      <c r="G3465" s="9" t="s">
        <v>10772</v>
      </c>
      <c r="H3465" s="11" t="str">
        <f>IFERROR(__xludf.DUMMYFUNCTION("REGEXREPLACE(G3465, ""[^0-9a-zA-Z .'Ã]"","""")"),"James Brolin")</f>
        <v>James Brolin</v>
      </c>
      <c r="I3465" s="11" t="s">
        <v>10773</v>
      </c>
      <c r="J3465" s="9">
        <v>22010.0</v>
      </c>
      <c r="K3465" s="9" t="s">
        <v>10774</v>
      </c>
      <c r="L3465" s="9">
        <v>90.0</v>
      </c>
      <c r="M3465" s="9" t="s">
        <v>24</v>
      </c>
      <c r="N3465" s="9" t="s">
        <v>25</v>
      </c>
      <c r="O3465" s="10">
        <v>2.5E7</v>
      </c>
      <c r="P3465" s="10">
        <f t="shared" si="2"/>
        <v>0</v>
      </c>
      <c r="Q3465" s="12">
        <f t="shared" si="3"/>
        <v>24123329</v>
      </c>
      <c r="R3465" s="9">
        <v>2007.0</v>
      </c>
      <c r="S3465" s="9">
        <v>6.9</v>
      </c>
    </row>
    <row r="3466" ht="15.75" customHeight="1">
      <c r="A3466" s="7" t="s">
        <v>9095</v>
      </c>
      <c r="B3466" s="8" t="str">
        <f>IFERROR(__xludf.DUMMYFUNCTION("REGEXREPLACE(A3466, ""[^0-9a-zA-Z .'Ã]"","""")"),"Walter Salles")</f>
        <v>Walter Salles</v>
      </c>
      <c r="C3466" s="9">
        <v>196.0</v>
      </c>
      <c r="D3466" s="10">
        <v>2.5472967E7</v>
      </c>
      <c r="E3466" s="9" t="s">
        <v>1840</v>
      </c>
      <c r="F3466" s="9">
        <f t="shared" si="1"/>
        <v>3</v>
      </c>
      <c r="G3466" s="9" t="s">
        <v>10775</v>
      </c>
      <c r="H3466" s="11" t="str">
        <f>IFERROR(__xludf.DUMMYFUNCTION("REGEXREPLACE(G3466, ""[^0-9a-zA-Z .'Ã]"","""")"),"Dougray Scott")</f>
        <v>Dougray Scott</v>
      </c>
      <c r="I3466" s="11" t="s">
        <v>10776</v>
      </c>
      <c r="J3466" s="9">
        <v>44966.0</v>
      </c>
      <c r="K3466" s="9" t="s">
        <v>10777</v>
      </c>
      <c r="L3466" s="9">
        <v>411.0</v>
      </c>
      <c r="M3466" s="9" t="s">
        <v>24</v>
      </c>
      <c r="N3466" s="9" t="s">
        <v>25</v>
      </c>
      <c r="O3466" s="10">
        <v>3.0E7</v>
      </c>
      <c r="P3466" s="10">
        <f t="shared" si="2"/>
        <v>0</v>
      </c>
      <c r="Q3466" s="12">
        <f t="shared" si="3"/>
        <v>4527033</v>
      </c>
      <c r="R3466" s="9">
        <v>2005.0</v>
      </c>
      <c r="S3466" s="9">
        <v>5.6</v>
      </c>
    </row>
    <row r="3467" ht="15.75" customHeight="1">
      <c r="A3467" s="21" t="s">
        <v>10778</v>
      </c>
      <c r="B3467" s="8" t="str">
        <f>IFERROR(__xludf.DUMMYFUNCTION("REGEXREPLACE(A3467, ""[^0-9a-zA-Z .'Ã]"","""")"),"Ava DuVernay")</f>
        <v>Ava DuVernay</v>
      </c>
      <c r="C3467" s="22">
        <v>364.0</v>
      </c>
      <c r="D3467" s="23">
        <v>5.2066E7</v>
      </c>
      <c r="E3467" s="22" t="s">
        <v>620</v>
      </c>
      <c r="F3467" s="9">
        <f t="shared" si="1"/>
        <v>3</v>
      </c>
      <c r="G3467" s="22" t="s">
        <v>3250</v>
      </c>
      <c r="H3467" s="11" t="str">
        <f>IFERROR(__xludf.DUMMYFUNCTION("REGEXREPLACE(G3467, ""[^0-9a-zA-Z .'Ã]"","""")"),"David Oyelowo")</f>
        <v>David Oyelowo</v>
      </c>
      <c r="I3467" s="24" t="s">
        <v>10779</v>
      </c>
      <c r="J3467" s="22">
        <v>61114.0</v>
      </c>
      <c r="K3467" s="22" t="s">
        <v>10780</v>
      </c>
      <c r="L3467" s="22">
        <v>212.0</v>
      </c>
      <c r="M3467" s="22" t="s">
        <v>24</v>
      </c>
      <c r="N3467" s="22" t="s">
        <v>130</v>
      </c>
      <c r="O3467" s="23">
        <v>2.0E7</v>
      </c>
      <c r="P3467" s="10">
        <f t="shared" si="2"/>
        <v>32066000</v>
      </c>
      <c r="Q3467" s="12">
        <f t="shared" si="3"/>
        <v>0</v>
      </c>
      <c r="R3467" s="22">
        <v>2014.0</v>
      </c>
      <c r="S3467" s="22">
        <v>7.5</v>
      </c>
    </row>
    <row r="3468" ht="15.75" customHeight="1">
      <c r="A3468" s="7" t="s">
        <v>10781</v>
      </c>
      <c r="B3468" s="8" t="str">
        <f>IFERROR(__xludf.DUMMYFUNCTION("REGEXREPLACE(A3468, ""[^0-9a-zA-Z .'Ã]"","""")"),"Liz Friedlander")</f>
        <v>Liz Friedlander</v>
      </c>
      <c r="C3468" s="9">
        <v>101.0</v>
      </c>
      <c r="D3468" s="10">
        <v>3.4703228E7</v>
      </c>
      <c r="E3468" s="9" t="s">
        <v>418</v>
      </c>
      <c r="F3468" s="9">
        <f t="shared" si="1"/>
        <v>2</v>
      </c>
      <c r="G3468" s="9" t="s">
        <v>3363</v>
      </c>
      <c r="H3468" s="11" t="str">
        <f>IFERROR(__xludf.DUMMYFUNCTION("REGEXREPLACE(G3468, ""[^0-9a-zA-Z .'Ã]"","""")"),"Alfre Woodard")</f>
        <v>Alfre Woodard</v>
      </c>
      <c r="I3468" s="11" t="s">
        <v>10782</v>
      </c>
      <c r="J3468" s="9">
        <v>21767.0</v>
      </c>
      <c r="K3468" s="9" t="s">
        <v>10783</v>
      </c>
      <c r="L3468" s="9">
        <v>127.0</v>
      </c>
      <c r="M3468" s="9" t="s">
        <v>24</v>
      </c>
      <c r="N3468" s="9" t="s">
        <v>25</v>
      </c>
      <c r="O3468" s="10">
        <v>3.0E7</v>
      </c>
      <c r="P3468" s="10">
        <f t="shared" si="2"/>
        <v>4703228</v>
      </c>
      <c r="Q3468" s="12">
        <f t="shared" si="3"/>
        <v>0</v>
      </c>
      <c r="R3468" s="9">
        <v>2006.0</v>
      </c>
      <c r="S3468" s="9">
        <v>6.7</v>
      </c>
    </row>
    <row r="3469" ht="15.75" customHeight="1">
      <c r="A3469" s="7" t="s">
        <v>10784</v>
      </c>
      <c r="B3469" s="8" t="str">
        <f>IFERROR(__xludf.DUMMYFUNCTION("REGEXREPLACE(A3469, ""[^0-9a-zA-Z .'Ã]"","""")"),"Michael Pressman")</f>
        <v>Michael Pressman</v>
      </c>
      <c r="C3469" s="9">
        <v>68.0</v>
      </c>
      <c r="D3469" s="10">
        <v>7.8656813E7</v>
      </c>
      <c r="E3469" s="9" t="s">
        <v>3305</v>
      </c>
      <c r="F3469" s="9">
        <f t="shared" si="1"/>
        <v>5</v>
      </c>
      <c r="G3469" s="9" t="s">
        <v>10785</v>
      </c>
      <c r="H3469" s="11" t="str">
        <f>IFERROR(__xludf.DUMMYFUNCTION("REGEXREPLACE(G3469, ""[^0-9a-zA-Z .'Ã]"","""")"),"Kevin Nash")</f>
        <v>Kevin Nash</v>
      </c>
      <c r="I3469" s="11" t="s">
        <v>10786</v>
      </c>
      <c r="J3469" s="9">
        <v>42765.0</v>
      </c>
      <c r="K3469" s="9" t="s">
        <v>10787</v>
      </c>
      <c r="L3469" s="9">
        <v>93.0</v>
      </c>
      <c r="M3469" s="9" t="s">
        <v>24</v>
      </c>
      <c r="N3469" s="9" t="s">
        <v>25</v>
      </c>
      <c r="O3469" s="10">
        <v>2.5E7</v>
      </c>
      <c r="P3469" s="10">
        <f t="shared" si="2"/>
        <v>53656813</v>
      </c>
      <c r="Q3469" s="12">
        <f t="shared" si="3"/>
        <v>0</v>
      </c>
      <c r="R3469" s="9">
        <v>1991.0</v>
      </c>
      <c r="S3469" s="9">
        <v>6.0</v>
      </c>
    </row>
    <row r="3470" ht="15.75" customHeight="1">
      <c r="A3470" s="21" t="s">
        <v>2738</v>
      </c>
      <c r="B3470" s="8" t="str">
        <f>IFERROR(__xludf.DUMMYFUNCTION("REGEXREPLACE(A3470, ""[^0-9a-zA-Z .'Ã]"","""")"),"Brett Leonard")</f>
        <v>Brett Leonard</v>
      </c>
      <c r="C3470" s="22">
        <v>44.0</v>
      </c>
      <c r="D3470" s="23">
        <v>2.4048E7</v>
      </c>
      <c r="E3470" s="22" t="s">
        <v>771</v>
      </c>
      <c r="F3470" s="9">
        <f t="shared" si="1"/>
        <v>4</v>
      </c>
      <c r="G3470" s="22" t="s">
        <v>70</v>
      </c>
      <c r="H3470" s="11" t="str">
        <f>IFERROR(__xludf.DUMMYFUNCTION("REGEXREPLACE(G3470, ""[^0-9a-zA-Z .'Ã]"","""")"),"Denzel Washington")</f>
        <v>Denzel Washington</v>
      </c>
      <c r="I3470" s="24" t="s">
        <v>10788</v>
      </c>
      <c r="J3470" s="22">
        <v>23579.0</v>
      </c>
      <c r="K3470" s="22" t="s">
        <v>10789</v>
      </c>
      <c r="L3470" s="22">
        <v>88.0</v>
      </c>
      <c r="M3470" s="22" t="s">
        <v>24</v>
      </c>
      <c r="N3470" s="22" t="s">
        <v>25</v>
      </c>
      <c r="O3470" s="23">
        <v>3.0E7</v>
      </c>
      <c r="P3470" s="10">
        <f t="shared" si="2"/>
        <v>0</v>
      </c>
      <c r="Q3470" s="12">
        <f t="shared" si="3"/>
        <v>5952000</v>
      </c>
      <c r="R3470" s="22">
        <v>1995.0</v>
      </c>
      <c r="S3470" s="22">
        <v>5.5</v>
      </c>
    </row>
    <row r="3471" ht="15.75" customHeight="1">
      <c r="A3471" s="17" t="s">
        <v>10790</v>
      </c>
      <c r="B3471" s="8" t="str">
        <f>IFERROR(__xludf.DUMMYFUNCTION("REGEXREPLACE(A3471, ""[^0-9a-zA-Z .'Ã]"","""")"),"George Stevens")</f>
        <v>George Stevens</v>
      </c>
      <c r="C3471" s="18">
        <v>27.0</v>
      </c>
      <c r="D3471" s="19">
        <v>8000000.0</v>
      </c>
      <c r="E3471" s="18" t="s">
        <v>620</v>
      </c>
      <c r="F3471" s="9">
        <f t="shared" si="1"/>
        <v>3</v>
      </c>
      <c r="G3471" s="18" t="s">
        <v>3626</v>
      </c>
      <c r="H3471" s="11" t="str">
        <f>IFERROR(__xludf.DUMMYFUNCTION("REGEXREPLACE(G3471, ""[^0-9a-zA-Z .'Ã]"","""")"),"Martin Landau")</f>
        <v>Martin Landau</v>
      </c>
      <c r="I3471" s="20" t="s">
        <v>10791</v>
      </c>
      <c r="J3471" s="18">
        <v>6484.0</v>
      </c>
      <c r="K3471" s="18" t="s">
        <v>10792</v>
      </c>
      <c r="L3471" s="18">
        <v>100.0</v>
      </c>
      <c r="M3471" s="18" t="s">
        <v>24</v>
      </c>
      <c r="N3471" s="18" t="s">
        <v>25</v>
      </c>
      <c r="O3471" s="19">
        <v>2.0E7</v>
      </c>
      <c r="P3471" s="10">
        <f t="shared" si="2"/>
        <v>0</v>
      </c>
      <c r="Q3471" s="12">
        <f t="shared" si="3"/>
        <v>12000000</v>
      </c>
      <c r="R3471" s="18">
        <v>1965.0</v>
      </c>
      <c r="S3471" s="18">
        <v>6.6</v>
      </c>
    </row>
    <row r="3472" ht="15.75" customHeight="1">
      <c r="A3472" s="7" t="s">
        <v>141</v>
      </c>
      <c r="B3472" s="8" t="str">
        <f>IFERROR(__xludf.DUMMYFUNCTION("REGEXREPLACE(A3472, ""[^0-9a-zA-Z .'Ã]"","""")"),"Simon Wincer")</f>
        <v>Simon Wincer</v>
      </c>
      <c r="C3472" s="9">
        <v>20.0</v>
      </c>
      <c r="D3472" s="10">
        <v>2.1413105E7</v>
      </c>
      <c r="E3472" s="9" t="s">
        <v>10793</v>
      </c>
      <c r="F3472" s="9">
        <f t="shared" si="1"/>
        <v>5</v>
      </c>
      <c r="G3472" s="9" t="s">
        <v>647</v>
      </c>
      <c r="H3472" s="11" t="str">
        <f>IFERROR(__xludf.DUMMYFUNCTION("REGEXREPLACE(G3472, ""[^0-9a-zA-Z .'Ã]"","""")"),"Alan Rickman")</f>
        <v>Alan Rickman</v>
      </c>
      <c r="I3472" s="11" t="s">
        <v>10794</v>
      </c>
      <c r="J3472" s="9">
        <v>15230.0</v>
      </c>
      <c r="K3472" s="9" t="s">
        <v>10795</v>
      </c>
      <c r="L3472" s="9">
        <v>97.0</v>
      </c>
      <c r="M3472" s="9" t="s">
        <v>24</v>
      </c>
      <c r="N3472" s="9" t="s">
        <v>146</v>
      </c>
      <c r="O3472" s="10">
        <v>2.0E7</v>
      </c>
      <c r="P3472" s="10">
        <f t="shared" si="2"/>
        <v>1413105</v>
      </c>
      <c r="Q3472" s="12">
        <f t="shared" si="3"/>
        <v>0</v>
      </c>
      <c r="R3472" s="9">
        <v>1990.0</v>
      </c>
      <c r="S3472" s="9">
        <v>6.8</v>
      </c>
    </row>
    <row r="3473" ht="15.75" customHeight="1">
      <c r="A3473" s="7" t="s">
        <v>10796</v>
      </c>
      <c r="B3473" s="8" t="str">
        <f>IFERROR(__xludf.DUMMYFUNCTION("REGEXREPLACE(A3473, ""[^0-9a-zA-Z .'Ã]"","""")"),"Chuan Lu")</f>
        <v>Chuan Lu</v>
      </c>
      <c r="C3473" s="9">
        <v>149.0</v>
      </c>
      <c r="D3473" s="10">
        <v>119922.0</v>
      </c>
      <c r="E3473" s="9" t="s">
        <v>74</v>
      </c>
      <c r="F3473" s="9">
        <f t="shared" si="1"/>
        <v>3</v>
      </c>
      <c r="G3473" s="9" t="s">
        <v>10797</v>
      </c>
      <c r="H3473" s="11" t="str">
        <f>IFERROR(__xludf.DUMMYFUNCTION("REGEXREPLACE(G3473, ""[^0-9a-zA-Z .'Ã]"","""")"),"Ye Liu")</f>
        <v>Ye Liu</v>
      </c>
      <c r="I3473" s="11" t="s">
        <v>10798</v>
      </c>
      <c r="J3473" s="9">
        <v>8429.0</v>
      </c>
      <c r="K3473" s="9" t="s">
        <v>10799</v>
      </c>
      <c r="L3473" s="9">
        <v>62.0</v>
      </c>
      <c r="M3473" s="9" t="s">
        <v>3260</v>
      </c>
      <c r="N3473" s="9" t="s">
        <v>217</v>
      </c>
      <c r="O3473" s="10">
        <v>1.2E7</v>
      </c>
      <c r="P3473" s="10">
        <f t="shared" si="2"/>
        <v>0</v>
      </c>
      <c r="Q3473" s="12">
        <f t="shared" si="3"/>
        <v>11880078</v>
      </c>
      <c r="R3473" s="9">
        <v>2009.0</v>
      </c>
      <c r="S3473" s="9">
        <v>7.7</v>
      </c>
    </row>
    <row r="3474" ht="15.75" customHeight="1">
      <c r="A3474" s="17" t="s">
        <v>10800</v>
      </c>
      <c r="B3474" s="8" t="str">
        <f>IFERROR(__xludf.DUMMYFUNCTION("REGEXREPLACE(A3474, ""[^0-9a-zA-Z .'Ã]"","""")"),"Jacob Aaron Estes")</f>
        <v>Jacob Aaron Estes</v>
      </c>
      <c r="C3474" s="18">
        <v>126.0</v>
      </c>
      <c r="D3474" s="19">
        <v>603943.0</v>
      </c>
      <c r="E3474" s="18" t="s">
        <v>54</v>
      </c>
      <c r="F3474" s="9">
        <f t="shared" si="1"/>
        <v>2</v>
      </c>
      <c r="G3474" s="18" t="s">
        <v>2848</v>
      </c>
      <c r="H3474" s="11" t="str">
        <f>IFERROR(__xludf.DUMMYFUNCTION("REGEXREPLACE(G3474, ""[^0-9a-zA-Z .'Ã]"","""")"),"Rory Culkin")</f>
        <v>Rory Culkin</v>
      </c>
      <c r="I3474" s="20" t="s">
        <v>10801</v>
      </c>
      <c r="J3474" s="18">
        <v>26407.0</v>
      </c>
      <c r="K3474" s="18" t="s">
        <v>10802</v>
      </c>
      <c r="L3474" s="18">
        <v>154.0</v>
      </c>
      <c r="M3474" s="18" t="s">
        <v>24</v>
      </c>
      <c r="N3474" s="18" t="s">
        <v>25</v>
      </c>
      <c r="O3474" s="19">
        <v>500000.0</v>
      </c>
      <c r="P3474" s="10">
        <f t="shared" si="2"/>
        <v>103943</v>
      </c>
      <c r="Q3474" s="12">
        <f t="shared" si="3"/>
        <v>0</v>
      </c>
      <c r="R3474" s="18">
        <v>2004.0</v>
      </c>
      <c r="S3474" s="18">
        <v>7.3</v>
      </c>
    </row>
    <row r="3475" ht="15.75" customHeight="1">
      <c r="A3475" s="7" t="s">
        <v>2097</v>
      </c>
      <c r="B3475" s="8" t="str">
        <f>IFERROR(__xludf.DUMMYFUNCTION("REGEXREPLACE(A3475, ""[^0-9a-zA-Z .'Ã]"","""")"),"Dennis Dugan")</f>
        <v>Dennis Dugan</v>
      </c>
      <c r="C3475" s="9">
        <v>90.0</v>
      </c>
      <c r="D3475" s="10">
        <v>5.7651794E7</v>
      </c>
      <c r="E3475" s="9" t="s">
        <v>829</v>
      </c>
      <c r="F3475" s="9">
        <f t="shared" si="1"/>
        <v>3</v>
      </c>
      <c r="G3475" s="9" t="s">
        <v>1749</v>
      </c>
      <c r="H3475" s="11" t="str">
        <f>IFERROR(__xludf.DUMMYFUNCTION("REGEXREPLACE(G3475, ""[^0-9a-zA-Z .'Ã]"","""")"),"Jon Lovitz")</f>
        <v>Jon Lovitz</v>
      </c>
      <c r="I3475" s="11" t="s">
        <v>10803</v>
      </c>
      <c r="J3475" s="9">
        <v>40651.0</v>
      </c>
      <c r="K3475" s="9" t="s">
        <v>10804</v>
      </c>
      <c r="L3475" s="9">
        <v>209.0</v>
      </c>
      <c r="M3475" s="9" t="s">
        <v>24</v>
      </c>
      <c r="N3475" s="9" t="s">
        <v>25</v>
      </c>
      <c r="O3475" s="10">
        <v>3.3E7</v>
      </c>
      <c r="P3475" s="10">
        <f t="shared" si="2"/>
        <v>24651794</v>
      </c>
      <c r="Q3475" s="12">
        <f t="shared" si="3"/>
        <v>0</v>
      </c>
      <c r="R3475" s="9">
        <v>2006.0</v>
      </c>
      <c r="S3475" s="9">
        <v>5.6</v>
      </c>
    </row>
    <row r="3476" ht="15.75" customHeight="1">
      <c r="A3476" s="21" t="s">
        <v>147</v>
      </c>
      <c r="B3476" s="8" t="str">
        <f>IFERROR(__xludf.DUMMYFUNCTION("REGEXREPLACE(A3476, ""[^0-9a-zA-Z .'Ã]"","""")"),"Wes Craven")</f>
        <v>Wes Craven</v>
      </c>
      <c r="C3476" s="22">
        <v>160.0</v>
      </c>
      <c r="D3476" s="23">
        <v>1.463749E7</v>
      </c>
      <c r="E3476" s="22" t="s">
        <v>94</v>
      </c>
      <c r="F3476" s="9">
        <f t="shared" si="1"/>
        <v>3</v>
      </c>
      <c r="G3476" s="22" t="s">
        <v>4740</v>
      </c>
      <c r="H3476" s="11" t="str">
        <f>IFERROR(__xludf.DUMMYFUNCTION("REGEXREPLACE(G3476, ""[^0-9a-zA-Z .'Ã]"","""")"),"Frank Grillo")</f>
        <v>Frank Grillo</v>
      </c>
      <c r="I3476" s="24" t="s">
        <v>10805</v>
      </c>
      <c r="J3476" s="22">
        <v>16411.0</v>
      </c>
      <c r="K3476" s="22" t="s">
        <v>10806</v>
      </c>
      <c r="L3476" s="22">
        <v>136.0</v>
      </c>
      <c r="M3476" s="22" t="s">
        <v>24</v>
      </c>
      <c r="N3476" s="22" t="s">
        <v>25</v>
      </c>
      <c r="O3476" s="23">
        <v>2.5E7</v>
      </c>
      <c r="P3476" s="10">
        <f t="shared" si="2"/>
        <v>0</v>
      </c>
      <c r="Q3476" s="12">
        <f t="shared" si="3"/>
        <v>10362510</v>
      </c>
      <c r="R3476" s="22">
        <v>2010.0</v>
      </c>
      <c r="S3476" s="22">
        <v>4.8</v>
      </c>
    </row>
    <row r="3477" ht="15.75" customHeight="1">
      <c r="A3477" s="17" t="s">
        <v>10807</v>
      </c>
      <c r="B3477" s="8" t="str">
        <f>IFERROR(__xludf.DUMMYFUNCTION("REGEXREPLACE(A3477, ""[^0-9a-zA-Z .'Ã]"","""")"),"Robert Eggers")</f>
        <v>Robert Eggers</v>
      </c>
      <c r="C3477" s="18">
        <v>425.0</v>
      </c>
      <c r="D3477" s="19">
        <v>2.5138292E7</v>
      </c>
      <c r="E3477" s="18" t="s">
        <v>565</v>
      </c>
      <c r="F3477" s="9">
        <f t="shared" si="1"/>
        <v>2</v>
      </c>
      <c r="G3477" s="18" t="s">
        <v>1669</v>
      </c>
      <c r="H3477" s="11" t="str">
        <f>IFERROR(__xludf.DUMMYFUNCTION("REGEXREPLACE(G3477, ""[^0-9a-zA-Z .'Ã]"","""")"),"Julian Richings")</f>
        <v>Julian Richings</v>
      </c>
      <c r="I3477" s="20" t="s">
        <v>10808</v>
      </c>
      <c r="J3477" s="18">
        <v>66483.0</v>
      </c>
      <c r="K3477" s="18" t="s">
        <v>10809</v>
      </c>
      <c r="L3477" s="18">
        <v>452.0</v>
      </c>
      <c r="M3477" s="18" t="s">
        <v>24</v>
      </c>
      <c r="N3477" s="18" t="s">
        <v>25</v>
      </c>
      <c r="O3477" s="19">
        <v>3500000.0</v>
      </c>
      <c r="P3477" s="10">
        <f t="shared" si="2"/>
        <v>21638292</v>
      </c>
      <c r="Q3477" s="12">
        <f t="shared" si="3"/>
        <v>0</v>
      </c>
      <c r="R3477" s="18">
        <v>2015.0</v>
      </c>
      <c r="S3477" s="18">
        <v>6.8</v>
      </c>
    </row>
    <row r="3478" ht="15.75" customHeight="1">
      <c r="A3478" s="7" t="s">
        <v>9841</v>
      </c>
      <c r="B3478" s="8" t="str">
        <f>IFERROR(__xludf.DUMMYFUNCTION("REGEXREPLACE(A3478, ""[^0-9a-zA-Z .'Ã]"","""")"),"Stephen Chow")</f>
        <v>Stephen Chow</v>
      </c>
      <c r="C3478" s="9">
        <v>377.0</v>
      </c>
      <c r="D3478" s="10">
        <v>1.7104669E7</v>
      </c>
      <c r="E3478" s="9" t="s">
        <v>492</v>
      </c>
      <c r="F3478" s="9">
        <f t="shared" si="1"/>
        <v>4</v>
      </c>
      <c r="G3478" s="9" t="s">
        <v>10810</v>
      </c>
      <c r="H3478" s="11" t="str">
        <f>IFERROR(__xludf.DUMMYFUNCTION("REGEXREPLACE(G3478, ""[^0-9a-zA-Z .'Ã]"","""")"),"Shengyi Huang")</f>
        <v>Shengyi Huang</v>
      </c>
      <c r="I3478" s="11" t="s">
        <v>10811</v>
      </c>
      <c r="J3478" s="9">
        <v>99353.0</v>
      </c>
      <c r="K3478" s="9" t="s">
        <v>10812</v>
      </c>
      <c r="L3478" s="9">
        <v>354.0</v>
      </c>
      <c r="M3478" s="9" t="s">
        <v>156</v>
      </c>
      <c r="N3478" s="9" t="s">
        <v>157</v>
      </c>
      <c r="O3478" s="10">
        <v>2.0E7</v>
      </c>
      <c r="P3478" s="10">
        <f t="shared" si="2"/>
        <v>0</v>
      </c>
      <c r="Q3478" s="12">
        <f t="shared" si="3"/>
        <v>2895331</v>
      </c>
      <c r="R3478" s="9">
        <v>2004.0</v>
      </c>
      <c r="S3478" s="9">
        <v>7.8</v>
      </c>
    </row>
    <row r="3479" ht="15.75" customHeight="1">
      <c r="A3479" s="7" t="s">
        <v>10813</v>
      </c>
      <c r="B3479" s="8" t="str">
        <f>IFERROR(__xludf.DUMMYFUNCTION("REGEXREPLACE(A3479, ""[^0-9a-zA-Z .'Ã]"","""")"),"Kent Alterman")</f>
        <v>Kent Alterman</v>
      </c>
      <c r="C3479" s="9">
        <v>164.0</v>
      </c>
      <c r="D3479" s="10">
        <v>3.347285E7</v>
      </c>
      <c r="E3479" s="9" t="s">
        <v>3398</v>
      </c>
      <c r="F3479" s="9">
        <f t="shared" si="1"/>
        <v>2</v>
      </c>
      <c r="G3479" s="9" t="s">
        <v>441</v>
      </c>
      <c r="H3479" s="11" t="str">
        <f>IFERROR(__xludf.DUMMYFUNCTION("REGEXREPLACE(G3479, ""[^0-9a-zA-Z .'Ã]"","""")"),"Will Ferrell")</f>
        <v>Will Ferrell</v>
      </c>
      <c r="I3479" s="11" t="s">
        <v>10814</v>
      </c>
      <c r="J3479" s="9">
        <v>67005.0</v>
      </c>
      <c r="K3479" s="9" t="s">
        <v>10815</v>
      </c>
      <c r="L3479" s="9">
        <v>119.0</v>
      </c>
      <c r="M3479" s="9" t="s">
        <v>24</v>
      </c>
      <c r="N3479" s="9" t="s">
        <v>25</v>
      </c>
      <c r="O3479" s="10">
        <v>5.5E7</v>
      </c>
      <c r="P3479" s="10">
        <f t="shared" si="2"/>
        <v>0</v>
      </c>
      <c r="Q3479" s="12">
        <f t="shared" si="3"/>
        <v>21527150</v>
      </c>
      <c r="R3479" s="9">
        <v>2008.0</v>
      </c>
      <c r="S3479" s="9">
        <v>5.8</v>
      </c>
    </row>
    <row r="3480" ht="15.75" customHeight="1">
      <c r="A3480" s="7" t="s">
        <v>2388</v>
      </c>
      <c r="B3480" s="8" t="str">
        <f>IFERROR(__xludf.DUMMYFUNCTION("REGEXREPLACE(A3480, ""[^0-9a-zA-Z .'Ã]"","""")"),"Paul Greengrass")</f>
        <v>Paul Greengrass</v>
      </c>
      <c r="C3480" s="9">
        <v>266.0</v>
      </c>
      <c r="D3480" s="10">
        <v>3.5024475E7</v>
      </c>
      <c r="E3480" s="9" t="s">
        <v>688</v>
      </c>
      <c r="F3480" s="9">
        <f t="shared" si="1"/>
        <v>4</v>
      </c>
      <c r="G3480" s="9" t="s">
        <v>585</v>
      </c>
      <c r="H3480" s="11" t="str">
        <f>IFERROR(__xludf.DUMMYFUNCTION("REGEXREPLACE(G3480, ""[^0-9a-zA-Z .'Ã]"","""")"),"Matt Damon")</f>
        <v>Matt Damon</v>
      </c>
      <c r="I3480" s="11" t="s">
        <v>10816</v>
      </c>
      <c r="J3480" s="9">
        <v>110364.0</v>
      </c>
      <c r="K3480" s="9" t="s">
        <v>10817</v>
      </c>
      <c r="L3480" s="9">
        <v>261.0</v>
      </c>
      <c r="M3480" s="9" t="s">
        <v>24</v>
      </c>
      <c r="N3480" s="9" t="s">
        <v>608</v>
      </c>
      <c r="O3480" s="10">
        <v>1.0E8</v>
      </c>
      <c r="P3480" s="10">
        <f t="shared" si="2"/>
        <v>0</v>
      </c>
      <c r="Q3480" s="12">
        <f t="shared" si="3"/>
        <v>64975525</v>
      </c>
      <c r="R3480" s="9">
        <v>2010.0</v>
      </c>
      <c r="S3480" s="9">
        <v>6.9</v>
      </c>
    </row>
    <row r="3481" ht="15.75" customHeight="1">
      <c r="A3481" s="25" t="s">
        <v>10818</v>
      </c>
      <c r="B3481" s="8" t="str">
        <f>IFERROR(__xludf.DUMMYFUNCTION("REGEXREPLACE(A3481, ""[^0-9a-zA-Z .'Ã]"","""")"),"Michael Roemer")</f>
        <v>Michael Roemer</v>
      </c>
      <c r="C3481" s="26">
        <v>24.0</v>
      </c>
      <c r="D3481" s="27">
        <v>12438.0</v>
      </c>
      <c r="E3481" s="26" t="s">
        <v>232</v>
      </c>
      <c r="F3481" s="9">
        <f t="shared" si="1"/>
        <v>2</v>
      </c>
      <c r="G3481" s="26" t="s">
        <v>9733</v>
      </c>
      <c r="H3481" s="11" t="str">
        <f>IFERROR(__xludf.DUMMYFUNCTION("REGEXREPLACE(G3481, ""[^0-9a-zA-Z .'Ã]"","""")"),"Yaphet Kotto")</f>
        <v>Yaphet Kotto</v>
      </c>
      <c r="I3481" s="28" t="s">
        <v>10819</v>
      </c>
      <c r="J3481" s="26">
        <v>891.0</v>
      </c>
      <c r="K3481" s="26" t="s">
        <v>10820</v>
      </c>
      <c r="L3481" s="26">
        <v>26.0</v>
      </c>
      <c r="M3481" s="26" t="s">
        <v>24</v>
      </c>
      <c r="N3481" s="26" t="s">
        <v>25</v>
      </c>
      <c r="O3481" s="27">
        <v>160000.0</v>
      </c>
      <c r="P3481" s="10">
        <f t="shared" si="2"/>
        <v>0</v>
      </c>
      <c r="Q3481" s="12">
        <f t="shared" si="3"/>
        <v>147562</v>
      </c>
      <c r="R3481" s="26">
        <v>1964.0</v>
      </c>
      <c r="S3481" s="26">
        <v>8.1</v>
      </c>
    </row>
    <row r="3482" ht="15.75" customHeight="1">
      <c r="A3482" s="29" t="s">
        <v>491</v>
      </c>
      <c r="B3482" s="8" t="str">
        <f>IFERROR(__xludf.DUMMYFUNCTION("REGEXREPLACE(A3482, ""[^0-9a-zA-Z .'Ã]"","""")"),"Chuck Russell")</f>
        <v>Chuck Russell</v>
      </c>
      <c r="C3482" s="30">
        <v>100.0</v>
      </c>
      <c r="D3482" s="31">
        <v>2.9374178E7</v>
      </c>
      <c r="E3482" s="30" t="s">
        <v>873</v>
      </c>
      <c r="F3482" s="9">
        <f t="shared" si="1"/>
        <v>4</v>
      </c>
      <c r="G3482" s="30" t="s">
        <v>7687</v>
      </c>
      <c r="H3482" s="11" t="str">
        <f>IFERROR(__xludf.DUMMYFUNCTION("REGEXREPLACE(G3482, ""[^0-9a-zA-Z .'Ã]"","""")"),"Rufus Sewell")</f>
        <v>Rufus Sewell</v>
      </c>
      <c r="I3482" s="32" t="s">
        <v>10821</v>
      </c>
      <c r="J3482" s="30">
        <v>12093.0</v>
      </c>
      <c r="K3482" s="30" t="s">
        <v>10822</v>
      </c>
      <c r="L3482" s="30">
        <v>188.0</v>
      </c>
      <c r="M3482" s="30" t="s">
        <v>24</v>
      </c>
      <c r="N3482" s="30" t="s">
        <v>25</v>
      </c>
      <c r="O3482" s="31">
        <v>4.0E7</v>
      </c>
      <c r="P3482" s="10">
        <f t="shared" si="2"/>
        <v>0</v>
      </c>
      <c r="Q3482" s="12">
        <f t="shared" si="3"/>
        <v>10625822</v>
      </c>
      <c r="R3482" s="30">
        <v>2000.0</v>
      </c>
      <c r="S3482" s="30">
        <v>5.1</v>
      </c>
    </row>
    <row r="3483" ht="15.75" customHeight="1">
      <c r="A3483" s="17" t="s">
        <v>7779</v>
      </c>
      <c r="B3483" s="8" t="str">
        <f>IFERROR(__xludf.DUMMYFUNCTION("REGEXREPLACE(A3483, ""[^0-9a-zA-Z .'Ã]"","""")"),"Rawson Marshall Thurber")</f>
        <v>Rawson Marshall Thurber</v>
      </c>
      <c r="C3483" s="18">
        <v>177.0</v>
      </c>
      <c r="D3483" s="19">
        <v>1.26088877E8</v>
      </c>
      <c r="E3483" s="18" t="s">
        <v>265</v>
      </c>
      <c r="F3483" s="9">
        <f t="shared" si="1"/>
        <v>3</v>
      </c>
      <c r="G3483" s="18" t="s">
        <v>50</v>
      </c>
      <c r="H3483" s="11" t="str">
        <f>IFERROR(__xludf.DUMMYFUNCTION("REGEXREPLACE(G3483, ""[^0-9a-zA-Z .'Ã]"","""")"),"Dwayne Johnson")</f>
        <v>Dwayne Johnson</v>
      </c>
      <c r="I3483" s="20" t="s">
        <v>10823</v>
      </c>
      <c r="J3483" s="18">
        <v>33354.0</v>
      </c>
      <c r="K3483" s="18" t="s">
        <v>10824</v>
      </c>
      <c r="L3483" s="18">
        <v>110.0</v>
      </c>
      <c r="M3483" s="18" t="s">
        <v>24</v>
      </c>
      <c r="N3483" s="18" t="s">
        <v>25</v>
      </c>
      <c r="O3483" s="19">
        <v>5.0E7</v>
      </c>
      <c r="P3483" s="10">
        <f t="shared" si="2"/>
        <v>76088877</v>
      </c>
      <c r="Q3483" s="12">
        <f t="shared" si="3"/>
        <v>0</v>
      </c>
      <c r="R3483" s="18">
        <v>2016.0</v>
      </c>
      <c r="S3483" s="18">
        <v>6.6</v>
      </c>
    </row>
    <row r="3484" ht="15.75" customHeight="1">
      <c r="A3484" s="7" t="s">
        <v>6150</v>
      </c>
      <c r="B3484" s="8" t="str">
        <f>IFERROR(__xludf.DUMMYFUNCTION("REGEXREPLACE(A3484, ""[^0-9a-zA-Z .'Ã]"","""")"),"Jon Lucas")</f>
        <v>Jon Lucas</v>
      </c>
      <c r="C3484" s="9">
        <v>168.0</v>
      </c>
      <c r="D3484" s="10">
        <v>2.5675765E7</v>
      </c>
      <c r="E3484" s="9" t="s">
        <v>137</v>
      </c>
      <c r="F3484" s="9">
        <f t="shared" si="1"/>
        <v>1</v>
      </c>
      <c r="G3484" s="9" t="s">
        <v>365</v>
      </c>
      <c r="H3484" s="11" t="str">
        <f>IFERROR(__xludf.DUMMYFUNCTION("REGEXREPLACE(G3484, ""[^0-9a-zA-Z .'Ã]"","""")"),"Justin Chon")</f>
        <v>Justin Chon</v>
      </c>
      <c r="I3484" s="11" t="s">
        <v>10825</v>
      </c>
      <c r="J3484" s="9">
        <v>60407.0</v>
      </c>
      <c r="K3484" s="9" t="s">
        <v>10826</v>
      </c>
      <c r="L3484" s="9">
        <v>84.0</v>
      </c>
      <c r="M3484" s="9" t="s">
        <v>24</v>
      </c>
      <c r="N3484" s="9" t="s">
        <v>25</v>
      </c>
      <c r="O3484" s="10">
        <v>1.3E7</v>
      </c>
      <c r="P3484" s="10">
        <f t="shared" si="2"/>
        <v>12675765</v>
      </c>
      <c r="Q3484" s="12">
        <f t="shared" si="3"/>
        <v>0</v>
      </c>
      <c r="R3484" s="9">
        <v>2013.0</v>
      </c>
      <c r="S3484" s="9">
        <v>5.9</v>
      </c>
    </row>
    <row r="3485" ht="15.75" customHeight="1">
      <c r="A3485" s="7" t="s">
        <v>2759</v>
      </c>
      <c r="B3485" s="8" t="str">
        <f>IFERROR(__xludf.DUMMYFUNCTION("REGEXREPLACE(A3485, ""[^0-9a-zA-Z .'Ã]"","""")"),"Rick Famuyiwa")</f>
        <v>Rick Famuyiwa</v>
      </c>
      <c r="C3485" s="9">
        <v>37.0</v>
      </c>
      <c r="D3485" s="10">
        <v>2.7362712E7</v>
      </c>
      <c r="E3485" s="9" t="s">
        <v>1009</v>
      </c>
      <c r="F3485" s="9">
        <f t="shared" si="1"/>
        <v>4</v>
      </c>
      <c r="G3485" s="9" t="s">
        <v>3423</v>
      </c>
      <c r="H3485" s="11" t="str">
        <f>IFERROR(__xludf.DUMMYFUNCTION("REGEXREPLACE(G3485, ""[^0-9a-zA-Z .'Ã]"","""")"),"Boris Kodjoe")</f>
        <v>Boris Kodjoe</v>
      </c>
      <c r="I3485" s="11" t="s">
        <v>10827</v>
      </c>
      <c r="J3485" s="9">
        <v>5971.0</v>
      </c>
      <c r="K3485" s="9" t="s">
        <v>10828</v>
      </c>
      <c r="L3485" s="9">
        <v>60.0</v>
      </c>
      <c r="M3485" s="9" t="s">
        <v>24</v>
      </c>
      <c r="N3485" s="9" t="s">
        <v>25</v>
      </c>
      <c r="O3485" s="10">
        <v>8000000.0</v>
      </c>
      <c r="P3485" s="10">
        <f t="shared" si="2"/>
        <v>19362712</v>
      </c>
      <c r="Q3485" s="12">
        <f t="shared" si="3"/>
        <v>0</v>
      </c>
      <c r="R3485" s="9">
        <v>2002.0</v>
      </c>
      <c r="S3485" s="9">
        <v>6.5</v>
      </c>
    </row>
    <row r="3486" ht="15.75" customHeight="1">
      <c r="A3486" s="7" t="s">
        <v>10829</v>
      </c>
      <c r="B3486" s="8" t="str">
        <f>IFERROR(__xludf.DUMMYFUNCTION("REGEXREPLACE(A3486, ""[^0-9a-zA-Z .'Ã]"","""")"),"Alex Garland")</f>
        <v>Alex Garland</v>
      </c>
      <c r="C3486" s="9">
        <v>489.0</v>
      </c>
      <c r="D3486" s="10">
        <v>2.5440971E7</v>
      </c>
      <c r="E3486" s="9" t="s">
        <v>1592</v>
      </c>
      <c r="F3486" s="9">
        <f t="shared" si="1"/>
        <v>4</v>
      </c>
      <c r="G3486" s="9" t="s">
        <v>10830</v>
      </c>
      <c r="H3486" s="11" t="str">
        <f>IFERROR(__xludf.DUMMYFUNCTION("REGEXREPLACE(G3486, ""[^0-9a-zA-Z .'Ã]"","""")"),"Elina Alminas")</f>
        <v>Elina Alminas</v>
      </c>
      <c r="I3486" s="11" t="s">
        <v>10831</v>
      </c>
      <c r="J3486" s="9">
        <v>289508.0</v>
      </c>
      <c r="K3486" s="9" t="s">
        <v>10832</v>
      </c>
      <c r="L3486" s="9">
        <v>611.0</v>
      </c>
      <c r="M3486" s="9" t="s">
        <v>24</v>
      </c>
      <c r="N3486" s="9" t="s">
        <v>130</v>
      </c>
      <c r="O3486" s="10">
        <v>1.5E7</v>
      </c>
      <c r="P3486" s="10">
        <f t="shared" si="2"/>
        <v>10440971</v>
      </c>
      <c r="Q3486" s="12">
        <f t="shared" si="3"/>
        <v>0</v>
      </c>
      <c r="R3486" s="9">
        <v>2015.0</v>
      </c>
      <c r="S3486" s="9">
        <v>7.7</v>
      </c>
    </row>
    <row r="3487" ht="15.75" customHeight="1">
      <c r="A3487" s="21" t="s">
        <v>2730</v>
      </c>
      <c r="B3487" s="8" t="str">
        <f>IFERROR(__xludf.DUMMYFUNCTION("REGEXREPLACE(A3487, ""[^0-9a-zA-Z .'Ã]"","""")"),"Matthew Vaughn")</f>
        <v>Matthew Vaughn</v>
      </c>
      <c r="C3487" s="22">
        <v>228.0</v>
      </c>
      <c r="D3487" s="23">
        <v>3.8345403E7</v>
      </c>
      <c r="E3487" s="22" t="s">
        <v>3989</v>
      </c>
      <c r="F3487" s="9">
        <f t="shared" si="1"/>
        <v>4</v>
      </c>
      <c r="G3487" s="22" t="s">
        <v>1307</v>
      </c>
      <c r="H3487" s="11" t="str">
        <f>IFERROR(__xludf.DUMMYFUNCTION("REGEXREPLACE(G3487, ""[^0-9a-zA-Z .'Ã]"","""")"),"Henry Cavill")</f>
        <v>Henry Cavill</v>
      </c>
      <c r="I3487" s="24" t="s">
        <v>10833</v>
      </c>
      <c r="J3487" s="22">
        <v>212085.0</v>
      </c>
      <c r="K3487" s="22" t="s">
        <v>10834</v>
      </c>
      <c r="L3487" s="22">
        <v>492.0</v>
      </c>
      <c r="M3487" s="22" t="s">
        <v>24</v>
      </c>
      <c r="N3487" s="22" t="s">
        <v>130</v>
      </c>
      <c r="O3487" s="23">
        <v>7.0E7</v>
      </c>
      <c r="P3487" s="10">
        <f t="shared" si="2"/>
        <v>0</v>
      </c>
      <c r="Q3487" s="12">
        <f t="shared" si="3"/>
        <v>31654597</v>
      </c>
      <c r="R3487" s="22">
        <v>2007.0</v>
      </c>
      <c r="S3487" s="22">
        <v>7.7</v>
      </c>
    </row>
    <row r="3488" ht="15.75" customHeight="1">
      <c r="A3488" s="7" t="s">
        <v>9831</v>
      </c>
      <c r="B3488" s="8" t="str">
        <f>IFERROR(__xludf.DUMMYFUNCTION("REGEXREPLACE(A3488, ""[^0-9a-zA-Z .'Ã]"","""")"),"J.A. Bayona")</f>
        <v>J.A. Bayona</v>
      </c>
      <c r="C3488" s="9">
        <v>371.0</v>
      </c>
      <c r="D3488" s="10">
        <v>1.8996755E7</v>
      </c>
      <c r="E3488" s="9" t="s">
        <v>369</v>
      </c>
      <c r="F3488" s="9">
        <f t="shared" si="1"/>
        <v>2</v>
      </c>
      <c r="G3488" s="9" t="s">
        <v>874</v>
      </c>
      <c r="H3488" s="11" t="str">
        <f>IFERROR(__xludf.DUMMYFUNCTION("REGEXREPLACE(G3488, ""[^0-9a-zA-Z .'Ã]"","""")"),"Naomi Watts")</f>
        <v>Naomi Watts</v>
      </c>
      <c r="I3488" s="11" t="s">
        <v>10835</v>
      </c>
      <c r="J3488" s="9">
        <v>145270.0</v>
      </c>
      <c r="K3488" s="9" t="s">
        <v>10836</v>
      </c>
      <c r="L3488" s="9">
        <v>322.0</v>
      </c>
      <c r="M3488" s="9" t="s">
        <v>24</v>
      </c>
      <c r="N3488" s="9" t="s">
        <v>1108</v>
      </c>
      <c r="O3488" s="10">
        <v>4.5E7</v>
      </c>
      <c r="P3488" s="10">
        <f t="shared" si="2"/>
        <v>0</v>
      </c>
      <c r="Q3488" s="12">
        <f t="shared" si="3"/>
        <v>26003245</v>
      </c>
      <c r="R3488" s="9">
        <v>2012.0</v>
      </c>
      <c r="S3488" s="9">
        <v>7.6</v>
      </c>
    </row>
    <row r="3489" ht="15.75" customHeight="1">
      <c r="A3489" s="25" t="s">
        <v>2064</v>
      </c>
      <c r="B3489" s="8" t="str">
        <f>IFERROR(__xludf.DUMMYFUNCTION("REGEXREPLACE(A3489, ""[^0-9a-zA-Z .'Ã]"","""")"),"Marc Webb")</f>
        <v>Marc Webb</v>
      </c>
      <c r="C3489" s="26">
        <v>495.0</v>
      </c>
      <c r="D3489" s="27">
        <v>2.02853933E8</v>
      </c>
      <c r="E3489" s="26" t="s">
        <v>1283</v>
      </c>
      <c r="F3489" s="9">
        <f t="shared" si="1"/>
        <v>4</v>
      </c>
      <c r="G3489" s="26" t="s">
        <v>497</v>
      </c>
      <c r="H3489" s="11" t="str">
        <f>IFERROR(__xludf.DUMMYFUNCTION("REGEXREPLACE(G3489, ""[^0-9a-zA-Z .'Ã]"","""")"),"Emma Stone")</f>
        <v>Emma Stone</v>
      </c>
      <c r="I3489" s="28" t="s">
        <v>10837</v>
      </c>
      <c r="J3489" s="26">
        <v>321227.0</v>
      </c>
      <c r="K3489" s="26" t="s">
        <v>10838</v>
      </c>
      <c r="L3489" s="26">
        <v>1067.0</v>
      </c>
      <c r="M3489" s="26" t="s">
        <v>24</v>
      </c>
      <c r="N3489" s="26" t="s">
        <v>25</v>
      </c>
      <c r="O3489" s="27">
        <v>2.0E8</v>
      </c>
      <c r="P3489" s="10">
        <f t="shared" si="2"/>
        <v>2853933</v>
      </c>
      <c r="Q3489" s="12">
        <f t="shared" si="3"/>
        <v>0</v>
      </c>
      <c r="R3489" s="26">
        <v>2014.0</v>
      </c>
      <c r="S3489" s="26">
        <v>6.7</v>
      </c>
    </row>
    <row r="3490" ht="15.75" customHeight="1">
      <c r="A3490" s="21" t="s">
        <v>10839</v>
      </c>
      <c r="B3490" s="8" t="str">
        <f>IFERROR(__xludf.DUMMYFUNCTION("REGEXREPLACE(A3490, ""[^0-9a-zA-Z .'Ã]"","""")"),"Karen Moncrieff")</f>
        <v>Karen Moncrieff</v>
      </c>
      <c r="C3490" s="22">
        <v>44.0</v>
      </c>
      <c r="D3490" s="23">
        <v>464126.0</v>
      </c>
      <c r="E3490" s="22" t="s">
        <v>103</v>
      </c>
      <c r="F3490" s="9">
        <f t="shared" si="1"/>
        <v>1</v>
      </c>
      <c r="G3490" s="22" t="s">
        <v>7954</v>
      </c>
      <c r="H3490" s="11" t="str">
        <f>IFERROR(__xludf.DUMMYFUNCTION("REGEXREPLACE(G3490, ""[^0-9a-zA-Z .'Ã]"","""")"),"Frances Fisher")</f>
        <v>Frances Fisher</v>
      </c>
      <c r="I3490" s="24" t="s">
        <v>10840</v>
      </c>
      <c r="J3490" s="22">
        <v>3142.0</v>
      </c>
      <c r="K3490" s="22" t="s">
        <v>10841</v>
      </c>
      <c r="L3490" s="22">
        <v>68.0</v>
      </c>
      <c r="M3490" s="22" t="s">
        <v>24</v>
      </c>
      <c r="N3490" s="22" t="s">
        <v>25</v>
      </c>
      <c r="O3490" s="23">
        <v>1000000.0</v>
      </c>
      <c r="P3490" s="10">
        <f t="shared" si="2"/>
        <v>0</v>
      </c>
      <c r="Q3490" s="12">
        <f t="shared" si="3"/>
        <v>535874</v>
      </c>
      <c r="R3490" s="22">
        <v>2002.0</v>
      </c>
      <c r="S3490" s="22">
        <v>6.7</v>
      </c>
    </row>
    <row r="3491" ht="15.75" customHeight="1">
      <c r="A3491" s="25" t="s">
        <v>2371</v>
      </c>
      <c r="B3491" s="8" t="str">
        <f>IFERROR(__xludf.DUMMYFUNCTION("REGEXREPLACE(A3491, ""[^0-9a-zA-Z .'Ã]"","""")"),"Sydney Pollack")</f>
        <v>Sydney Pollack</v>
      </c>
      <c r="C3491" s="26">
        <v>56.0</v>
      </c>
      <c r="D3491" s="27">
        <v>1.583484E8</v>
      </c>
      <c r="E3491" s="26" t="s">
        <v>311</v>
      </c>
      <c r="F3491" s="9">
        <f t="shared" si="1"/>
        <v>3</v>
      </c>
      <c r="G3491" s="26" t="s">
        <v>220</v>
      </c>
      <c r="H3491" s="11" t="str">
        <f>IFERROR(__xludf.DUMMYFUNCTION("REGEXREPLACE(G3491, ""[^0-9a-zA-Z .'Ã]"","""")"),"Tom Cruise")</f>
        <v>Tom Cruise</v>
      </c>
      <c r="I3491" s="28" t="s">
        <v>10842</v>
      </c>
      <c r="J3491" s="26">
        <v>88844.0</v>
      </c>
      <c r="K3491" s="26" t="s">
        <v>10843</v>
      </c>
      <c r="L3491" s="26">
        <v>142.0</v>
      </c>
      <c r="M3491" s="26" t="s">
        <v>24</v>
      </c>
      <c r="N3491" s="26" t="s">
        <v>25</v>
      </c>
      <c r="O3491" s="27">
        <v>4.2E7</v>
      </c>
      <c r="P3491" s="10">
        <f t="shared" si="2"/>
        <v>116348400</v>
      </c>
      <c r="Q3491" s="12">
        <f t="shared" si="3"/>
        <v>0</v>
      </c>
      <c r="R3491" s="26">
        <v>1993.0</v>
      </c>
      <c r="S3491" s="26">
        <v>6.8</v>
      </c>
    </row>
    <row r="3492" ht="15.75" customHeight="1">
      <c r="A3492" s="13" t="s">
        <v>3154</v>
      </c>
      <c r="B3492" s="8" t="str">
        <f>IFERROR(__xludf.DUMMYFUNCTION("REGEXREPLACE(A3492, ""[^0-9a-zA-Z .'Ã]"","""")"),"Steve Carr")</f>
        <v>Steve Carr</v>
      </c>
      <c r="C3492" s="14">
        <v>167.0</v>
      </c>
      <c r="D3492" s="15">
        <v>2.0819129E7</v>
      </c>
      <c r="E3492" s="14" t="s">
        <v>265</v>
      </c>
      <c r="F3492" s="9">
        <f t="shared" si="1"/>
        <v>3</v>
      </c>
      <c r="G3492" s="14" t="s">
        <v>10844</v>
      </c>
      <c r="H3492" s="11" t="str">
        <f>IFERROR(__xludf.DUMMYFUNCTION("REGEXREPLACE(G3492, ""[^0-9a-zA-Z .'Ã]"","""")"),"Erick Avari")</f>
        <v>Erick Avari</v>
      </c>
      <c r="I3492" s="16" t="s">
        <v>10845</v>
      </c>
      <c r="J3492" s="14">
        <v>84209.0</v>
      </c>
      <c r="K3492" s="14" t="s">
        <v>10846</v>
      </c>
      <c r="L3492" s="14">
        <v>201.0</v>
      </c>
      <c r="M3492" s="14" t="s">
        <v>24</v>
      </c>
      <c r="N3492" s="14" t="s">
        <v>25</v>
      </c>
      <c r="O3492" s="15">
        <v>2.6E7</v>
      </c>
      <c r="P3492" s="10">
        <f t="shared" si="2"/>
        <v>0</v>
      </c>
      <c r="Q3492" s="12">
        <f t="shared" si="3"/>
        <v>5180871</v>
      </c>
      <c r="R3492" s="14">
        <v>2009.0</v>
      </c>
      <c r="S3492" s="14">
        <v>5.2</v>
      </c>
    </row>
    <row r="3493" ht="15.75" customHeight="1">
      <c r="A3493" s="7" t="s">
        <v>10847</v>
      </c>
      <c r="B3493" s="8" t="str">
        <f>IFERROR(__xludf.DUMMYFUNCTION("REGEXREPLACE(A3493, ""[^0-9a-zA-Z .'Ã]"","""")"),"Willard Huyck")</f>
        <v>Willard Huyck</v>
      </c>
      <c r="C3493" s="9">
        <v>81.0</v>
      </c>
      <c r="D3493" s="10">
        <v>1.6295774E7</v>
      </c>
      <c r="E3493" s="9" t="s">
        <v>4448</v>
      </c>
      <c r="F3493" s="9">
        <f t="shared" si="1"/>
        <v>5</v>
      </c>
      <c r="G3493" s="9" t="s">
        <v>3575</v>
      </c>
      <c r="H3493" s="11" t="str">
        <f>IFERROR(__xludf.DUMMYFUNCTION("REGEXREPLACE(G3493, ""[^0-9a-zA-Z .'Ã]"","""")"),"Lea Thompson")</f>
        <v>Lea Thompson</v>
      </c>
      <c r="I3493" s="11" t="s">
        <v>10848</v>
      </c>
      <c r="J3493" s="9">
        <v>33669.0</v>
      </c>
      <c r="K3493" s="9" t="s">
        <v>10849</v>
      </c>
      <c r="L3493" s="9">
        <v>269.0</v>
      </c>
      <c r="M3493" s="9" t="s">
        <v>24</v>
      </c>
      <c r="N3493" s="9" t="s">
        <v>25</v>
      </c>
      <c r="O3493" s="10">
        <v>3.5E7</v>
      </c>
      <c r="P3493" s="10">
        <f t="shared" si="2"/>
        <v>0</v>
      </c>
      <c r="Q3493" s="12">
        <f t="shared" si="3"/>
        <v>18704226</v>
      </c>
      <c r="R3493" s="9">
        <v>1986.0</v>
      </c>
      <c r="S3493" s="9">
        <v>4.6</v>
      </c>
    </row>
  </sheetData>
  <autoFilter ref="$A$1:$S$3493"/>
  <conditionalFormatting sqref="A1:S3493">
    <cfRule type="containsBlanks" dxfId="0" priority="1">
      <formula>LEN(TRIM(A1))=0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7.57"/>
    <col customWidth="1" min="2" max="2" width="19.57"/>
    <col customWidth="1" min="5" max="5" width="47.57"/>
    <col customWidth="1" min="6" max="6" width="16.86"/>
    <col customWidth="1" min="8" max="8" width="19.86"/>
    <col customWidth="1" min="9" max="9" width="19.57"/>
    <col customWidth="1" min="11" max="11" width="38.71"/>
    <col customWidth="1" min="12" max="12" width="16.86"/>
  </cols>
  <sheetData>
    <row r="1">
      <c r="A1" s="33" t="s">
        <v>8</v>
      </c>
      <c r="B1" s="33" t="s">
        <v>10850</v>
      </c>
      <c r="E1" s="33" t="s">
        <v>8</v>
      </c>
      <c r="F1" s="33" t="s">
        <v>15</v>
      </c>
      <c r="H1" s="34" t="s">
        <v>10851</v>
      </c>
      <c r="I1" s="34" t="s">
        <v>16</v>
      </c>
      <c r="J1" s="34" t="s">
        <v>13</v>
      </c>
    </row>
    <row r="2">
      <c r="A2" s="11" t="s">
        <v>22</v>
      </c>
      <c r="B2" s="35">
        <f t="array" ref="B2">XLOOKUP(A2,IMDB_Movies!I$2:I$3493,IMDB_Movies!Q$2:Q$3493)</f>
        <v>0</v>
      </c>
      <c r="E2" s="11" t="s">
        <v>22</v>
      </c>
      <c r="F2" s="36">
        <f t="array" ref="F2">XLOOKUP(A2,IMDB_Movies!I$2:I$3493,IMDB_Movies!P$2:P$3493)</f>
        <v>17011847</v>
      </c>
      <c r="H2" s="37" t="str">
        <f t="array" ref="H2:I11">SORTN(A2:B3493,10,0,2,0)</f>
        <v>Fateless </v>
      </c>
      <c r="I2" s="38">
        <v>2.499804112E9</v>
      </c>
      <c r="J2" s="39" t="str">
        <f t="array" ref="J2">XLOOKUP(H2,IMDB_Movies!I$15:I$3454,IMDB_Movies!N$15:N$3454)</f>
        <v>Hungary</v>
      </c>
    </row>
    <row r="3">
      <c r="A3" s="11" t="s">
        <v>29</v>
      </c>
      <c r="B3" s="35">
        <f t="array" ref="B3">XLOOKUP(A3,IMDB_Movies!I$2:I$3493,IMDB_Movies!Q$2:Q$3493)</f>
        <v>76227778</v>
      </c>
      <c r="E3" s="11" t="s">
        <v>29</v>
      </c>
      <c r="F3" s="36">
        <f t="array" ref="F3">XLOOKUP(A3,IMDB_Movies!I$2:I$3493,IMDB_Movies!P$2:P$3493)</f>
        <v>0</v>
      </c>
      <c r="H3" s="37" t="s">
        <v>6865</v>
      </c>
      <c r="I3" s="38">
        <v>2.397701809E9</v>
      </c>
      <c r="J3" s="39" t="str">
        <f t="array" ref="J3">XLOOKUP(H3,IMDB_Movies!I$15:I$3454,IMDB_Movies!N$15:N$3454)</f>
        <v>Japan</v>
      </c>
    </row>
    <row r="4">
      <c r="A4" s="11" t="s">
        <v>34</v>
      </c>
      <c r="B4" s="35">
        <f t="array" ref="B4">XLOOKUP(A4,IMDB_Movies!I$2:I$3493,IMDB_Movies!Q$2:Q$3493)</f>
        <v>0</v>
      </c>
      <c r="E4" s="11" t="s">
        <v>34</v>
      </c>
      <c r="F4" s="36">
        <f t="array" ref="F4">XLOOKUP(A4,IMDB_Movies!I$2:I$3493,IMDB_Movies!P$2:P$3493)</f>
        <v>36371181</v>
      </c>
      <c r="H4" s="37" t="s">
        <v>5057</v>
      </c>
      <c r="I4" s="38">
        <v>2.12710951E9</v>
      </c>
      <c r="J4" s="39" t="str">
        <f t="array" ref="J4">XLOOKUP(H4,IMDB_Movies!I$15:I$3454,IMDB_Movies!N$15:N$3454)</f>
        <v>Japan</v>
      </c>
    </row>
    <row r="5">
      <c r="A5" s="16" t="s">
        <v>39</v>
      </c>
      <c r="B5" s="35">
        <f t="array" ref="B5">XLOOKUP(A5,IMDB_Movies!I$2:I$3493,IMDB_Movies!Q$2:Q$3493)</f>
        <v>0</v>
      </c>
      <c r="E5" s="16" t="s">
        <v>39</v>
      </c>
      <c r="F5" s="36">
        <f t="array" ref="F5">XLOOKUP(A5,IMDB_Movies!I$2:I$3493,IMDB_Movies!P$2:P$3493)</f>
        <v>3300000</v>
      </c>
      <c r="H5" s="37" t="s">
        <v>1532</v>
      </c>
      <c r="I5" s="38">
        <v>1.099560838E9</v>
      </c>
      <c r="J5" s="39" t="str">
        <f t="array" ref="J5">XLOOKUP(H5,IMDB_Movies!I$15:I$3454,IMDB_Movies!N$15:N$3454)</f>
        <v>Japan</v>
      </c>
    </row>
    <row r="6">
      <c r="A6" s="16" t="s">
        <v>46</v>
      </c>
      <c r="B6" s="35">
        <f t="array" ref="B6">XLOOKUP(A6,IMDB_Movies!I$2:I$3493,IMDB_Movies!Q$2:Q$3493)</f>
        <v>0</v>
      </c>
      <c r="E6" s="16" t="s">
        <v>46</v>
      </c>
      <c r="F6" s="36">
        <f t="array" ref="F6">XLOOKUP(A6,IMDB_Movies!I$2:I$3493,IMDB_Movies!P$2:P$3493)</f>
        <v>13983704</v>
      </c>
      <c r="H6" s="37" t="s">
        <v>6505</v>
      </c>
      <c r="I6" s="38">
        <v>9.8996261E8</v>
      </c>
      <c r="J6" s="39" t="str">
        <f t="array" ref="J6">XLOOKUP(H6,IMDB_Movies!I$15:I$3454,IMDB_Movies!N$15:N$3454)</f>
        <v>Japan</v>
      </c>
    </row>
    <row r="7">
      <c r="A7" s="11" t="s">
        <v>51</v>
      </c>
      <c r="B7" s="35">
        <f t="array" ref="B7">XLOOKUP(A7,IMDB_Movies!I$2:I$3493,IMDB_Movies!Q$2:Q$3493)</f>
        <v>10139961</v>
      </c>
      <c r="E7" s="11" t="s">
        <v>51</v>
      </c>
      <c r="F7" s="36">
        <f t="array" ref="F7">XLOOKUP(A7,IMDB_Movies!I$2:I$3493,IMDB_Movies!P$2:P$3493)</f>
        <v>0</v>
      </c>
      <c r="H7" s="37" t="s">
        <v>2766</v>
      </c>
      <c r="I7" s="38">
        <v>6.98312689E8</v>
      </c>
      <c r="J7" s="39" t="str">
        <f t="array" ref="J7">XLOOKUP(H7,IMDB_Movies!I$15:I$3454,IMDB_Movies!N$15:N$3454)</f>
        <v>Spain</v>
      </c>
    </row>
    <row r="8">
      <c r="A8" s="11" t="s">
        <v>56</v>
      </c>
      <c r="B8" s="35">
        <f t="array" ref="B8">XLOOKUP(A8,IMDB_Movies!I$2:I$3493,IMDB_Movies!Q$2:Q$3493)</f>
        <v>0</v>
      </c>
      <c r="E8" s="11" t="s">
        <v>56</v>
      </c>
      <c r="F8" s="36">
        <f t="array" ref="F8">XLOOKUP(A8,IMDB_Movies!I$2:I$3493,IMDB_Movies!P$2:P$3493)</f>
        <v>99930000</v>
      </c>
      <c r="H8" s="37" t="s">
        <v>5773</v>
      </c>
      <c r="I8" s="38">
        <v>6.96724557E8</v>
      </c>
      <c r="J8" s="39" t="str">
        <f t="array" ref="J8">XLOOKUP(H8,IMDB_Movies!I$15:I$3454,IMDB_Movies!N$15:N$3454)</f>
        <v>India</v>
      </c>
    </row>
    <row r="9">
      <c r="A9" s="11" t="s">
        <v>61</v>
      </c>
      <c r="B9" s="35">
        <f t="array" ref="B9">XLOOKUP(A9,IMDB_Movies!I$2:I$3493,IMDB_Movies!Q$2:Q$3493)</f>
        <v>1388796</v>
      </c>
      <c r="E9" s="11" t="s">
        <v>61</v>
      </c>
      <c r="F9" s="36">
        <f t="array" ref="F9">XLOOKUP(A9,IMDB_Movies!I$2:I$3493,IMDB_Movies!P$2:P$3493)</f>
        <v>0</v>
      </c>
      <c r="H9" s="37" t="s">
        <v>3749</v>
      </c>
      <c r="I9" s="38">
        <v>5.98397534E8</v>
      </c>
      <c r="J9" s="39" t="str">
        <f t="array" ref="J9">XLOOKUP(H9,IMDB_Movies!I$15:I$3454,IMDB_Movies!N$15:N$3454)</f>
        <v>India</v>
      </c>
    </row>
    <row r="10">
      <c r="A10" s="20" t="s">
        <v>66</v>
      </c>
      <c r="B10" s="35">
        <f t="array" ref="B10">XLOOKUP(A10,IMDB_Movies!I$2:I$3493,IMDB_Movies!Q$2:Q$3493)</f>
        <v>11499034</v>
      </c>
      <c r="E10" s="20" t="s">
        <v>66</v>
      </c>
      <c r="F10" s="36">
        <f t="array" ref="F10">XLOOKUP(A10,IMDB_Movies!I$2:I$3493,IMDB_Movies!P$2:P$3493)</f>
        <v>0</v>
      </c>
      <c r="H10" s="37" t="s">
        <v>6907</v>
      </c>
      <c r="I10" s="38">
        <v>5.53005191E8</v>
      </c>
      <c r="J10" s="39" t="str">
        <f t="array" ref="J10">XLOOKUP(H10,IMDB_Movies!I$15:I$3454,IMDB_Movies!N$15:N$3454)</f>
        <v>China</v>
      </c>
    </row>
    <row r="11">
      <c r="A11" s="20" t="s">
        <v>71</v>
      </c>
      <c r="B11" s="35">
        <f t="array" ref="B11">XLOOKUP(A11,IMDB_Movies!I$2:I$3493,IMDB_Movies!Q$2:Q$3493)</f>
        <v>0</v>
      </c>
      <c r="E11" s="20" t="s">
        <v>71</v>
      </c>
      <c r="F11" s="36">
        <f t="array" ref="F11">XLOOKUP(A11,IMDB_Movies!I$2:I$3493,IMDB_Movies!P$2:P$3493)</f>
        <v>15169908</v>
      </c>
      <c r="H11" s="37" t="s">
        <v>5234</v>
      </c>
      <c r="I11" s="38">
        <v>3.99545745E8</v>
      </c>
      <c r="J11" s="39" t="str">
        <f t="array" ref="J11">XLOOKUP(H11,IMDB_Movies!I$15:I$3454,IMDB_Movies!N$15:N$3454)</f>
        <v>Thailand</v>
      </c>
    </row>
    <row r="12">
      <c r="A12" s="11" t="s">
        <v>76</v>
      </c>
      <c r="B12" s="35">
        <f t="array" ref="B12">XLOOKUP(A12,IMDB_Movies!I$2:I$3493,IMDB_Movies!Q$2:Q$3493)</f>
        <v>0</v>
      </c>
      <c r="E12" s="11" t="s">
        <v>76</v>
      </c>
      <c r="F12" s="36">
        <f t="array" ref="F12">XLOOKUP(A12,IMDB_Movies!I$2:I$3493,IMDB_Movies!P$2:P$3493)</f>
        <v>16638745</v>
      </c>
    </row>
    <row r="13">
      <c r="A13" s="11" t="s">
        <v>81</v>
      </c>
      <c r="B13" s="35">
        <f t="array" ref="B13">XLOOKUP(A13,IMDB_Movies!I$2:I$3493,IMDB_Movies!Q$2:Q$3493)</f>
        <v>0</v>
      </c>
      <c r="E13" s="11" t="s">
        <v>81</v>
      </c>
      <c r="F13" s="36">
        <f t="array" ref="F13">XLOOKUP(A13,IMDB_Movies!I$2:I$3493,IMDB_Movies!P$2:P$3493)</f>
        <v>8269963</v>
      </c>
    </row>
    <row r="14">
      <c r="A14" s="11" t="s">
        <v>86</v>
      </c>
      <c r="B14" s="35">
        <f t="array" ref="B14">XLOOKUP(A14,IMDB_Movies!I$2:I$3493,IMDB_Movies!Q$2:Q$3493)</f>
        <v>32368843</v>
      </c>
      <c r="E14" s="11" t="s">
        <v>86</v>
      </c>
      <c r="F14" s="36">
        <f t="array" ref="F14">XLOOKUP(A14,IMDB_Movies!I$2:I$3493,IMDB_Movies!P$2:P$3493)</f>
        <v>0</v>
      </c>
      <c r="H14" s="40" t="s">
        <v>10852</v>
      </c>
      <c r="I14" s="40" t="s">
        <v>10853</v>
      </c>
      <c r="J14" s="40" t="s">
        <v>10854</v>
      </c>
    </row>
    <row r="15">
      <c r="A15" s="20" t="s">
        <v>91</v>
      </c>
      <c r="B15" s="35">
        <f t="array" ref="B15">XLOOKUP(A15,IMDB_Movies!I$2:I$3493,IMDB_Movies!Q$2:Q$3493)</f>
        <v>571465</v>
      </c>
      <c r="E15" s="20" t="s">
        <v>91</v>
      </c>
      <c r="F15" s="36">
        <f t="array" ref="F15">XLOOKUP(A15,IMDB_Movies!I$2:I$3493,IMDB_Movies!P$2:P$3493)</f>
        <v>0</v>
      </c>
      <c r="H15" s="41" t="str">
        <f t="array" ref="H15:I24">SORTN(E2:F3493,10,0,2,0)</f>
        <v>Avatar</v>
      </c>
      <c r="I15" s="42">
        <v>5.23505847E8</v>
      </c>
      <c r="J15" s="41" t="str">
        <f t="array" ref="J15">XLOOKUP(H15,IMDB_Movies!I$15:I$3454,IMDB_Movies!N$15:N$3454)</f>
        <v>USA</v>
      </c>
    </row>
    <row r="16">
      <c r="A16" s="11" t="s">
        <v>96</v>
      </c>
      <c r="B16" s="35">
        <f t="array" ref="B16">XLOOKUP(A16,IMDB_Movies!I$2:I$3493,IMDB_Movies!Q$2:Q$3493)</f>
        <v>0</v>
      </c>
      <c r="E16" s="11" t="s">
        <v>96</v>
      </c>
      <c r="F16" s="36">
        <f t="array" ref="F16">XLOOKUP(A16,IMDB_Movies!I$2:I$3493,IMDB_Movies!P$2:P$3493)</f>
        <v>7468807</v>
      </c>
      <c r="H16" s="41" t="s">
        <v>3415</v>
      </c>
      <c r="I16" s="42">
        <v>5.02177271E8</v>
      </c>
      <c r="J16" s="41" t="str">
        <f t="array" ref="J16">XLOOKUP(H16,IMDB_Movies!I$15:I$3454,IMDB_Movies!N$15:N$3454)</f>
        <v>USA</v>
      </c>
    </row>
    <row r="17">
      <c r="A17" s="11" t="s">
        <v>100</v>
      </c>
      <c r="B17" s="35">
        <f t="array" ref="B17">XLOOKUP(A17,IMDB_Movies!I$2:I$3493,IMDB_Movies!Q$2:Q$3493)</f>
        <v>10810486</v>
      </c>
      <c r="E17" s="11" t="s">
        <v>100</v>
      </c>
      <c r="F17" s="36">
        <f t="array" ref="F17">XLOOKUP(A17,IMDB_Movies!I$2:I$3493,IMDB_Movies!P$2:P$3493)</f>
        <v>0</v>
      </c>
      <c r="H17" s="41" t="s">
        <v>5941</v>
      </c>
      <c r="I17" s="42">
        <v>4.58672302E8</v>
      </c>
      <c r="J17" s="41" t="str">
        <f t="array" ref="J17">XLOOKUP(H17,IMDB_Movies!I$15:I$3454,IMDB_Movies!N$15:N$3454)</f>
        <v>USA</v>
      </c>
    </row>
    <row r="18">
      <c r="A18" s="16" t="s">
        <v>105</v>
      </c>
      <c r="B18" s="35">
        <f t="array" ref="B18">XLOOKUP(A18,IMDB_Movies!I$2:I$3493,IMDB_Movies!Q$2:Q$3493)</f>
        <v>0</v>
      </c>
      <c r="E18" s="16" t="s">
        <v>105</v>
      </c>
      <c r="F18" s="36">
        <f t="array" ref="F18">XLOOKUP(A18,IMDB_Movies!I$2:I$3493,IMDB_Movies!P$2:P$3493)</f>
        <v>485341</v>
      </c>
      <c r="H18" s="41" t="s">
        <v>1284</v>
      </c>
      <c r="I18" s="42">
        <v>4.49935665E8</v>
      </c>
      <c r="J18" s="41" t="str">
        <f t="array" ref="J18">XLOOKUP(H18,IMDB_Movies!I$15:I$3454,IMDB_Movies!N$15:N$3454)</f>
        <v>USA</v>
      </c>
    </row>
    <row r="19">
      <c r="A19" s="11" t="s">
        <v>110</v>
      </c>
      <c r="B19" s="35">
        <f t="array" ref="B19">XLOOKUP(A19,IMDB_Movies!I$2:I$3493,IMDB_Movies!Q$2:Q$3493)</f>
        <v>0</v>
      </c>
      <c r="E19" s="11" t="s">
        <v>110</v>
      </c>
      <c r="F19" s="36">
        <f t="array" ref="F19">XLOOKUP(A19,IMDB_Movies!I$2:I$3493,IMDB_Movies!P$2:P$3493)</f>
        <v>4768374</v>
      </c>
      <c r="H19" s="41" t="s">
        <v>5830</v>
      </c>
      <c r="I19" s="42">
        <v>4.24449459E8</v>
      </c>
      <c r="J19" s="41" t="str">
        <f t="array" ref="J19">XLOOKUP(H19,IMDB_Movies!I$15:I$3454,IMDB_Movies!N$15:N$3454)</f>
        <v>USA</v>
      </c>
    </row>
    <row r="20">
      <c r="A20" s="11" t="s">
        <v>114</v>
      </c>
      <c r="B20" s="35">
        <f t="array" ref="B20">XLOOKUP(A20,IMDB_Movies!I$2:I$3493,IMDB_Movies!Q$2:Q$3493)</f>
        <v>0</v>
      </c>
      <c r="E20" s="11" t="s">
        <v>114</v>
      </c>
      <c r="F20" s="36">
        <f t="array" ref="F20">XLOOKUP(A20,IMDB_Movies!I$2:I$3493,IMDB_Movies!P$2:P$3493)</f>
        <v>35026631</v>
      </c>
      <c r="H20" s="41" t="s">
        <v>4585</v>
      </c>
      <c r="I20" s="42">
        <v>4.03279547E8</v>
      </c>
      <c r="J20" s="41" t="str">
        <f t="array" ref="J20">XLOOKUP(H20,IMDB_Movies!I$15:I$3454,IMDB_Movies!N$15:N$3454)</f>
        <v>USA</v>
      </c>
    </row>
    <row r="21">
      <c r="A21" s="11" t="s">
        <v>119</v>
      </c>
      <c r="B21" s="35">
        <f t="array" ref="B21">XLOOKUP(A21,IMDB_Movies!I$2:I$3493,IMDB_Movies!Q$2:Q$3493)</f>
        <v>744000</v>
      </c>
      <c r="E21" s="11" t="s">
        <v>119</v>
      </c>
      <c r="F21" s="36">
        <f t="array" ref="F21">XLOOKUP(A21,IMDB_Movies!I$2:I$3493,IMDB_Movies!P$2:P$3493)</f>
        <v>0</v>
      </c>
      <c r="H21" s="41" t="s">
        <v>5041</v>
      </c>
      <c r="I21" s="42">
        <v>3.77783777E8</v>
      </c>
      <c r="J21" s="41" t="str">
        <f t="array" ref="J21">XLOOKUP(H21,IMDB_Movies!I$15:I$3454,IMDB_Movies!N$15:N$3454)</f>
        <v>USA</v>
      </c>
    </row>
    <row r="22">
      <c r="A22" s="20" t="s">
        <v>123</v>
      </c>
      <c r="B22" s="35">
        <f t="array" ref="B22">XLOOKUP(A22,IMDB_Movies!I$2:I$3493,IMDB_Movies!Q$2:Q$3493)</f>
        <v>19483292</v>
      </c>
      <c r="E22" s="20" t="s">
        <v>123</v>
      </c>
      <c r="F22" s="36">
        <f t="array" ref="F22">XLOOKUP(A22,IMDB_Movies!I$2:I$3493,IMDB_Movies!P$2:P$3493)</f>
        <v>0</v>
      </c>
      <c r="H22" s="41" t="s">
        <v>7209</v>
      </c>
      <c r="I22" s="42">
        <v>3.59544677E8</v>
      </c>
      <c r="J22" s="41" t="str">
        <f t="array" ref="J22">XLOOKUP(H22,IMDB_Movies!I$15:I$3454,IMDB_Movies!N$15:N$3454)</f>
        <v>USA</v>
      </c>
    </row>
    <row r="23">
      <c r="A23" s="20" t="s">
        <v>128</v>
      </c>
      <c r="B23" s="35">
        <f t="array" ref="B23">XLOOKUP(A23,IMDB_Movies!I$2:I$3493,IMDB_Movies!Q$2:Q$3493)</f>
        <v>0</v>
      </c>
      <c r="E23" s="20" t="s">
        <v>128</v>
      </c>
      <c r="F23" s="36">
        <f t="array" ref="F23">XLOOKUP(A23,IMDB_Movies!I$2:I$3493,IMDB_Movies!P$2:P$3493)</f>
        <v>15618786</v>
      </c>
      <c r="H23" s="41" t="s">
        <v>6383</v>
      </c>
      <c r="I23" s="42">
        <v>3.48316061E8</v>
      </c>
      <c r="J23" s="41" t="str">
        <f t="array" ref="J23">XLOOKUP(H23,IMDB_Movies!I$15:I$3454,IMDB_Movies!N$15:N$3454)</f>
        <v>USA</v>
      </c>
    </row>
    <row r="24">
      <c r="A24" s="16" t="s">
        <v>134</v>
      </c>
      <c r="B24" s="35">
        <f t="array" ref="B24">XLOOKUP(A24,IMDB_Movies!I$2:I$3493,IMDB_Movies!Q$2:Q$3493)</f>
        <v>5110478</v>
      </c>
      <c r="E24" s="16" t="s">
        <v>134</v>
      </c>
      <c r="F24" s="36">
        <f t="array" ref="F24">XLOOKUP(A24,IMDB_Movies!I$2:I$3493,IMDB_Movies!P$2:P$3493)</f>
        <v>0</v>
      </c>
      <c r="H24" s="41" t="s">
        <v>2944</v>
      </c>
      <c r="I24" s="42">
        <v>3.29999255E8</v>
      </c>
      <c r="J24" s="41" t="str">
        <f t="array" ref="J24">XLOOKUP(H24,IMDB_Movies!I$15:I$3454,IMDB_Movies!N$15:N$3454)</f>
        <v>USA</v>
      </c>
    </row>
    <row r="25">
      <c r="A25" s="11" t="s">
        <v>139</v>
      </c>
      <c r="B25" s="35">
        <f t="array" ref="B25">XLOOKUP(A25,IMDB_Movies!I$2:I$3493,IMDB_Movies!Q$2:Q$3493)</f>
        <v>0</v>
      </c>
      <c r="E25" s="11" t="s">
        <v>139</v>
      </c>
      <c r="F25" s="36">
        <f t="array" ref="F25">XLOOKUP(A25,IMDB_Movies!I$2:I$3493,IMDB_Movies!P$2:P$3493)</f>
        <v>76700000</v>
      </c>
    </row>
    <row r="26">
      <c r="A26" s="11" t="s">
        <v>144</v>
      </c>
      <c r="B26" s="35">
        <f t="array" ref="B26">XLOOKUP(A26,IMDB_Movies!I$2:I$3493,IMDB_Movies!Q$2:Q$3493)</f>
        <v>27699111</v>
      </c>
      <c r="E26" s="11" t="s">
        <v>144</v>
      </c>
      <c r="F26" s="36">
        <f t="array" ref="F26">XLOOKUP(A26,IMDB_Movies!I$2:I$3493,IMDB_Movies!P$2:P$3493)</f>
        <v>0</v>
      </c>
    </row>
    <row r="27">
      <c r="A27" s="11" t="s">
        <v>149</v>
      </c>
      <c r="B27" s="35">
        <f t="array" ref="B27">XLOOKUP(A27,IMDB_Movies!I$2:I$3493,IMDB_Movies!Q$2:Q$3493)</f>
        <v>0</v>
      </c>
      <c r="E27" s="11" t="s">
        <v>149</v>
      </c>
      <c r="F27" s="36">
        <f t="array" ref="F27">XLOOKUP(A27,IMDB_Movies!I$2:I$3493,IMDB_Movies!P$2:P$3493)</f>
        <v>24705000</v>
      </c>
    </row>
    <row r="28">
      <c r="A28" s="16" t="s">
        <v>154</v>
      </c>
      <c r="B28" s="35">
        <f t="array" ref="B28">XLOOKUP(A28,IMDB_Movies!I$2:I$3493,IMDB_Movies!Q$2:Q$3493)</f>
        <v>34950587</v>
      </c>
      <c r="E28" s="16" t="s">
        <v>154</v>
      </c>
      <c r="F28" s="36">
        <f t="array" ref="F28">XLOOKUP(A28,IMDB_Movies!I$2:I$3493,IMDB_Movies!P$2:P$3493)</f>
        <v>0</v>
      </c>
    </row>
    <row r="29">
      <c r="A29" s="11" t="s">
        <v>161</v>
      </c>
      <c r="B29" s="35">
        <f t="array" ref="B29">XLOOKUP(A29,IMDB_Movies!I$2:I$3493,IMDB_Movies!Q$2:Q$3493)</f>
        <v>89787380</v>
      </c>
      <c r="E29" s="11" t="s">
        <v>161</v>
      </c>
      <c r="F29" s="36">
        <f t="array" ref="F29">XLOOKUP(A29,IMDB_Movies!I$2:I$3493,IMDB_Movies!P$2:P$3493)</f>
        <v>0</v>
      </c>
    </row>
    <row r="30">
      <c r="A30" s="11" t="s">
        <v>166</v>
      </c>
      <c r="B30" s="35">
        <f t="array" ref="B30">XLOOKUP(A30,IMDB_Movies!I$2:I$3493,IMDB_Movies!Q$2:Q$3493)</f>
        <v>0</v>
      </c>
      <c r="E30" s="11" t="s">
        <v>166</v>
      </c>
      <c r="F30" s="36">
        <f t="array" ref="F30">XLOOKUP(A30,IMDB_Movies!I$2:I$3493,IMDB_Movies!P$2:P$3493)</f>
        <v>27049108</v>
      </c>
    </row>
    <row r="31">
      <c r="A31" s="11" t="s">
        <v>171</v>
      </c>
      <c r="B31" s="35">
        <f t="array" ref="B31">XLOOKUP(A31,IMDB_Movies!I$2:I$3493,IMDB_Movies!Q$2:Q$3493)</f>
        <v>0</v>
      </c>
      <c r="E31" s="11" t="s">
        <v>171</v>
      </c>
      <c r="F31" s="36">
        <f t="array" ref="F31">XLOOKUP(A31,IMDB_Movies!I$2:I$3493,IMDB_Movies!P$2:P$3493)</f>
        <v>1167270</v>
      </c>
    </row>
    <row r="32">
      <c r="A32" s="20" t="s">
        <v>177</v>
      </c>
      <c r="B32" s="35">
        <f t="array" ref="B32">XLOOKUP(A32,IMDB_Movies!I$2:I$3493,IMDB_Movies!Q$2:Q$3493)</f>
        <v>76896216</v>
      </c>
      <c r="E32" s="20" t="s">
        <v>177</v>
      </c>
      <c r="F32" s="36">
        <f t="array" ref="F32">XLOOKUP(A32,IMDB_Movies!I$2:I$3493,IMDB_Movies!P$2:P$3493)</f>
        <v>0</v>
      </c>
    </row>
    <row r="33">
      <c r="A33" s="11" t="s">
        <v>182</v>
      </c>
      <c r="B33" s="35">
        <f t="array" ref="B33">XLOOKUP(A33,IMDB_Movies!I$2:I$3493,IMDB_Movies!Q$2:Q$3493)</f>
        <v>0</v>
      </c>
      <c r="E33" s="11" t="s">
        <v>182</v>
      </c>
      <c r="F33" s="36">
        <f t="array" ref="F33">XLOOKUP(A33,IMDB_Movies!I$2:I$3493,IMDB_Movies!P$2:P$3493)</f>
        <v>82831698</v>
      </c>
    </row>
    <row r="34">
      <c r="A34" s="20" t="s">
        <v>187</v>
      </c>
      <c r="B34" s="35">
        <f t="array" ref="B34">XLOOKUP(A34,IMDB_Movies!I$2:I$3493,IMDB_Movies!Q$2:Q$3493)</f>
        <v>0</v>
      </c>
      <c r="E34" s="20" t="s">
        <v>187</v>
      </c>
      <c r="F34" s="36">
        <f t="array" ref="F34">XLOOKUP(A34,IMDB_Movies!I$2:I$3493,IMDB_Movies!P$2:P$3493)</f>
        <v>66700000</v>
      </c>
    </row>
    <row r="35">
      <c r="A35" s="20" t="s">
        <v>192</v>
      </c>
      <c r="B35" s="35">
        <f t="array" ref="B35">XLOOKUP(A35,IMDB_Movies!I$2:I$3493,IMDB_Movies!Q$2:Q$3493)</f>
        <v>27999515</v>
      </c>
      <c r="E35" s="20" t="s">
        <v>192</v>
      </c>
      <c r="F35" s="36">
        <f t="array" ref="F35">XLOOKUP(A35,IMDB_Movies!I$2:I$3493,IMDB_Movies!P$2:P$3493)</f>
        <v>0</v>
      </c>
    </row>
    <row r="36">
      <c r="A36" s="20" t="s">
        <v>196</v>
      </c>
      <c r="B36" s="35">
        <f t="array" ref="B36">XLOOKUP(A36,IMDB_Movies!I$2:I$3493,IMDB_Movies!Q$2:Q$3493)</f>
        <v>0</v>
      </c>
      <c r="E36" s="20" t="s">
        <v>196</v>
      </c>
      <c r="F36" s="36">
        <f t="array" ref="F36">XLOOKUP(A36,IMDB_Movies!I$2:I$3493,IMDB_Movies!P$2:P$3493)</f>
        <v>42057639</v>
      </c>
    </row>
    <row r="37">
      <c r="A37" s="20" t="s">
        <v>201</v>
      </c>
      <c r="B37" s="35">
        <f t="array" ref="B37">XLOOKUP(A37,IMDB_Movies!I$2:I$3493,IMDB_Movies!Q$2:Q$3493)</f>
        <v>0</v>
      </c>
      <c r="E37" s="20" t="s">
        <v>201</v>
      </c>
      <c r="F37" s="36">
        <f t="array" ref="F37">XLOOKUP(A37,IMDB_Movies!I$2:I$3493,IMDB_Movies!P$2:P$3493)</f>
        <v>29483949</v>
      </c>
    </row>
    <row r="38">
      <c r="A38" s="20" t="s">
        <v>205</v>
      </c>
      <c r="B38" s="35">
        <f t="array" ref="B38">XLOOKUP(A38,IMDB_Movies!I$2:I$3493,IMDB_Movies!Q$2:Q$3493)</f>
        <v>24224407</v>
      </c>
      <c r="E38" s="20" t="s">
        <v>205</v>
      </c>
      <c r="F38" s="36">
        <f t="array" ref="F38">XLOOKUP(A38,IMDB_Movies!I$2:I$3493,IMDB_Movies!P$2:P$3493)</f>
        <v>0</v>
      </c>
    </row>
    <row r="39">
      <c r="A39" s="16" t="s">
        <v>210</v>
      </c>
      <c r="B39" s="35">
        <f t="array" ref="B39">XLOOKUP(A39,IMDB_Movies!I$2:I$3493,IMDB_Movies!Q$2:Q$3493)</f>
        <v>0</v>
      </c>
      <c r="E39" s="16" t="s">
        <v>210</v>
      </c>
      <c r="F39" s="36">
        <f t="array" ref="F39">XLOOKUP(A39,IMDB_Movies!I$2:I$3493,IMDB_Movies!P$2:P$3493)</f>
        <v>3650000</v>
      </c>
    </row>
    <row r="40">
      <c r="A40" s="20" t="s">
        <v>215</v>
      </c>
      <c r="B40" s="35">
        <f t="array" ref="B40">XLOOKUP(A40,IMDB_Movies!I$2:I$3493,IMDB_Movies!Q$2:Q$3493)</f>
        <v>4653497</v>
      </c>
      <c r="E40" s="20" t="s">
        <v>215</v>
      </c>
      <c r="F40" s="36">
        <f t="array" ref="F40">XLOOKUP(A40,IMDB_Movies!I$2:I$3493,IMDB_Movies!P$2:P$3493)</f>
        <v>0</v>
      </c>
    </row>
    <row r="41">
      <c r="A41" s="11" t="s">
        <v>221</v>
      </c>
      <c r="B41" s="35">
        <f t="array" ref="B41">XLOOKUP(A41,IMDB_Movies!I$2:I$3493,IMDB_Movies!Q$2:Q$3493)</f>
        <v>40581346</v>
      </c>
      <c r="E41" s="11" t="s">
        <v>221</v>
      </c>
      <c r="F41" s="36">
        <f t="array" ref="F41">XLOOKUP(A41,IMDB_Movies!I$2:I$3493,IMDB_Movies!P$2:P$3493)</f>
        <v>0</v>
      </c>
    </row>
    <row r="42">
      <c r="A42" s="11" t="s">
        <v>225</v>
      </c>
      <c r="B42" s="35">
        <f t="array" ref="B42">XLOOKUP(A42,IMDB_Movies!I$2:I$3493,IMDB_Movies!Q$2:Q$3493)</f>
        <v>486866</v>
      </c>
      <c r="E42" s="11" t="s">
        <v>225</v>
      </c>
      <c r="F42" s="36">
        <f t="array" ref="F42">XLOOKUP(A42,IMDB_Movies!I$2:I$3493,IMDB_Movies!P$2:P$3493)</f>
        <v>0</v>
      </c>
    </row>
    <row r="43">
      <c r="A43" s="11" t="s">
        <v>229</v>
      </c>
      <c r="B43" s="35">
        <f t="array" ref="B43">XLOOKUP(A43,IMDB_Movies!I$2:I$3493,IMDB_Movies!Q$2:Q$3493)</f>
        <v>0</v>
      </c>
      <c r="E43" s="11" t="s">
        <v>229</v>
      </c>
      <c r="F43" s="36">
        <f t="array" ref="F43">XLOOKUP(A43,IMDB_Movies!I$2:I$3493,IMDB_Movies!P$2:P$3493)</f>
        <v>11560085</v>
      </c>
    </row>
    <row r="44">
      <c r="A44" s="11" t="s">
        <v>234</v>
      </c>
      <c r="B44" s="35">
        <f t="array" ref="B44">XLOOKUP(A44,IMDB_Movies!I$2:I$3493,IMDB_Movies!Q$2:Q$3493)</f>
        <v>15682875</v>
      </c>
      <c r="E44" s="11" t="s">
        <v>234</v>
      </c>
      <c r="F44" s="36">
        <f t="array" ref="F44">XLOOKUP(A44,IMDB_Movies!I$2:I$3493,IMDB_Movies!P$2:P$3493)</f>
        <v>0</v>
      </c>
    </row>
    <row r="45">
      <c r="A45" s="16" t="s">
        <v>238</v>
      </c>
      <c r="B45" s="35">
        <f t="array" ref="B45">XLOOKUP(A45,IMDB_Movies!I$2:I$3493,IMDB_Movies!Q$2:Q$3493)</f>
        <v>0</v>
      </c>
      <c r="E45" s="16" t="s">
        <v>238</v>
      </c>
      <c r="F45" s="36">
        <f t="array" ref="F45">XLOOKUP(A45,IMDB_Movies!I$2:I$3493,IMDB_Movies!P$2:P$3493)</f>
        <v>11454968</v>
      </c>
    </row>
    <row r="46">
      <c r="A46" s="20" t="s">
        <v>243</v>
      </c>
      <c r="B46" s="35">
        <f t="array" ref="B46">XLOOKUP(A46,IMDB_Movies!I$2:I$3493,IMDB_Movies!Q$2:Q$3493)</f>
        <v>0</v>
      </c>
      <c r="E46" s="20" t="s">
        <v>243</v>
      </c>
      <c r="F46" s="36">
        <f t="array" ref="F46">XLOOKUP(A46,IMDB_Movies!I$2:I$3493,IMDB_Movies!P$2:P$3493)</f>
        <v>5334024</v>
      </c>
    </row>
    <row r="47">
      <c r="A47" s="16" t="s">
        <v>248</v>
      </c>
      <c r="B47" s="35">
        <f t="array" ref="B47">XLOOKUP(A47,IMDB_Movies!I$2:I$3493,IMDB_Movies!Q$2:Q$3493)</f>
        <v>25900341</v>
      </c>
      <c r="E47" s="16" t="s">
        <v>248</v>
      </c>
      <c r="F47" s="36">
        <f t="array" ref="F47">XLOOKUP(A47,IMDB_Movies!I$2:I$3493,IMDB_Movies!P$2:P$3493)</f>
        <v>0</v>
      </c>
    </row>
    <row r="48">
      <c r="A48" s="16" t="s">
        <v>253</v>
      </c>
      <c r="B48" s="35">
        <f t="array" ref="B48">XLOOKUP(A48,IMDB_Movies!I$2:I$3493,IMDB_Movies!Q$2:Q$3493)</f>
        <v>4286998</v>
      </c>
      <c r="E48" s="16" t="s">
        <v>253</v>
      </c>
      <c r="F48" s="36">
        <f t="array" ref="F48">XLOOKUP(A48,IMDB_Movies!I$2:I$3493,IMDB_Movies!P$2:P$3493)</f>
        <v>0</v>
      </c>
    </row>
    <row r="49">
      <c r="A49" s="11" t="s">
        <v>257</v>
      </c>
      <c r="B49" s="35">
        <f t="array" ref="B49">XLOOKUP(A49,IMDB_Movies!I$2:I$3493,IMDB_Movies!Q$2:Q$3493)</f>
        <v>0</v>
      </c>
      <c r="E49" s="11" t="s">
        <v>257</v>
      </c>
      <c r="F49" s="36">
        <f t="array" ref="F49">XLOOKUP(A49,IMDB_Movies!I$2:I$3493,IMDB_Movies!P$2:P$3493)</f>
        <v>29982968</v>
      </c>
    </row>
    <row r="50">
      <c r="A50" s="20" t="s">
        <v>262</v>
      </c>
      <c r="B50" s="35">
        <f t="array" ref="B50">XLOOKUP(A50,IMDB_Movies!I$2:I$3493,IMDB_Movies!Q$2:Q$3493)</f>
        <v>0</v>
      </c>
      <c r="E50" s="20" t="s">
        <v>262</v>
      </c>
      <c r="F50" s="36">
        <f t="array" ref="F50">XLOOKUP(A50,IMDB_Movies!I$2:I$3493,IMDB_Movies!P$2:P$3493)</f>
        <v>232523113</v>
      </c>
    </row>
    <row r="51">
      <c r="A51" s="11" t="s">
        <v>267</v>
      </c>
      <c r="B51" s="35">
        <f t="array" ref="B51">XLOOKUP(A51,IMDB_Movies!I$2:I$3493,IMDB_Movies!Q$2:Q$3493)</f>
        <v>0</v>
      </c>
      <c r="E51" s="11" t="s">
        <v>267</v>
      </c>
      <c r="F51" s="36">
        <f t="array" ref="F51">XLOOKUP(A51,IMDB_Movies!I$2:I$3493,IMDB_Movies!P$2:P$3493)</f>
        <v>19392418</v>
      </c>
    </row>
    <row r="52">
      <c r="A52" s="11" t="s">
        <v>270</v>
      </c>
      <c r="B52" s="35">
        <f t="array" ref="B52">XLOOKUP(A52,IMDB_Movies!I$2:I$3493,IMDB_Movies!Q$2:Q$3493)</f>
        <v>0</v>
      </c>
      <c r="E52" s="11" t="s">
        <v>270</v>
      </c>
      <c r="F52" s="36">
        <f t="array" ref="F52">XLOOKUP(A52,IMDB_Movies!I$2:I$3493,IMDB_Movies!P$2:P$3493)</f>
        <v>14058698</v>
      </c>
    </row>
    <row r="53">
      <c r="A53" s="16" t="s">
        <v>275</v>
      </c>
      <c r="B53" s="35">
        <f t="array" ref="B53">XLOOKUP(A53,IMDB_Movies!I$2:I$3493,IMDB_Movies!Q$2:Q$3493)</f>
        <v>0</v>
      </c>
      <c r="E53" s="16" t="s">
        <v>275</v>
      </c>
      <c r="F53" s="36">
        <f t="array" ref="F53">XLOOKUP(A53,IMDB_Movies!I$2:I$3493,IMDB_Movies!P$2:P$3493)</f>
        <v>701088</v>
      </c>
    </row>
    <row r="54">
      <c r="A54" s="16" t="s">
        <v>279</v>
      </c>
      <c r="B54" s="35">
        <f t="array" ref="B54">XLOOKUP(A54,IMDB_Movies!I$2:I$3493,IMDB_Movies!Q$2:Q$3493)</f>
        <v>5682650</v>
      </c>
      <c r="E54" s="16" t="s">
        <v>279</v>
      </c>
      <c r="F54" s="36">
        <f t="array" ref="F54">XLOOKUP(A54,IMDB_Movies!I$2:I$3493,IMDB_Movies!P$2:P$3493)</f>
        <v>0</v>
      </c>
    </row>
    <row r="55">
      <c r="A55" s="20" t="s">
        <v>282</v>
      </c>
      <c r="B55" s="35">
        <f t="array" ref="B55">XLOOKUP(A55,IMDB_Movies!I$2:I$3493,IMDB_Movies!Q$2:Q$3493)</f>
        <v>0</v>
      </c>
      <c r="E55" s="20" t="s">
        <v>282</v>
      </c>
      <c r="F55" s="36">
        <f t="array" ref="F55">XLOOKUP(A55,IMDB_Movies!I$2:I$3493,IMDB_Movies!P$2:P$3493)</f>
        <v>19219978</v>
      </c>
    </row>
    <row r="56">
      <c r="A56" s="11" t="s">
        <v>286</v>
      </c>
      <c r="B56" s="35">
        <f t="array" ref="B56">XLOOKUP(A56,IMDB_Movies!I$2:I$3493,IMDB_Movies!Q$2:Q$3493)</f>
        <v>0</v>
      </c>
      <c r="E56" s="11" t="s">
        <v>286</v>
      </c>
      <c r="F56" s="36">
        <f t="array" ref="F56">XLOOKUP(A56,IMDB_Movies!I$2:I$3493,IMDB_Movies!P$2:P$3493)</f>
        <v>25794166</v>
      </c>
    </row>
    <row r="57">
      <c r="A57" s="16" t="s">
        <v>291</v>
      </c>
      <c r="B57" s="35">
        <f t="array" ref="B57">XLOOKUP(A57,IMDB_Movies!I$2:I$3493,IMDB_Movies!Q$2:Q$3493)</f>
        <v>0</v>
      </c>
      <c r="E57" s="16" t="s">
        <v>291</v>
      </c>
      <c r="F57" s="36">
        <f t="array" ref="F57">XLOOKUP(A57,IMDB_Movies!I$2:I$3493,IMDB_Movies!P$2:P$3493)</f>
        <v>236437427</v>
      </c>
    </row>
    <row r="58">
      <c r="A58" s="20" t="s">
        <v>294</v>
      </c>
      <c r="B58" s="35">
        <f t="array" ref="B58">XLOOKUP(A58,IMDB_Movies!I$2:I$3493,IMDB_Movies!Q$2:Q$3493)</f>
        <v>0</v>
      </c>
      <c r="E58" s="20" t="s">
        <v>294</v>
      </c>
      <c r="F58" s="36">
        <f t="array" ref="F58">XLOOKUP(A58,IMDB_Movies!I$2:I$3493,IMDB_Movies!P$2:P$3493)</f>
        <v>6546368</v>
      </c>
    </row>
    <row r="59">
      <c r="A59" s="11" t="s">
        <v>298</v>
      </c>
      <c r="B59" s="35">
        <f t="array" ref="B59">XLOOKUP(A59,IMDB_Movies!I$2:I$3493,IMDB_Movies!Q$2:Q$3493)</f>
        <v>1992320</v>
      </c>
      <c r="E59" s="11" t="s">
        <v>298</v>
      </c>
      <c r="F59" s="36">
        <f t="array" ref="F59">XLOOKUP(A59,IMDB_Movies!I$2:I$3493,IMDB_Movies!P$2:P$3493)</f>
        <v>0</v>
      </c>
    </row>
    <row r="60">
      <c r="A60" s="11" t="s">
        <v>303</v>
      </c>
      <c r="B60" s="35">
        <f t="array" ref="B60">XLOOKUP(A60,IMDB_Movies!I$2:I$3493,IMDB_Movies!Q$2:Q$3493)</f>
        <v>0</v>
      </c>
      <c r="E60" s="11" t="s">
        <v>303</v>
      </c>
      <c r="F60" s="36">
        <f t="array" ref="F60">XLOOKUP(A60,IMDB_Movies!I$2:I$3493,IMDB_Movies!P$2:P$3493)</f>
        <v>160706665</v>
      </c>
    </row>
    <row r="61">
      <c r="A61" s="11" t="s">
        <v>308</v>
      </c>
      <c r="B61" s="35">
        <f t="array" ref="B61">XLOOKUP(A61,IMDB_Movies!I$2:I$3493,IMDB_Movies!Q$2:Q$3493)</f>
        <v>0</v>
      </c>
      <c r="E61" s="11" t="s">
        <v>308</v>
      </c>
      <c r="F61" s="36">
        <f t="array" ref="F61">XLOOKUP(A61,IMDB_Movies!I$2:I$3493,IMDB_Movies!P$2:P$3493)</f>
        <v>60069140</v>
      </c>
    </row>
    <row r="62">
      <c r="A62" s="11" t="s">
        <v>313</v>
      </c>
      <c r="B62" s="35">
        <f t="array" ref="B62">XLOOKUP(A62,IMDB_Movies!I$2:I$3493,IMDB_Movies!Q$2:Q$3493)</f>
        <v>0</v>
      </c>
      <c r="E62" s="11" t="s">
        <v>313</v>
      </c>
      <c r="F62" s="36">
        <f t="array" ref="F62">XLOOKUP(A62,IMDB_Movies!I$2:I$3493,IMDB_Movies!P$2:P$3493)</f>
        <v>60050171</v>
      </c>
    </row>
    <row r="63">
      <c r="A63" s="16" t="s">
        <v>318</v>
      </c>
      <c r="B63" s="35">
        <f t="array" ref="B63">XLOOKUP(A63,IMDB_Movies!I$2:I$3493,IMDB_Movies!Q$2:Q$3493)</f>
        <v>0</v>
      </c>
      <c r="E63" s="16" t="s">
        <v>318</v>
      </c>
      <c r="F63" s="36">
        <f t="array" ref="F63">XLOOKUP(A63,IMDB_Movies!I$2:I$3493,IMDB_Movies!P$2:P$3493)</f>
        <v>32144465</v>
      </c>
    </row>
    <row r="64">
      <c r="A64" s="11" t="s">
        <v>323</v>
      </c>
      <c r="B64" s="35">
        <f t="array" ref="B64">XLOOKUP(A64,IMDB_Movies!I$2:I$3493,IMDB_Movies!Q$2:Q$3493)</f>
        <v>4118133</v>
      </c>
      <c r="E64" s="11" t="s">
        <v>323</v>
      </c>
      <c r="F64" s="36">
        <f t="array" ref="F64">XLOOKUP(A64,IMDB_Movies!I$2:I$3493,IMDB_Movies!P$2:P$3493)</f>
        <v>0</v>
      </c>
    </row>
    <row r="65">
      <c r="A65" s="20" t="s">
        <v>328</v>
      </c>
      <c r="B65" s="35">
        <f t="array" ref="B65">XLOOKUP(A65,IMDB_Movies!I$2:I$3493,IMDB_Movies!Q$2:Q$3493)</f>
        <v>7663544</v>
      </c>
      <c r="E65" s="20" t="s">
        <v>328</v>
      </c>
      <c r="F65" s="36">
        <f t="array" ref="F65">XLOOKUP(A65,IMDB_Movies!I$2:I$3493,IMDB_Movies!P$2:P$3493)</f>
        <v>0</v>
      </c>
    </row>
    <row r="66">
      <c r="A66" s="11" t="s">
        <v>333</v>
      </c>
      <c r="B66" s="35">
        <f t="array" ref="B66">XLOOKUP(A66,IMDB_Movies!I$2:I$3493,IMDB_Movies!Q$2:Q$3493)</f>
        <v>15559345</v>
      </c>
      <c r="E66" s="11" t="s">
        <v>333</v>
      </c>
      <c r="F66" s="36">
        <f t="array" ref="F66">XLOOKUP(A66,IMDB_Movies!I$2:I$3493,IMDB_Movies!P$2:P$3493)</f>
        <v>0</v>
      </c>
    </row>
    <row r="67">
      <c r="A67" s="11" t="s">
        <v>336</v>
      </c>
      <c r="B67" s="35">
        <f t="array" ref="B67">XLOOKUP(A67,IMDB_Movies!I$2:I$3493,IMDB_Movies!Q$2:Q$3493)</f>
        <v>0</v>
      </c>
      <c r="E67" s="11" t="s">
        <v>336</v>
      </c>
      <c r="F67" s="36">
        <f t="array" ref="F67">XLOOKUP(A67,IMDB_Movies!I$2:I$3493,IMDB_Movies!P$2:P$3493)</f>
        <v>28462534</v>
      </c>
    </row>
    <row r="68">
      <c r="A68" s="11" t="s">
        <v>340</v>
      </c>
      <c r="B68" s="35">
        <f t="array" ref="B68">XLOOKUP(A68,IMDB_Movies!I$2:I$3493,IMDB_Movies!Q$2:Q$3493)</f>
        <v>12600000</v>
      </c>
      <c r="E68" s="11" t="s">
        <v>340</v>
      </c>
      <c r="F68" s="36">
        <f t="array" ref="F68">XLOOKUP(A68,IMDB_Movies!I$2:I$3493,IMDB_Movies!P$2:P$3493)</f>
        <v>0</v>
      </c>
    </row>
    <row r="69">
      <c r="A69" s="20" t="s">
        <v>345</v>
      </c>
      <c r="B69" s="35">
        <f t="array" ref="B69">XLOOKUP(A69,IMDB_Movies!I$2:I$3493,IMDB_Movies!Q$2:Q$3493)</f>
        <v>0</v>
      </c>
      <c r="E69" s="20" t="s">
        <v>345</v>
      </c>
      <c r="F69" s="36">
        <f t="array" ref="F69">XLOOKUP(A69,IMDB_Movies!I$2:I$3493,IMDB_Movies!P$2:P$3493)</f>
        <v>49566871</v>
      </c>
    </row>
    <row r="70">
      <c r="A70" s="20" t="s">
        <v>350</v>
      </c>
      <c r="B70" s="35">
        <f t="array" ref="B70">XLOOKUP(A70,IMDB_Movies!I$2:I$3493,IMDB_Movies!Q$2:Q$3493)</f>
        <v>83385977</v>
      </c>
      <c r="E70" s="20" t="s">
        <v>350</v>
      </c>
      <c r="F70" s="36">
        <f t="array" ref="F70">XLOOKUP(A70,IMDB_Movies!I$2:I$3493,IMDB_Movies!P$2:P$3493)</f>
        <v>0</v>
      </c>
    </row>
    <row r="71">
      <c r="A71" s="11" t="s">
        <v>353</v>
      </c>
      <c r="B71" s="35">
        <f t="array" ref="B71">XLOOKUP(A71,IMDB_Movies!I$2:I$3493,IMDB_Movies!Q$2:Q$3493)</f>
        <v>0</v>
      </c>
      <c r="E71" s="11" t="s">
        <v>353</v>
      </c>
      <c r="F71" s="36">
        <f t="array" ref="F71">XLOOKUP(A71,IMDB_Movies!I$2:I$3493,IMDB_Movies!P$2:P$3493)</f>
        <v>10074663</v>
      </c>
    </row>
    <row r="72">
      <c r="A72" s="11" t="s">
        <v>356</v>
      </c>
      <c r="B72" s="35">
        <f t="array" ref="B72">XLOOKUP(A72,IMDB_Movies!I$2:I$3493,IMDB_Movies!Q$2:Q$3493)</f>
        <v>0</v>
      </c>
      <c r="E72" s="11" t="s">
        <v>356</v>
      </c>
      <c r="F72" s="36">
        <f t="array" ref="F72">XLOOKUP(A72,IMDB_Movies!I$2:I$3493,IMDB_Movies!P$2:P$3493)</f>
        <v>46530738</v>
      </c>
    </row>
    <row r="73">
      <c r="A73" s="11" t="s">
        <v>361</v>
      </c>
      <c r="B73" s="35">
        <f t="array" ref="B73">XLOOKUP(A73,IMDB_Movies!I$2:I$3493,IMDB_Movies!Q$2:Q$3493)</f>
        <v>15765960</v>
      </c>
      <c r="E73" s="11" t="s">
        <v>361</v>
      </c>
      <c r="F73" s="36">
        <f t="array" ref="F73">XLOOKUP(A73,IMDB_Movies!I$2:I$3493,IMDB_Movies!P$2:P$3493)</f>
        <v>0</v>
      </c>
    </row>
    <row r="74">
      <c r="A74" s="11" t="s">
        <v>366</v>
      </c>
      <c r="B74" s="35">
        <f t="array" ref="B74">XLOOKUP(A74,IMDB_Movies!I$2:I$3493,IMDB_Movies!Q$2:Q$3493)</f>
        <v>498668</v>
      </c>
      <c r="E74" s="11" t="s">
        <v>366</v>
      </c>
      <c r="F74" s="36">
        <f t="array" ref="F74">XLOOKUP(A74,IMDB_Movies!I$2:I$3493,IMDB_Movies!P$2:P$3493)</f>
        <v>0</v>
      </c>
    </row>
    <row r="75">
      <c r="A75" s="16" t="s">
        <v>370</v>
      </c>
      <c r="B75" s="35">
        <f t="array" ref="B75">XLOOKUP(A75,IMDB_Movies!I$2:I$3493,IMDB_Movies!Q$2:Q$3493)</f>
        <v>20901437</v>
      </c>
      <c r="E75" s="16" t="s">
        <v>370</v>
      </c>
      <c r="F75" s="36">
        <f t="array" ref="F75">XLOOKUP(A75,IMDB_Movies!I$2:I$3493,IMDB_Movies!P$2:P$3493)</f>
        <v>0</v>
      </c>
    </row>
    <row r="76">
      <c r="A76" s="16" t="s">
        <v>375</v>
      </c>
      <c r="B76" s="35">
        <f t="array" ref="B76">XLOOKUP(A76,IMDB_Movies!I$2:I$3493,IMDB_Movies!Q$2:Q$3493)</f>
        <v>0</v>
      </c>
      <c r="E76" s="16" t="s">
        <v>375</v>
      </c>
      <c r="F76" s="36">
        <f t="array" ref="F76">XLOOKUP(A76,IMDB_Movies!I$2:I$3493,IMDB_Movies!P$2:P$3493)</f>
        <v>155014286</v>
      </c>
    </row>
    <row r="77">
      <c r="A77" s="11" t="s">
        <v>379</v>
      </c>
      <c r="B77" s="35">
        <f t="array" ref="B77">XLOOKUP(A77,IMDB_Movies!I$2:I$3493,IMDB_Movies!Q$2:Q$3493)</f>
        <v>0</v>
      </c>
      <c r="E77" s="11" t="s">
        <v>379</v>
      </c>
      <c r="F77" s="36">
        <f t="array" ref="F77">XLOOKUP(A77,IMDB_Movies!I$2:I$3493,IMDB_Movies!P$2:P$3493)</f>
        <v>9284475</v>
      </c>
    </row>
    <row r="78">
      <c r="A78" s="20" t="s">
        <v>382</v>
      </c>
      <c r="B78" s="35">
        <f t="array" ref="B78">XLOOKUP(A78,IMDB_Movies!I$2:I$3493,IMDB_Movies!Q$2:Q$3493)</f>
        <v>0</v>
      </c>
      <c r="E78" s="20" t="s">
        <v>382</v>
      </c>
      <c r="F78" s="36">
        <f t="array" ref="F78">XLOOKUP(A78,IMDB_Movies!I$2:I$3493,IMDB_Movies!P$2:P$3493)</f>
        <v>19700000</v>
      </c>
    </row>
    <row r="79">
      <c r="A79" s="11" t="s">
        <v>386</v>
      </c>
      <c r="B79" s="35">
        <f t="array" ref="B79">XLOOKUP(A79,IMDB_Movies!I$2:I$3493,IMDB_Movies!Q$2:Q$3493)</f>
        <v>0</v>
      </c>
      <c r="E79" s="11" t="s">
        <v>386</v>
      </c>
      <c r="F79" s="36">
        <f t="array" ref="F79">XLOOKUP(A79,IMDB_Movies!I$2:I$3493,IMDB_Movies!P$2:P$3493)</f>
        <v>1797066</v>
      </c>
    </row>
    <row r="80">
      <c r="A80" s="11" t="s">
        <v>391</v>
      </c>
      <c r="B80" s="35">
        <f t="array" ref="B80">XLOOKUP(A80,IMDB_Movies!I$2:I$3493,IMDB_Movies!Q$2:Q$3493)</f>
        <v>0</v>
      </c>
      <c r="E80" s="11" t="s">
        <v>391</v>
      </c>
      <c r="F80" s="36">
        <f t="array" ref="F80">XLOOKUP(A80,IMDB_Movies!I$2:I$3493,IMDB_Movies!P$2:P$3493)</f>
        <v>15259652</v>
      </c>
    </row>
    <row r="81">
      <c r="A81" s="11" t="s">
        <v>396</v>
      </c>
      <c r="B81" s="35">
        <f t="array" ref="B81">XLOOKUP(A81,IMDB_Movies!I$2:I$3493,IMDB_Movies!Q$2:Q$3493)</f>
        <v>0</v>
      </c>
      <c r="E81" s="11" t="s">
        <v>396</v>
      </c>
      <c r="F81" s="36">
        <f t="array" ref="F81">XLOOKUP(A81,IMDB_Movies!I$2:I$3493,IMDB_Movies!P$2:P$3493)</f>
        <v>20566230</v>
      </c>
    </row>
    <row r="82">
      <c r="A82" s="20" t="s">
        <v>400</v>
      </c>
      <c r="B82" s="35">
        <f t="array" ref="B82">XLOOKUP(A82,IMDB_Movies!I$2:I$3493,IMDB_Movies!Q$2:Q$3493)</f>
        <v>7946519</v>
      </c>
      <c r="E82" s="20" t="s">
        <v>400</v>
      </c>
      <c r="F82" s="36">
        <f t="array" ref="F82">XLOOKUP(A82,IMDB_Movies!I$2:I$3493,IMDB_Movies!P$2:P$3493)</f>
        <v>0</v>
      </c>
    </row>
    <row r="83">
      <c r="A83" s="16" t="s">
        <v>405</v>
      </c>
      <c r="B83" s="35">
        <f t="array" ref="B83">XLOOKUP(A83,IMDB_Movies!I$2:I$3493,IMDB_Movies!Q$2:Q$3493)</f>
        <v>69833498</v>
      </c>
      <c r="E83" s="16" t="s">
        <v>405</v>
      </c>
      <c r="F83" s="36">
        <f t="array" ref="F83">XLOOKUP(A83,IMDB_Movies!I$2:I$3493,IMDB_Movies!P$2:P$3493)</f>
        <v>0</v>
      </c>
    </row>
    <row r="84">
      <c r="A84" s="16" t="s">
        <v>411</v>
      </c>
      <c r="B84" s="35">
        <f t="array" ref="B84">XLOOKUP(A84,IMDB_Movies!I$2:I$3493,IMDB_Movies!Q$2:Q$3493)</f>
        <v>47456299</v>
      </c>
      <c r="E84" s="16" t="s">
        <v>411</v>
      </c>
      <c r="F84" s="36">
        <f t="array" ref="F84">XLOOKUP(A84,IMDB_Movies!I$2:I$3493,IMDB_Movies!P$2:P$3493)</f>
        <v>0</v>
      </c>
    </row>
    <row r="85">
      <c r="A85" s="11" t="s">
        <v>415</v>
      </c>
      <c r="B85" s="35">
        <f t="array" ref="B85">XLOOKUP(A85,IMDB_Movies!I$2:I$3493,IMDB_Movies!Q$2:Q$3493)</f>
        <v>59049180</v>
      </c>
      <c r="E85" s="11" t="s">
        <v>415</v>
      </c>
      <c r="F85" s="36">
        <f t="array" ref="F85">XLOOKUP(A85,IMDB_Movies!I$2:I$3493,IMDB_Movies!P$2:P$3493)</f>
        <v>0</v>
      </c>
    </row>
    <row r="86">
      <c r="A86" s="20" t="s">
        <v>420</v>
      </c>
      <c r="B86" s="35">
        <f t="array" ref="B86">XLOOKUP(A86,IMDB_Movies!I$2:I$3493,IMDB_Movies!Q$2:Q$3493)</f>
        <v>5979800</v>
      </c>
      <c r="E86" s="20" t="s">
        <v>420</v>
      </c>
      <c r="F86" s="36">
        <f t="array" ref="F86">XLOOKUP(A86,IMDB_Movies!I$2:I$3493,IMDB_Movies!P$2:P$3493)</f>
        <v>0</v>
      </c>
    </row>
    <row r="87">
      <c r="A87" s="20" t="s">
        <v>424</v>
      </c>
      <c r="B87" s="35">
        <f t="array" ref="B87">XLOOKUP(A87,IMDB_Movies!I$2:I$3493,IMDB_Movies!Q$2:Q$3493)</f>
        <v>10639452</v>
      </c>
      <c r="E87" s="20" t="s">
        <v>424</v>
      </c>
      <c r="F87" s="36">
        <f t="array" ref="F87">XLOOKUP(A87,IMDB_Movies!I$2:I$3493,IMDB_Movies!P$2:P$3493)</f>
        <v>0</v>
      </c>
    </row>
    <row r="88">
      <c r="A88" s="11" t="s">
        <v>428</v>
      </c>
      <c r="B88" s="35">
        <f t="array" ref="B88">XLOOKUP(A88,IMDB_Movies!I$2:I$3493,IMDB_Movies!Q$2:Q$3493)</f>
        <v>0</v>
      </c>
      <c r="E88" s="11" t="s">
        <v>428</v>
      </c>
      <c r="F88" s="36">
        <f t="array" ref="F88">XLOOKUP(A88,IMDB_Movies!I$2:I$3493,IMDB_Movies!P$2:P$3493)</f>
        <v>28771072</v>
      </c>
    </row>
    <row r="89">
      <c r="A89" s="11" t="s">
        <v>433</v>
      </c>
      <c r="B89" s="35">
        <f t="array" ref="B89">XLOOKUP(A89,IMDB_Movies!I$2:I$3493,IMDB_Movies!Q$2:Q$3493)</f>
        <v>9297917</v>
      </c>
      <c r="E89" s="11" t="s">
        <v>433</v>
      </c>
      <c r="F89" s="36">
        <f t="array" ref="F89">XLOOKUP(A89,IMDB_Movies!I$2:I$3493,IMDB_Movies!P$2:P$3493)</f>
        <v>0</v>
      </c>
    </row>
    <row r="90">
      <c r="A90" s="16" t="s">
        <v>437</v>
      </c>
      <c r="B90" s="35">
        <f t="array" ref="B90">XLOOKUP(A90,IMDB_Movies!I$2:I$3493,IMDB_Movies!Q$2:Q$3493)</f>
        <v>27481675</v>
      </c>
      <c r="E90" s="16" t="s">
        <v>437</v>
      </c>
      <c r="F90" s="36">
        <f t="array" ref="F90">XLOOKUP(A90,IMDB_Movies!I$2:I$3493,IMDB_Movies!P$2:P$3493)</f>
        <v>0</v>
      </c>
    </row>
    <row r="91">
      <c r="A91" s="11" t="s">
        <v>442</v>
      </c>
      <c r="B91" s="35">
        <f t="array" ref="B91">XLOOKUP(A91,IMDB_Movies!I$2:I$3493,IMDB_Movies!Q$2:Q$3493)</f>
        <v>0</v>
      </c>
      <c r="E91" s="11" t="s">
        <v>442</v>
      </c>
      <c r="F91" s="36">
        <f t="array" ref="F91">XLOOKUP(A91,IMDB_Movies!I$2:I$3493,IMDB_Movies!P$2:P$3493)</f>
        <v>36868030</v>
      </c>
    </row>
    <row r="92">
      <c r="A92" s="20" t="s">
        <v>446</v>
      </c>
      <c r="B92" s="35">
        <f t="array" ref="B92">XLOOKUP(A92,IMDB_Movies!I$2:I$3493,IMDB_Movies!Q$2:Q$3493)</f>
        <v>19596068</v>
      </c>
      <c r="E92" s="20" t="s">
        <v>446</v>
      </c>
      <c r="F92" s="36">
        <f t="array" ref="F92">XLOOKUP(A92,IMDB_Movies!I$2:I$3493,IMDB_Movies!P$2:P$3493)</f>
        <v>0</v>
      </c>
    </row>
    <row r="93">
      <c r="A93" s="11" t="s">
        <v>451</v>
      </c>
      <c r="B93" s="35">
        <f t="array" ref="B93">XLOOKUP(A93,IMDB_Movies!I$2:I$3493,IMDB_Movies!Q$2:Q$3493)</f>
        <v>35646427</v>
      </c>
      <c r="E93" s="11" t="s">
        <v>451</v>
      </c>
      <c r="F93" s="36">
        <f t="array" ref="F93">XLOOKUP(A93,IMDB_Movies!I$2:I$3493,IMDB_Movies!P$2:P$3493)</f>
        <v>0</v>
      </c>
    </row>
    <row r="94">
      <c r="A94" s="16" t="s">
        <v>455</v>
      </c>
      <c r="B94" s="35">
        <f t="array" ref="B94">XLOOKUP(A94,IMDB_Movies!I$2:I$3493,IMDB_Movies!Q$2:Q$3493)</f>
        <v>604771</v>
      </c>
      <c r="E94" s="16" t="s">
        <v>455</v>
      </c>
      <c r="F94" s="36">
        <f t="array" ref="F94">XLOOKUP(A94,IMDB_Movies!I$2:I$3493,IMDB_Movies!P$2:P$3493)</f>
        <v>0</v>
      </c>
    </row>
    <row r="95">
      <c r="A95" s="20" t="s">
        <v>459</v>
      </c>
      <c r="B95" s="35">
        <f t="array" ref="B95">XLOOKUP(A95,IMDB_Movies!I$2:I$3493,IMDB_Movies!Q$2:Q$3493)</f>
        <v>18302044</v>
      </c>
      <c r="E95" s="20" t="s">
        <v>459</v>
      </c>
      <c r="F95" s="36">
        <f t="array" ref="F95">XLOOKUP(A95,IMDB_Movies!I$2:I$3493,IMDB_Movies!P$2:P$3493)</f>
        <v>0</v>
      </c>
    </row>
    <row r="96">
      <c r="A96" s="11" t="s">
        <v>463</v>
      </c>
      <c r="B96" s="35">
        <f t="array" ref="B96">XLOOKUP(A96,IMDB_Movies!I$2:I$3493,IMDB_Movies!Q$2:Q$3493)</f>
        <v>190187</v>
      </c>
      <c r="E96" s="11" t="s">
        <v>463</v>
      </c>
      <c r="F96" s="36">
        <f t="array" ref="F96">XLOOKUP(A96,IMDB_Movies!I$2:I$3493,IMDB_Movies!P$2:P$3493)</f>
        <v>0</v>
      </c>
    </row>
    <row r="97">
      <c r="A97" s="11" t="s">
        <v>467</v>
      </c>
      <c r="B97" s="35">
        <f t="array" ref="B97">XLOOKUP(A97,IMDB_Movies!I$2:I$3493,IMDB_Movies!Q$2:Q$3493)</f>
        <v>1254850</v>
      </c>
      <c r="E97" s="11" t="s">
        <v>467</v>
      </c>
      <c r="F97" s="36">
        <f t="array" ref="F97">XLOOKUP(A97,IMDB_Movies!I$2:I$3493,IMDB_Movies!P$2:P$3493)</f>
        <v>0</v>
      </c>
    </row>
    <row r="98">
      <c r="A98" s="16" t="s">
        <v>471</v>
      </c>
      <c r="B98" s="35">
        <f t="array" ref="B98">XLOOKUP(A98,IMDB_Movies!I$2:I$3493,IMDB_Movies!Q$2:Q$3493)</f>
        <v>0</v>
      </c>
      <c r="E98" s="16" t="s">
        <v>471</v>
      </c>
      <c r="F98" s="36">
        <f t="array" ref="F98">XLOOKUP(A98,IMDB_Movies!I$2:I$3493,IMDB_Movies!P$2:P$3493)</f>
        <v>8096053</v>
      </c>
    </row>
    <row r="99">
      <c r="A99" s="20" t="s">
        <v>476</v>
      </c>
      <c r="B99" s="35">
        <f t="array" ref="B99">XLOOKUP(A99,IMDB_Movies!I$2:I$3493,IMDB_Movies!Q$2:Q$3493)</f>
        <v>0</v>
      </c>
      <c r="E99" s="20" t="s">
        <v>476</v>
      </c>
      <c r="F99" s="36">
        <f t="array" ref="F99">XLOOKUP(A99,IMDB_Movies!I$2:I$3493,IMDB_Movies!P$2:P$3493)</f>
        <v>92012643</v>
      </c>
    </row>
    <row r="100">
      <c r="A100" s="16" t="s">
        <v>481</v>
      </c>
      <c r="B100" s="35">
        <f t="array" ref="B100">XLOOKUP(A100,IMDB_Movies!I$2:I$3493,IMDB_Movies!Q$2:Q$3493)</f>
        <v>0</v>
      </c>
      <c r="E100" s="16" t="s">
        <v>481</v>
      </c>
      <c r="F100" s="36">
        <f t="array" ref="F100">XLOOKUP(A100,IMDB_Movies!I$2:I$3493,IMDB_Movies!P$2:P$3493)</f>
        <v>5682070</v>
      </c>
    </row>
    <row r="101">
      <c r="A101" s="11" t="s">
        <v>485</v>
      </c>
      <c r="B101" s="35">
        <f t="array" ref="B101">XLOOKUP(A101,IMDB_Movies!I$2:I$3493,IMDB_Movies!Q$2:Q$3493)</f>
        <v>4673692</v>
      </c>
      <c r="E101" s="11" t="s">
        <v>485</v>
      </c>
      <c r="F101" s="36">
        <f t="array" ref="F101">XLOOKUP(A101,IMDB_Movies!I$2:I$3493,IMDB_Movies!P$2:P$3493)</f>
        <v>0</v>
      </c>
    </row>
    <row r="102">
      <c r="A102" s="20" t="s">
        <v>489</v>
      </c>
      <c r="B102" s="35">
        <f t="array" ref="B102">XLOOKUP(A102,IMDB_Movies!I$2:I$3493,IMDB_Movies!Q$2:Q$3493)</f>
        <v>194801</v>
      </c>
      <c r="E102" s="20" t="s">
        <v>489</v>
      </c>
      <c r="F102" s="36">
        <f t="array" ref="F102">XLOOKUP(A102,IMDB_Movies!I$2:I$3493,IMDB_Movies!P$2:P$3493)</f>
        <v>0</v>
      </c>
    </row>
    <row r="103">
      <c r="A103" s="11" t="s">
        <v>494</v>
      </c>
      <c r="B103" s="35">
        <f t="array" ref="B103">XLOOKUP(A103,IMDB_Movies!I$2:I$3493,IMDB_Movies!Q$2:Q$3493)</f>
        <v>0</v>
      </c>
      <c r="E103" s="11" t="s">
        <v>494</v>
      </c>
      <c r="F103" s="36">
        <f t="array" ref="F103">XLOOKUP(A103,IMDB_Movies!I$2:I$3493,IMDB_Movies!P$2:P$3493)</f>
        <v>101938730</v>
      </c>
    </row>
    <row r="104">
      <c r="A104" s="16" t="s">
        <v>498</v>
      </c>
      <c r="B104" s="35">
        <f t="array" ref="B104">XLOOKUP(A104,IMDB_Movies!I$2:I$3493,IMDB_Movies!Q$2:Q$3493)</f>
        <v>0</v>
      </c>
      <c r="E104" s="16" t="s">
        <v>498</v>
      </c>
      <c r="F104" s="36">
        <f t="array" ref="F104">XLOOKUP(A104,IMDB_Movies!I$2:I$3493,IMDB_Movies!P$2:P$3493)</f>
        <v>23237389</v>
      </c>
    </row>
    <row r="105">
      <c r="A105" s="11" t="s">
        <v>503</v>
      </c>
      <c r="B105" s="35">
        <f t="array" ref="B105">XLOOKUP(A105,IMDB_Movies!I$2:I$3493,IMDB_Movies!Q$2:Q$3493)</f>
        <v>0</v>
      </c>
      <c r="E105" s="11" t="s">
        <v>503</v>
      </c>
      <c r="F105" s="36">
        <f t="array" ref="F105">XLOOKUP(A105,IMDB_Movies!I$2:I$3493,IMDB_Movies!P$2:P$3493)</f>
        <v>31517441</v>
      </c>
    </row>
    <row r="106">
      <c r="A106" s="16" t="s">
        <v>507</v>
      </c>
      <c r="B106" s="35">
        <f t="array" ref="B106">XLOOKUP(A106,IMDB_Movies!I$2:I$3493,IMDB_Movies!Q$2:Q$3493)</f>
        <v>0</v>
      </c>
      <c r="E106" s="16" t="s">
        <v>507</v>
      </c>
      <c r="F106" s="36">
        <f t="array" ref="F106">XLOOKUP(A106,IMDB_Movies!I$2:I$3493,IMDB_Movies!P$2:P$3493)</f>
        <v>187645141</v>
      </c>
    </row>
    <row r="107">
      <c r="A107" s="20" t="s">
        <v>511</v>
      </c>
      <c r="B107" s="35">
        <f t="array" ref="B107">XLOOKUP(A107,IMDB_Movies!I$2:I$3493,IMDB_Movies!Q$2:Q$3493)</f>
        <v>0</v>
      </c>
      <c r="E107" s="20" t="s">
        <v>511</v>
      </c>
      <c r="F107" s="36">
        <f t="array" ref="F107">XLOOKUP(A107,IMDB_Movies!I$2:I$3493,IMDB_Movies!P$2:P$3493)</f>
        <v>5920167</v>
      </c>
    </row>
    <row r="108">
      <c r="A108" s="11" t="s">
        <v>516</v>
      </c>
      <c r="B108" s="35">
        <f t="array" ref="B108">XLOOKUP(A108,IMDB_Movies!I$2:I$3493,IMDB_Movies!Q$2:Q$3493)</f>
        <v>0</v>
      </c>
      <c r="E108" s="11" t="s">
        <v>516</v>
      </c>
      <c r="F108" s="36">
        <f t="array" ref="F108">XLOOKUP(A108,IMDB_Movies!I$2:I$3493,IMDB_Movies!P$2:P$3493)</f>
        <v>13218041</v>
      </c>
    </row>
    <row r="109">
      <c r="A109" s="20" t="s">
        <v>519</v>
      </c>
      <c r="B109" s="35">
        <f t="array" ref="B109">XLOOKUP(A109,IMDB_Movies!I$2:I$3493,IMDB_Movies!Q$2:Q$3493)</f>
        <v>29100030</v>
      </c>
      <c r="E109" s="20" t="s">
        <v>519</v>
      </c>
      <c r="F109" s="36">
        <f t="array" ref="F109">XLOOKUP(A109,IMDB_Movies!I$2:I$3493,IMDB_Movies!P$2:P$3493)</f>
        <v>0</v>
      </c>
    </row>
    <row r="110">
      <c r="A110" s="11" t="s">
        <v>523</v>
      </c>
      <c r="B110" s="35">
        <f t="array" ref="B110">XLOOKUP(A110,IMDB_Movies!I$2:I$3493,IMDB_Movies!Q$2:Q$3493)</f>
        <v>17012353</v>
      </c>
      <c r="E110" s="11" t="s">
        <v>523</v>
      </c>
      <c r="F110" s="36">
        <f t="array" ref="F110">XLOOKUP(A110,IMDB_Movies!I$2:I$3493,IMDB_Movies!P$2:P$3493)</f>
        <v>0</v>
      </c>
    </row>
    <row r="111">
      <c r="A111" s="16" t="s">
        <v>527</v>
      </c>
      <c r="B111" s="35">
        <f t="array" ref="B111">XLOOKUP(A111,IMDB_Movies!I$2:I$3493,IMDB_Movies!Q$2:Q$3493)</f>
        <v>0</v>
      </c>
      <c r="E111" s="16" t="s">
        <v>527</v>
      </c>
      <c r="F111" s="36">
        <f t="array" ref="F111">XLOOKUP(A111,IMDB_Movies!I$2:I$3493,IMDB_Movies!P$2:P$3493)</f>
        <v>670712</v>
      </c>
    </row>
    <row r="112">
      <c r="A112" s="11" t="s">
        <v>530</v>
      </c>
      <c r="B112" s="35">
        <f t="array" ref="B112">XLOOKUP(A112,IMDB_Movies!I$2:I$3493,IMDB_Movies!Q$2:Q$3493)</f>
        <v>0</v>
      </c>
      <c r="E112" s="11" t="s">
        <v>530</v>
      </c>
      <c r="F112" s="36">
        <f t="array" ref="F112">XLOOKUP(A112,IMDB_Movies!I$2:I$3493,IMDB_Movies!P$2:P$3493)</f>
        <v>84031112</v>
      </c>
    </row>
    <row r="113">
      <c r="A113" s="11" t="s">
        <v>534</v>
      </c>
      <c r="B113" s="35">
        <f t="array" ref="B113">XLOOKUP(A113,IMDB_Movies!I$2:I$3493,IMDB_Movies!Q$2:Q$3493)</f>
        <v>0</v>
      </c>
      <c r="E113" s="11" t="s">
        <v>534</v>
      </c>
      <c r="F113" s="36">
        <f t="array" ref="F113">XLOOKUP(A113,IMDB_Movies!I$2:I$3493,IMDB_Movies!P$2:P$3493)</f>
        <v>6793213</v>
      </c>
    </row>
    <row r="114">
      <c r="A114" s="20" t="s">
        <v>538</v>
      </c>
      <c r="B114" s="35">
        <f t="array" ref="B114">XLOOKUP(A114,IMDB_Movies!I$2:I$3493,IMDB_Movies!Q$2:Q$3493)</f>
        <v>67838031</v>
      </c>
      <c r="E114" s="20" t="s">
        <v>538</v>
      </c>
      <c r="F114" s="36">
        <f t="array" ref="F114">XLOOKUP(A114,IMDB_Movies!I$2:I$3493,IMDB_Movies!P$2:P$3493)</f>
        <v>0</v>
      </c>
    </row>
    <row r="115">
      <c r="A115" s="20" t="s">
        <v>543</v>
      </c>
      <c r="B115" s="35">
        <f t="array" ref="B115">XLOOKUP(A115,IMDB_Movies!I$2:I$3493,IMDB_Movies!Q$2:Q$3493)</f>
        <v>29067940</v>
      </c>
      <c r="E115" s="20" t="s">
        <v>543</v>
      </c>
      <c r="F115" s="36">
        <f t="array" ref="F115">XLOOKUP(A115,IMDB_Movies!I$2:I$3493,IMDB_Movies!P$2:P$3493)</f>
        <v>0</v>
      </c>
    </row>
    <row r="116">
      <c r="A116" s="20" t="s">
        <v>547</v>
      </c>
      <c r="B116" s="35">
        <f t="array" ref="B116">XLOOKUP(A116,IMDB_Movies!I$2:I$3493,IMDB_Movies!Q$2:Q$3493)</f>
        <v>0</v>
      </c>
      <c r="E116" s="20" t="s">
        <v>547</v>
      </c>
      <c r="F116" s="36">
        <f t="array" ref="F116">XLOOKUP(A116,IMDB_Movies!I$2:I$3493,IMDB_Movies!P$2:P$3493)</f>
        <v>286471036</v>
      </c>
    </row>
    <row r="117">
      <c r="A117" s="11" t="s">
        <v>550</v>
      </c>
      <c r="B117" s="35">
        <f t="array" ref="B117">XLOOKUP(A117,IMDB_Movies!I$2:I$3493,IMDB_Movies!Q$2:Q$3493)</f>
        <v>0</v>
      </c>
      <c r="E117" s="11" t="s">
        <v>550</v>
      </c>
      <c r="F117" s="36">
        <f t="array" ref="F117">XLOOKUP(A117,IMDB_Movies!I$2:I$3493,IMDB_Movies!P$2:P$3493)</f>
        <v>80805112</v>
      </c>
    </row>
    <row r="118">
      <c r="A118" s="20" t="s">
        <v>554</v>
      </c>
      <c r="B118" s="35">
        <f t="array" ref="B118">XLOOKUP(A118,IMDB_Movies!I$2:I$3493,IMDB_Movies!Q$2:Q$3493)</f>
        <v>30161611</v>
      </c>
      <c r="E118" s="20" t="s">
        <v>554</v>
      </c>
      <c r="F118" s="36">
        <f t="array" ref="F118">XLOOKUP(A118,IMDB_Movies!I$2:I$3493,IMDB_Movies!P$2:P$3493)</f>
        <v>0</v>
      </c>
    </row>
    <row r="119">
      <c r="A119" s="16" t="s">
        <v>559</v>
      </c>
      <c r="B119" s="35">
        <f t="array" ref="B119">XLOOKUP(A119,IMDB_Movies!I$2:I$3493,IMDB_Movies!Q$2:Q$3493)</f>
        <v>0</v>
      </c>
      <c r="E119" s="16" t="s">
        <v>559</v>
      </c>
      <c r="F119" s="36">
        <f t="array" ref="F119">XLOOKUP(A119,IMDB_Movies!I$2:I$3493,IMDB_Movies!P$2:P$3493)</f>
        <v>77121452</v>
      </c>
    </row>
    <row r="120">
      <c r="A120" s="11" t="s">
        <v>562</v>
      </c>
      <c r="B120" s="35">
        <f t="array" ref="B120">XLOOKUP(A120,IMDB_Movies!I$2:I$3493,IMDB_Movies!Q$2:Q$3493)</f>
        <v>0</v>
      </c>
      <c r="E120" s="11" t="s">
        <v>562</v>
      </c>
      <c r="F120" s="36">
        <f t="array" ref="F120">XLOOKUP(A120,IMDB_Movies!I$2:I$3493,IMDB_Movies!P$2:P$3493)</f>
        <v>5239376</v>
      </c>
    </row>
    <row r="121">
      <c r="A121" s="11" t="s">
        <v>567</v>
      </c>
      <c r="B121" s="35">
        <f t="array" ref="B121">XLOOKUP(A121,IMDB_Movies!I$2:I$3493,IMDB_Movies!Q$2:Q$3493)</f>
        <v>0</v>
      </c>
      <c r="E121" s="11" t="s">
        <v>567</v>
      </c>
      <c r="F121" s="36">
        <f t="array" ref="F121">XLOOKUP(A121,IMDB_Movies!I$2:I$3493,IMDB_Movies!P$2:P$3493)</f>
        <v>45056940</v>
      </c>
    </row>
    <row r="122">
      <c r="A122" s="20" t="s">
        <v>572</v>
      </c>
      <c r="B122" s="35">
        <f t="array" ref="B122">XLOOKUP(A122,IMDB_Movies!I$2:I$3493,IMDB_Movies!Q$2:Q$3493)</f>
        <v>8000000</v>
      </c>
      <c r="E122" s="20" t="s">
        <v>572</v>
      </c>
      <c r="F122" s="36">
        <f t="array" ref="F122">XLOOKUP(A122,IMDB_Movies!I$2:I$3493,IMDB_Movies!P$2:P$3493)</f>
        <v>0</v>
      </c>
    </row>
    <row r="123">
      <c r="A123" s="16" t="s">
        <v>576</v>
      </c>
      <c r="B123" s="35">
        <f t="array" ref="B123">XLOOKUP(A123,IMDB_Movies!I$2:I$3493,IMDB_Movies!Q$2:Q$3493)</f>
        <v>18125131</v>
      </c>
      <c r="E123" s="16" t="s">
        <v>576</v>
      </c>
      <c r="F123" s="36">
        <f t="array" ref="F123">XLOOKUP(A123,IMDB_Movies!I$2:I$3493,IMDB_Movies!P$2:P$3493)</f>
        <v>0</v>
      </c>
    </row>
    <row r="124">
      <c r="A124" s="11" t="s">
        <v>581</v>
      </c>
      <c r="B124" s="35">
        <f t="array" ref="B124">XLOOKUP(A124,IMDB_Movies!I$2:I$3493,IMDB_Movies!Q$2:Q$3493)</f>
        <v>30579748</v>
      </c>
      <c r="E124" s="11" t="s">
        <v>581</v>
      </c>
      <c r="F124" s="36">
        <f t="array" ref="F124">XLOOKUP(A124,IMDB_Movies!I$2:I$3493,IMDB_Movies!P$2:P$3493)</f>
        <v>0</v>
      </c>
    </row>
    <row r="125">
      <c r="A125" s="20" t="s">
        <v>586</v>
      </c>
      <c r="B125" s="35">
        <f t="array" ref="B125">XLOOKUP(A125,IMDB_Movies!I$2:I$3493,IMDB_Movies!Q$2:Q$3493)</f>
        <v>3263734</v>
      </c>
      <c r="E125" s="20" t="s">
        <v>586</v>
      </c>
      <c r="F125" s="36">
        <f t="array" ref="F125">XLOOKUP(A125,IMDB_Movies!I$2:I$3493,IMDB_Movies!P$2:P$3493)</f>
        <v>0</v>
      </c>
    </row>
    <row r="126">
      <c r="A126" s="11" t="s">
        <v>591</v>
      </c>
      <c r="B126" s="35">
        <f t="array" ref="B126">XLOOKUP(A126,IMDB_Movies!I$2:I$3493,IMDB_Movies!Q$2:Q$3493)</f>
        <v>640226</v>
      </c>
      <c r="E126" s="11" t="s">
        <v>591</v>
      </c>
      <c r="F126" s="36">
        <f t="array" ref="F126">XLOOKUP(A126,IMDB_Movies!I$2:I$3493,IMDB_Movies!P$2:P$3493)</f>
        <v>0</v>
      </c>
    </row>
    <row r="127">
      <c r="A127" s="11" t="s">
        <v>595</v>
      </c>
      <c r="B127" s="35">
        <f t="array" ref="B127">XLOOKUP(A127,IMDB_Movies!I$2:I$3493,IMDB_Movies!Q$2:Q$3493)</f>
        <v>0</v>
      </c>
      <c r="E127" s="11" t="s">
        <v>595</v>
      </c>
      <c r="F127" s="36">
        <f t="array" ref="F127">XLOOKUP(A127,IMDB_Movies!I$2:I$3493,IMDB_Movies!P$2:P$3493)</f>
        <v>141616238</v>
      </c>
    </row>
    <row r="128">
      <c r="A128" s="16" t="s">
        <v>598</v>
      </c>
      <c r="B128" s="35">
        <f t="array" ref="B128">XLOOKUP(A128,IMDB_Movies!I$2:I$3493,IMDB_Movies!Q$2:Q$3493)</f>
        <v>0</v>
      </c>
      <c r="E128" s="16" t="s">
        <v>598</v>
      </c>
      <c r="F128" s="36">
        <f t="array" ref="F128">XLOOKUP(A128,IMDB_Movies!I$2:I$3493,IMDB_Movies!P$2:P$3493)</f>
        <v>38815117</v>
      </c>
    </row>
    <row r="129">
      <c r="A129" s="11" t="s">
        <v>602</v>
      </c>
      <c r="B129" s="35">
        <f t="array" ref="B129">XLOOKUP(A129,IMDB_Movies!I$2:I$3493,IMDB_Movies!Q$2:Q$3493)</f>
        <v>2235973</v>
      </c>
      <c r="E129" s="11" t="s">
        <v>602</v>
      </c>
      <c r="F129" s="36">
        <f t="array" ref="F129">XLOOKUP(A129,IMDB_Movies!I$2:I$3493,IMDB_Movies!P$2:P$3493)</f>
        <v>0</v>
      </c>
    </row>
    <row r="130">
      <c r="A130" s="11" t="s">
        <v>606</v>
      </c>
      <c r="B130" s="35">
        <f t="array" ref="B130">XLOOKUP(A130,IMDB_Movies!I$2:I$3493,IMDB_Movies!Q$2:Q$3493)</f>
        <v>0</v>
      </c>
      <c r="E130" s="11" t="s">
        <v>606</v>
      </c>
      <c r="F130" s="36">
        <f t="array" ref="F130">XLOOKUP(A130,IMDB_Movies!I$2:I$3493,IMDB_Movies!P$2:P$3493)</f>
        <v>94852971</v>
      </c>
    </row>
    <row r="131">
      <c r="A131" s="20" t="s">
        <v>612</v>
      </c>
      <c r="B131" s="35">
        <f t="array" ref="B131">XLOOKUP(A131,IMDB_Movies!I$2:I$3493,IMDB_Movies!Q$2:Q$3493)</f>
        <v>0</v>
      </c>
      <c r="E131" s="20" t="s">
        <v>612</v>
      </c>
      <c r="F131" s="36">
        <f t="array" ref="F131">XLOOKUP(A131,IMDB_Movies!I$2:I$3493,IMDB_Movies!P$2:P$3493)</f>
        <v>14129186</v>
      </c>
    </row>
    <row r="132">
      <c r="A132" s="16" t="s">
        <v>617</v>
      </c>
      <c r="B132" s="35">
        <f t="array" ref="B132">XLOOKUP(A132,IMDB_Movies!I$2:I$3493,IMDB_Movies!Q$2:Q$3493)</f>
        <v>40557129</v>
      </c>
      <c r="E132" s="16" t="s">
        <v>617</v>
      </c>
      <c r="F132" s="36">
        <f t="array" ref="F132">XLOOKUP(A132,IMDB_Movies!I$2:I$3493,IMDB_Movies!P$2:P$3493)</f>
        <v>0</v>
      </c>
    </row>
    <row r="133">
      <c r="A133" s="20" t="s">
        <v>622</v>
      </c>
      <c r="B133" s="35">
        <f t="array" ref="B133">XLOOKUP(A133,IMDB_Movies!I$2:I$3493,IMDB_Movies!Q$2:Q$3493)</f>
        <v>12931913</v>
      </c>
      <c r="E133" s="20" t="s">
        <v>622</v>
      </c>
      <c r="F133" s="36">
        <f t="array" ref="F133">XLOOKUP(A133,IMDB_Movies!I$2:I$3493,IMDB_Movies!P$2:P$3493)</f>
        <v>0</v>
      </c>
    </row>
    <row r="134">
      <c r="A134" s="11" t="s">
        <v>626</v>
      </c>
      <c r="B134" s="35">
        <f t="array" ref="B134">XLOOKUP(A134,IMDB_Movies!I$2:I$3493,IMDB_Movies!Q$2:Q$3493)</f>
        <v>0</v>
      </c>
      <c r="E134" s="11" t="s">
        <v>626</v>
      </c>
      <c r="F134" s="36">
        <f t="array" ref="F134">XLOOKUP(A134,IMDB_Movies!I$2:I$3493,IMDB_Movies!P$2:P$3493)</f>
        <v>8830000</v>
      </c>
    </row>
    <row r="135">
      <c r="A135" s="20" t="s">
        <v>629</v>
      </c>
      <c r="B135" s="35">
        <f t="array" ref="B135">XLOOKUP(A135,IMDB_Movies!I$2:I$3493,IMDB_Movies!Q$2:Q$3493)</f>
        <v>15278000</v>
      </c>
      <c r="E135" s="20" t="s">
        <v>629</v>
      </c>
      <c r="F135" s="36">
        <f t="array" ref="F135">XLOOKUP(A135,IMDB_Movies!I$2:I$3493,IMDB_Movies!P$2:P$3493)</f>
        <v>0</v>
      </c>
    </row>
    <row r="136">
      <c r="A136" s="20" t="s">
        <v>633</v>
      </c>
      <c r="B136" s="35">
        <f t="array" ref="B136">XLOOKUP(A136,IMDB_Movies!I$2:I$3493,IMDB_Movies!Q$2:Q$3493)</f>
        <v>0</v>
      </c>
      <c r="E136" s="20" t="s">
        <v>633</v>
      </c>
      <c r="F136" s="36">
        <f t="array" ref="F136">XLOOKUP(A136,IMDB_Movies!I$2:I$3493,IMDB_Movies!P$2:P$3493)</f>
        <v>109731527</v>
      </c>
    </row>
    <row r="137">
      <c r="A137" s="11" t="s">
        <v>638</v>
      </c>
      <c r="B137" s="35">
        <f t="array" ref="B137">XLOOKUP(A137,IMDB_Movies!I$2:I$3493,IMDB_Movies!Q$2:Q$3493)</f>
        <v>0</v>
      </c>
      <c r="E137" s="11" t="s">
        <v>638</v>
      </c>
      <c r="F137" s="36">
        <f t="array" ref="F137">XLOOKUP(A137,IMDB_Movies!I$2:I$3493,IMDB_Movies!P$2:P$3493)</f>
        <v>151870271</v>
      </c>
    </row>
    <row r="138">
      <c r="A138" s="20" t="s">
        <v>643</v>
      </c>
      <c r="B138" s="35">
        <f t="array" ref="B138">XLOOKUP(A138,IMDB_Movies!I$2:I$3493,IMDB_Movies!Q$2:Q$3493)</f>
        <v>0</v>
      </c>
      <c r="E138" s="20" t="s">
        <v>643</v>
      </c>
      <c r="F138" s="36">
        <f t="array" ref="F138">XLOOKUP(A138,IMDB_Movies!I$2:I$3493,IMDB_Movies!P$2:P$3493)</f>
        <v>12652036</v>
      </c>
    </row>
    <row r="139">
      <c r="A139" s="16" t="s">
        <v>648</v>
      </c>
      <c r="B139" s="35">
        <f t="array" ref="B139">XLOOKUP(A139,IMDB_Movies!I$2:I$3493,IMDB_Movies!Q$2:Q$3493)</f>
        <v>0</v>
      </c>
      <c r="E139" s="16" t="s">
        <v>648</v>
      </c>
      <c r="F139" s="36">
        <f t="array" ref="F139">XLOOKUP(A139,IMDB_Movies!I$2:I$3493,IMDB_Movies!P$2:P$3493)</f>
        <v>26423726</v>
      </c>
    </row>
    <row r="140">
      <c r="A140" s="11" t="s">
        <v>652</v>
      </c>
      <c r="B140" s="35">
        <f t="array" ref="B140">XLOOKUP(A140,IMDB_Movies!I$2:I$3493,IMDB_Movies!Q$2:Q$3493)</f>
        <v>10016428</v>
      </c>
      <c r="E140" s="11" t="s">
        <v>652</v>
      </c>
      <c r="F140" s="36">
        <f t="array" ref="F140">XLOOKUP(A140,IMDB_Movies!I$2:I$3493,IMDB_Movies!P$2:P$3493)</f>
        <v>0</v>
      </c>
    </row>
    <row r="141">
      <c r="A141" s="11" t="s">
        <v>656</v>
      </c>
      <c r="B141" s="35">
        <f t="array" ref="B141">XLOOKUP(A141,IMDB_Movies!I$2:I$3493,IMDB_Movies!Q$2:Q$3493)</f>
        <v>43798339</v>
      </c>
      <c r="E141" s="11" t="s">
        <v>656</v>
      </c>
      <c r="F141" s="36">
        <f t="array" ref="F141">XLOOKUP(A141,IMDB_Movies!I$2:I$3493,IMDB_Movies!P$2:P$3493)</f>
        <v>0</v>
      </c>
    </row>
    <row r="142">
      <c r="A142" s="20" t="s">
        <v>660</v>
      </c>
      <c r="B142" s="35">
        <f t="array" ref="B142">XLOOKUP(A142,IMDB_Movies!I$2:I$3493,IMDB_Movies!Q$2:Q$3493)</f>
        <v>21866841</v>
      </c>
      <c r="E142" s="20" t="s">
        <v>660</v>
      </c>
      <c r="F142" s="36">
        <f t="array" ref="F142">XLOOKUP(A142,IMDB_Movies!I$2:I$3493,IMDB_Movies!P$2:P$3493)</f>
        <v>0</v>
      </c>
    </row>
    <row r="143">
      <c r="A143" s="11" t="s">
        <v>663</v>
      </c>
      <c r="B143" s="35">
        <f t="array" ref="B143">XLOOKUP(A143,IMDB_Movies!I$2:I$3493,IMDB_Movies!Q$2:Q$3493)</f>
        <v>0</v>
      </c>
      <c r="E143" s="11" t="s">
        <v>663</v>
      </c>
      <c r="F143" s="36">
        <f t="array" ref="F143">XLOOKUP(A143,IMDB_Movies!I$2:I$3493,IMDB_Movies!P$2:P$3493)</f>
        <v>27919096</v>
      </c>
    </row>
    <row r="144">
      <c r="A144" s="11" t="s">
        <v>668</v>
      </c>
      <c r="B144" s="35">
        <f t="array" ref="B144">XLOOKUP(A144,IMDB_Movies!I$2:I$3493,IMDB_Movies!Q$2:Q$3493)</f>
        <v>4078262</v>
      </c>
      <c r="E144" s="11" t="s">
        <v>668</v>
      </c>
      <c r="F144" s="36">
        <f t="array" ref="F144">XLOOKUP(A144,IMDB_Movies!I$2:I$3493,IMDB_Movies!P$2:P$3493)</f>
        <v>0</v>
      </c>
    </row>
    <row r="145">
      <c r="A145" s="11" t="s">
        <v>674</v>
      </c>
      <c r="B145" s="35">
        <f t="array" ref="B145">XLOOKUP(A145,IMDB_Movies!I$2:I$3493,IMDB_Movies!Q$2:Q$3493)</f>
        <v>0</v>
      </c>
      <c r="E145" s="11" t="s">
        <v>674</v>
      </c>
      <c r="F145" s="36">
        <f t="array" ref="F145">XLOOKUP(A145,IMDB_Movies!I$2:I$3493,IMDB_Movies!P$2:P$3493)</f>
        <v>79460116</v>
      </c>
    </row>
    <row r="146">
      <c r="A146" s="16" t="s">
        <v>677</v>
      </c>
      <c r="B146" s="35">
        <f t="array" ref="B146">XLOOKUP(A146,IMDB_Movies!I$2:I$3493,IMDB_Movies!Q$2:Q$3493)</f>
        <v>40008098</v>
      </c>
      <c r="E146" s="16" t="s">
        <v>677</v>
      </c>
      <c r="F146" s="36">
        <f t="array" ref="F146">XLOOKUP(A146,IMDB_Movies!I$2:I$3493,IMDB_Movies!P$2:P$3493)</f>
        <v>0</v>
      </c>
    </row>
    <row r="147">
      <c r="A147" s="16" t="s">
        <v>681</v>
      </c>
      <c r="B147" s="35">
        <f t="array" ref="B147">XLOOKUP(A147,IMDB_Movies!I$2:I$3493,IMDB_Movies!Q$2:Q$3493)</f>
        <v>0</v>
      </c>
      <c r="E147" s="16" t="s">
        <v>681</v>
      </c>
      <c r="F147" s="36">
        <f t="array" ref="F147">XLOOKUP(A147,IMDB_Movies!I$2:I$3493,IMDB_Movies!P$2:P$3493)</f>
        <v>13883359</v>
      </c>
    </row>
    <row r="148">
      <c r="A148" s="11" t="s">
        <v>685</v>
      </c>
      <c r="B148" s="35">
        <f t="array" ref="B148">XLOOKUP(A148,IMDB_Movies!I$2:I$3493,IMDB_Movies!Q$2:Q$3493)</f>
        <v>479422</v>
      </c>
      <c r="E148" s="11" t="s">
        <v>685</v>
      </c>
      <c r="F148" s="36">
        <f t="array" ref="F148">XLOOKUP(A148,IMDB_Movies!I$2:I$3493,IMDB_Movies!P$2:P$3493)</f>
        <v>0</v>
      </c>
    </row>
    <row r="149">
      <c r="A149" s="11" t="s">
        <v>690</v>
      </c>
      <c r="B149" s="35">
        <f t="array" ref="B149">XLOOKUP(A149,IMDB_Movies!I$2:I$3493,IMDB_Movies!Q$2:Q$3493)</f>
        <v>0</v>
      </c>
      <c r="E149" s="11" t="s">
        <v>690</v>
      </c>
      <c r="F149" s="36">
        <f t="array" ref="F149">XLOOKUP(A149,IMDB_Movies!I$2:I$3493,IMDB_Movies!P$2:P$3493)</f>
        <v>19068786</v>
      </c>
    </row>
    <row r="150">
      <c r="A150" s="11" t="s">
        <v>695</v>
      </c>
      <c r="B150" s="35">
        <f t="array" ref="B150">XLOOKUP(A150,IMDB_Movies!I$2:I$3493,IMDB_Movies!Q$2:Q$3493)</f>
        <v>0</v>
      </c>
      <c r="E150" s="11" t="s">
        <v>695</v>
      </c>
      <c r="F150" s="36">
        <f t="array" ref="F150">XLOOKUP(A150,IMDB_Movies!I$2:I$3493,IMDB_Movies!P$2:P$3493)</f>
        <v>794341</v>
      </c>
    </row>
    <row r="151">
      <c r="A151" s="16" t="s">
        <v>698</v>
      </c>
      <c r="B151" s="35">
        <f t="array" ref="B151">XLOOKUP(A151,IMDB_Movies!I$2:I$3493,IMDB_Movies!Q$2:Q$3493)</f>
        <v>40204983</v>
      </c>
      <c r="E151" s="16" t="s">
        <v>698</v>
      </c>
      <c r="F151" s="36">
        <f t="array" ref="F151">XLOOKUP(A151,IMDB_Movies!I$2:I$3493,IMDB_Movies!P$2:P$3493)</f>
        <v>0</v>
      </c>
    </row>
    <row r="152">
      <c r="A152" s="11" t="s">
        <v>702</v>
      </c>
      <c r="B152" s="35">
        <f t="array" ref="B152">XLOOKUP(A152,IMDB_Movies!I$2:I$3493,IMDB_Movies!Q$2:Q$3493)</f>
        <v>0</v>
      </c>
      <c r="E152" s="11" t="s">
        <v>702</v>
      </c>
      <c r="F152" s="36">
        <f t="array" ref="F152">XLOOKUP(A152,IMDB_Movies!I$2:I$3493,IMDB_Movies!P$2:P$3493)</f>
        <v>2361537</v>
      </c>
    </row>
    <row r="153">
      <c r="A153" s="20" t="s">
        <v>705</v>
      </c>
      <c r="B153" s="35">
        <f t="array" ref="B153">XLOOKUP(A153,IMDB_Movies!I$2:I$3493,IMDB_Movies!Q$2:Q$3493)</f>
        <v>5806898</v>
      </c>
      <c r="E153" s="20" t="s">
        <v>705</v>
      </c>
      <c r="F153" s="36">
        <f t="array" ref="F153">XLOOKUP(A153,IMDB_Movies!I$2:I$3493,IMDB_Movies!P$2:P$3493)</f>
        <v>0</v>
      </c>
    </row>
    <row r="154">
      <c r="A154" s="11" t="s">
        <v>708</v>
      </c>
      <c r="B154" s="35">
        <f t="array" ref="B154">XLOOKUP(A154,IMDB_Movies!I$2:I$3493,IMDB_Movies!Q$2:Q$3493)</f>
        <v>0</v>
      </c>
      <c r="E154" s="11" t="s">
        <v>708</v>
      </c>
      <c r="F154" s="36">
        <f t="array" ref="F154">XLOOKUP(A154,IMDB_Movies!I$2:I$3493,IMDB_Movies!P$2:P$3493)</f>
        <v>123795342</v>
      </c>
    </row>
    <row r="155">
      <c r="A155" s="11" t="s">
        <v>712</v>
      </c>
      <c r="B155" s="35">
        <f t="array" ref="B155">XLOOKUP(A155,IMDB_Movies!I$2:I$3493,IMDB_Movies!Q$2:Q$3493)</f>
        <v>9800895</v>
      </c>
      <c r="E155" s="11" t="s">
        <v>712</v>
      </c>
      <c r="F155" s="36">
        <f t="array" ref="F155">XLOOKUP(A155,IMDB_Movies!I$2:I$3493,IMDB_Movies!P$2:P$3493)</f>
        <v>0</v>
      </c>
    </row>
    <row r="156">
      <c r="A156" s="20" t="s">
        <v>717</v>
      </c>
      <c r="B156" s="35">
        <f t="array" ref="B156">XLOOKUP(A156,IMDB_Movies!I$2:I$3493,IMDB_Movies!Q$2:Q$3493)</f>
        <v>0</v>
      </c>
      <c r="E156" s="20" t="s">
        <v>717</v>
      </c>
      <c r="F156" s="36">
        <f t="array" ref="F156">XLOOKUP(A156,IMDB_Movies!I$2:I$3493,IMDB_Movies!P$2:P$3493)</f>
        <v>60000942</v>
      </c>
    </row>
    <row r="157">
      <c r="A157" s="11" t="s">
        <v>721</v>
      </c>
      <c r="B157" s="35">
        <f t="array" ref="B157">XLOOKUP(A157,IMDB_Movies!I$2:I$3493,IMDB_Movies!Q$2:Q$3493)</f>
        <v>1338990</v>
      </c>
      <c r="E157" s="11" t="s">
        <v>721</v>
      </c>
      <c r="F157" s="36">
        <f t="array" ref="F157">XLOOKUP(A157,IMDB_Movies!I$2:I$3493,IMDB_Movies!P$2:P$3493)</f>
        <v>0</v>
      </c>
    </row>
    <row r="158">
      <c r="A158" s="20" t="s">
        <v>726</v>
      </c>
      <c r="B158" s="35">
        <f t="array" ref="B158">XLOOKUP(A158,IMDB_Movies!I$2:I$3493,IMDB_Movies!Q$2:Q$3493)</f>
        <v>0</v>
      </c>
      <c r="E158" s="20" t="s">
        <v>726</v>
      </c>
      <c r="F158" s="36">
        <f t="array" ref="F158">XLOOKUP(A158,IMDB_Movies!I$2:I$3493,IMDB_Movies!P$2:P$3493)</f>
        <v>25064955</v>
      </c>
    </row>
    <row r="159">
      <c r="A159" s="11" t="s">
        <v>731</v>
      </c>
      <c r="B159" s="35">
        <f t="array" ref="B159">XLOOKUP(A159,IMDB_Movies!I$2:I$3493,IMDB_Movies!Q$2:Q$3493)</f>
        <v>526618</v>
      </c>
      <c r="E159" s="11" t="s">
        <v>731</v>
      </c>
      <c r="F159" s="36">
        <f t="array" ref="F159">XLOOKUP(A159,IMDB_Movies!I$2:I$3493,IMDB_Movies!P$2:P$3493)</f>
        <v>0</v>
      </c>
    </row>
    <row r="160">
      <c r="A160" s="20" t="s">
        <v>736</v>
      </c>
      <c r="B160" s="35">
        <f t="array" ref="B160">XLOOKUP(A160,IMDB_Movies!I$2:I$3493,IMDB_Movies!Q$2:Q$3493)</f>
        <v>825130</v>
      </c>
      <c r="E160" s="20" t="s">
        <v>736</v>
      </c>
      <c r="F160" s="36">
        <f t="array" ref="F160">XLOOKUP(A160,IMDB_Movies!I$2:I$3493,IMDB_Movies!P$2:P$3493)</f>
        <v>0</v>
      </c>
    </row>
    <row r="161">
      <c r="A161" s="11" t="s">
        <v>741</v>
      </c>
      <c r="B161" s="35">
        <f t="array" ref="B161">XLOOKUP(A161,IMDB_Movies!I$2:I$3493,IMDB_Movies!Q$2:Q$3493)</f>
        <v>102725701</v>
      </c>
      <c r="E161" s="11" t="s">
        <v>741</v>
      </c>
      <c r="F161" s="36">
        <f t="array" ref="F161">XLOOKUP(A161,IMDB_Movies!I$2:I$3493,IMDB_Movies!P$2:P$3493)</f>
        <v>0</v>
      </c>
    </row>
    <row r="162">
      <c r="A162" s="11" t="s">
        <v>745</v>
      </c>
      <c r="B162" s="35">
        <f t="array" ref="B162">XLOOKUP(A162,IMDB_Movies!I$2:I$3493,IMDB_Movies!Q$2:Q$3493)</f>
        <v>66989354</v>
      </c>
      <c r="E162" s="11" t="s">
        <v>745</v>
      </c>
      <c r="F162" s="36">
        <f t="array" ref="F162">XLOOKUP(A162,IMDB_Movies!I$2:I$3493,IMDB_Movies!P$2:P$3493)</f>
        <v>0</v>
      </c>
    </row>
    <row r="163">
      <c r="A163" s="11" t="s">
        <v>750</v>
      </c>
      <c r="B163" s="35">
        <f t="array" ref="B163">XLOOKUP(A163,IMDB_Movies!I$2:I$3493,IMDB_Movies!Q$2:Q$3493)</f>
        <v>13046268</v>
      </c>
      <c r="E163" s="11" t="s">
        <v>750</v>
      </c>
      <c r="F163" s="36">
        <f t="array" ref="F163">XLOOKUP(A163,IMDB_Movies!I$2:I$3493,IMDB_Movies!P$2:P$3493)</f>
        <v>0</v>
      </c>
    </row>
    <row r="164">
      <c r="A164" s="20" t="s">
        <v>754</v>
      </c>
      <c r="B164" s="35">
        <f t="array" ref="B164">XLOOKUP(A164,IMDB_Movies!I$2:I$3493,IMDB_Movies!Q$2:Q$3493)</f>
        <v>26033943</v>
      </c>
      <c r="E164" s="20" t="s">
        <v>754</v>
      </c>
      <c r="F164" s="36">
        <f t="array" ref="F164">XLOOKUP(A164,IMDB_Movies!I$2:I$3493,IMDB_Movies!P$2:P$3493)</f>
        <v>0</v>
      </c>
    </row>
    <row r="165">
      <c r="A165" s="20" t="s">
        <v>758</v>
      </c>
      <c r="B165" s="35">
        <f t="array" ref="B165">XLOOKUP(A165,IMDB_Movies!I$2:I$3493,IMDB_Movies!Q$2:Q$3493)</f>
        <v>0</v>
      </c>
      <c r="E165" s="20" t="s">
        <v>758</v>
      </c>
      <c r="F165" s="36">
        <f t="array" ref="F165">XLOOKUP(A165,IMDB_Movies!I$2:I$3493,IMDB_Movies!P$2:P$3493)</f>
        <v>30227069</v>
      </c>
    </row>
    <row r="166">
      <c r="A166" s="11" t="s">
        <v>761</v>
      </c>
      <c r="B166" s="35">
        <f t="array" ref="B166">XLOOKUP(A166,IMDB_Movies!I$2:I$3493,IMDB_Movies!Q$2:Q$3493)</f>
        <v>38359790</v>
      </c>
      <c r="E166" s="11" t="s">
        <v>761</v>
      </c>
      <c r="F166" s="36">
        <f t="array" ref="F166">XLOOKUP(A166,IMDB_Movies!I$2:I$3493,IMDB_Movies!P$2:P$3493)</f>
        <v>0</v>
      </c>
    </row>
    <row r="167">
      <c r="A167" s="11" t="s">
        <v>765</v>
      </c>
      <c r="B167" s="35">
        <f t="array" ref="B167">XLOOKUP(A167,IMDB_Movies!I$2:I$3493,IMDB_Movies!Q$2:Q$3493)</f>
        <v>14088250</v>
      </c>
      <c r="E167" s="11" t="s">
        <v>765</v>
      </c>
      <c r="F167" s="36">
        <f t="array" ref="F167">XLOOKUP(A167,IMDB_Movies!I$2:I$3493,IMDB_Movies!P$2:P$3493)</f>
        <v>0</v>
      </c>
    </row>
    <row r="168">
      <c r="A168" s="11" t="s">
        <v>768</v>
      </c>
      <c r="B168" s="35">
        <f t="array" ref="B168">XLOOKUP(A168,IMDB_Movies!I$2:I$3493,IMDB_Movies!Q$2:Q$3493)</f>
        <v>338013</v>
      </c>
      <c r="E168" s="11" t="s">
        <v>768</v>
      </c>
      <c r="F168" s="36">
        <f t="array" ref="F168">XLOOKUP(A168,IMDB_Movies!I$2:I$3493,IMDB_Movies!P$2:P$3493)</f>
        <v>0</v>
      </c>
    </row>
    <row r="169">
      <c r="A169" s="20" t="s">
        <v>773</v>
      </c>
      <c r="B169" s="35">
        <f t="array" ref="B169">XLOOKUP(A169,IMDB_Movies!I$2:I$3493,IMDB_Movies!Q$2:Q$3493)</f>
        <v>41392993</v>
      </c>
      <c r="E169" s="20" t="s">
        <v>773</v>
      </c>
      <c r="F169" s="36">
        <f t="array" ref="F169">XLOOKUP(A169,IMDB_Movies!I$2:I$3493,IMDB_Movies!P$2:P$3493)</f>
        <v>0</v>
      </c>
    </row>
    <row r="170">
      <c r="A170" s="16" t="s">
        <v>778</v>
      </c>
      <c r="B170" s="35">
        <f t="array" ref="B170">XLOOKUP(A170,IMDB_Movies!I$2:I$3493,IMDB_Movies!Q$2:Q$3493)</f>
        <v>0</v>
      </c>
      <c r="E170" s="16" t="s">
        <v>778</v>
      </c>
      <c r="F170" s="36">
        <f t="array" ref="F170">XLOOKUP(A170,IMDB_Movies!I$2:I$3493,IMDB_Movies!P$2:P$3493)</f>
        <v>65832203</v>
      </c>
    </row>
    <row r="171">
      <c r="A171" s="11" t="s">
        <v>780</v>
      </c>
      <c r="B171" s="35">
        <f t="array" ref="B171">XLOOKUP(A171,IMDB_Movies!I$2:I$3493,IMDB_Movies!Q$2:Q$3493)</f>
        <v>0</v>
      </c>
      <c r="E171" s="11" t="s">
        <v>780</v>
      </c>
      <c r="F171" s="36">
        <f t="array" ref="F171">XLOOKUP(A171,IMDB_Movies!I$2:I$3493,IMDB_Movies!P$2:P$3493)</f>
        <v>146119491</v>
      </c>
    </row>
    <row r="172">
      <c r="A172" s="11" t="s">
        <v>784</v>
      </c>
      <c r="B172" s="35">
        <f t="array" ref="B172">XLOOKUP(A172,IMDB_Movies!I$2:I$3493,IMDB_Movies!Q$2:Q$3493)</f>
        <v>0</v>
      </c>
      <c r="E172" s="11" t="s">
        <v>784</v>
      </c>
      <c r="F172" s="36">
        <f t="array" ref="F172">XLOOKUP(A172,IMDB_Movies!I$2:I$3493,IMDB_Movies!P$2:P$3493)</f>
        <v>20700000</v>
      </c>
    </row>
    <row r="173">
      <c r="A173" s="11" t="s">
        <v>787</v>
      </c>
      <c r="B173" s="35">
        <f t="array" ref="B173">XLOOKUP(A173,IMDB_Movies!I$2:I$3493,IMDB_Movies!Q$2:Q$3493)</f>
        <v>1647420</v>
      </c>
      <c r="E173" s="11" t="s">
        <v>787</v>
      </c>
      <c r="F173" s="36">
        <f t="array" ref="F173">XLOOKUP(A173,IMDB_Movies!I$2:I$3493,IMDB_Movies!P$2:P$3493)</f>
        <v>0</v>
      </c>
    </row>
    <row r="174">
      <c r="A174" s="11" t="s">
        <v>792</v>
      </c>
      <c r="B174" s="35">
        <f t="array" ref="B174">XLOOKUP(A174,IMDB_Movies!I$2:I$3493,IMDB_Movies!Q$2:Q$3493)</f>
        <v>23979782</v>
      </c>
      <c r="E174" s="11" t="s">
        <v>792</v>
      </c>
      <c r="F174" s="36">
        <f t="array" ref="F174">XLOOKUP(A174,IMDB_Movies!I$2:I$3493,IMDB_Movies!P$2:P$3493)</f>
        <v>0</v>
      </c>
    </row>
    <row r="175">
      <c r="A175" s="11" t="s">
        <v>795</v>
      </c>
      <c r="B175" s="35">
        <f t="array" ref="B175">XLOOKUP(A175,IMDB_Movies!I$2:I$3493,IMDB_Movies!Q$2:Q$3493)</f>
        <v>7487948</v>
      </c>
      <c r="E175" s="11" t="s">
        <v>795</v>
      </c>
      <c r="F175" s="36">
        <f t="array" ref="F175">XLOOKUP(A175,IMDB_Movies!I$2:I$3493,IMDB_Movies!P$2:P$3493)</f>
        <v>0</v>
      </c>
    </row>
    <row r="176">
      <c r="A176" s="11" t="s">
        <v>800</v>
      </c>
      <c r="B176" s="35">
        <f t="array" ref="B176">XLOOKUP(A176,IMDB_Movies!I$2:I$3493,IMDB_Movies!Q$2:Q$3493)</f>
        <v>61539010</v>
      </c>
      <c r="E176" s="11" t="s">
        <v>800</v>
      </c>
      <c r="F176" s="36">
        <f t="array" ref="F176">XLOOKUP(A176,IMDB_Movies!I$2:I$3493,IMDB_Movies!P$2:P$3493)</f>
        <v>0</v>
      </c>
    </row>
    <row r="177">
      <c r="A177" s="11" t="s">
        <v>803</v>
      </c>
      <c r="B177" s="35">
        <f t="array" ref="B177">XLOOKUP(A177,IMDB_Movies!I$2:I$3493,IMDB_Movies!Q$2:Q$3493)</f>
        <v>56425668</v>
      </c>
      <c r="E177" s="11" t="s">
        <v>803</v>
      </c>
      <c r="F177" s="36">
        <f t="array" ref="F177">XLOOKUP(A177,IMDB_Movies!I$2:I$3493,IMDB_Movies!P$2:P$3493)</f>
        <v>0</v>
      </c>
    </row>
    <row r="178">
      <c r="A178" s="20" t="s">
        <v>807</v>
      </c>
      <c r="B178" s="35">
        <f t="array" ref="B178">XLOOKUP(A178,IMDB_Movies!I$2:I$3493,IMDB_Movies!Q$2:Q$3493)</f>
        <v>41791922</v>
      </c>
      <c r="E178" s="20" t="s">
        <v>807</v>
      </c>
      <c r="F178" s="36">
        <f t="array" ref="F178">XLOOKUP(A178,IMDB_Movies!I$2:I$3493,IMDB_Movies!P$2:P$3493)</f>
        <v>0</v>
      </c>
    </row>
    <row r="179">
      <c r="A179" s="16" t="s">
        <v>812</v>
      </c>
      <c r="B179" s="35">
        <f t="array" ref="B179">XLOOKUP(A179,IMDB_Movies!I$2:I$3493,IMDB_Movies!Q$2:Q$3493)</f>
        <v>16893131</v>
      </c>
      <c r="E179" s="16" t="s">
        <v>812</v>
      </c>
      <c r="F179" s="36">
        <f t="array" ref="F179">XLOOKUP(A179,IMDB_Movies!I$2:I$3493,IMDB_Movies!P$2:P$3493)</f>
        <v>0</v>
      </c>
    </row>
    <row r="180">
      <c r="A180" s="11" t="s">
        <v>816</v>
      </c>
      <c r="B180" s="35">
        <f t="array" ref="B180">XLOOKUP(A180,IMDB_Movies!I$2:I$3493,IMDB_Movies!Q$2:Q$3493)</f>
        <v>50707978</v>
      </c>
      <c r="E180" s="11" t="s">
        <v>816</v>
      </c>
      <c r="F180" s="36">
        <f t="array" ref="F180">XLOOKUP(A180,IMDB_Movies!I$2:I$3493,IMDB_Movies!P$2:P$3493)</f>
        <v>0</v>
      </c>
    </row>
    <row r="181">
      <c r="A181" s="11" t="s">
        <v>821</v>
      </c>
      <c r="B181" s="35">
        <f t="array" ref="B181">XLOOKUP(A181,IMDB_Movies!I$2:I$3493,IMDB_Movies!Q$2:Q$3493)</f>
        <v>2994861</v>
      </c>
      <c r="E181" s="11" t="s">
        <v>821</v>
      </c>
      <c r="F181" s="36">
        <f t="array" ref="F181">XLOOKUP(A181,IMDB_Movies!I$2:I$3493,IMDB_Movies!P$2:P$3493)</f>
        <v>0</v>
      </c>
    </row>
    <row r="182">
      <c r="A182" s="20" t="s">
        <v>826</v>
      </c>
      <c r="B182" s="35">
        <f t="array" ref="B182">XLOOKUP(A182,IMDB_Movies!I$2:I$3493,IMDB_Movies!Q$2:Q$3493)</f>
        <v>0</v>
      </c>
      <c r="E182" s="20" t="s">
        <v>826</v>
      </c>
      <c r="F182" s="36">
        <f t="array" ref="F182">XLOOKUP(A182,IMDB_Movies!I$2:I$3493,IMDB_Movies!P$2:P$3493)</f>
        <v>21704396</v>
      </c>
    </row>
    <row r="183">
      <c r="A183" s="11" t="s">
        <v>831</v>
      </c>
      <c r="B183" s="35">
        <f t="array" ref="B183">XLOOKUP(A183,IMDB_Movies!I$2:I$3493,IMDB_Movies!Q$2:Q$3493)</f>
        <v>21898858</v>
      </c>
      <c r="E183" s="11" t="s">
        <v>831</v>
      </c>
      <c r="F183" s="36">
        <f t="array" ref="F183">XLOOKUP(A183,IMDB_Movies!I$2:I$3493,IMDB_Movies!P$2:P$3493)</f>
        <v>0</v>
      </c>
    </row>
    <row r="184">
      <c r="A184" s="11" t="s">
        <v>835</v>
      </c>
      <c r="B184" s="35">
        <f t="array" ref="B184">XLOOKUP(A184,IMDB_Movies!I$2:I$3493,IMDB_Movies!Q$2:Q$3493)</f>
        <v>239409</v>
      </c>
      <c r="E184" s="11" t="s">
        <v>835</v>
      </c>
      <c r="F184" s="36">
        <f t="array" ref="F184">XLOOKUP(A184,IMDB_Movies!I$2:I$3493,IMDB_Movies!P$2:P$3493)</f>
        <v>0</v>
      </c>
    </row>
    <row r="185">
      <c r="A185" s="11" t="s">
        <v>840</v>
      </c>
      <c r="B185" s="35">
        <f t="array" ref="B185">XLOOKUP(A185,IMDB_Movies!I$2:I$3493,IMDB_Movies!Q$2:Q$3493)</f>
        <v>0</v>
      </c>
      <c r="E185" s="11" t="s">
        <v>840</v>
      </c>
      <c r="F185" s="36">
        <f t="array" ref="F185">XLOOKUP(A185,IMDB_Movies!I$2:I$3493,IMDB_Movies!P$2:P$3493)</f>
        <v>2667015</v>
      </c>
    </row>
    <row r="186">
      <c r="A186" s="16" t="s">
        <v>845</v>
      </c>
      <c r="B186" s="35">
        <f t="array" ref="B186">XLOOKUP(A186,IMDB_Movies!I$2:I$3493,IMDB_Movies!Q$2:Q$3493)</f>
        <v>0</v>
      </c>
      <c r="E186" s="16" t="s">
        <v>845</v>
      </c>
      <c r="F186" s="36">
        <f t="array" ref="F186">XLOOKUP(A186,IMDB_Movies!I$2:I$3493,IMDB_Movies!P$2:P$3493)</f>
        <v>61407328</v>
      </c>
    </row>
    <row r="187">
      <c r="A187" s="11" t="s">
        <v>850</v>
      </c>
      <c r="B187" s="35">
        <f t="array" ref="B187">XLOOKUP(A187,IMDB_Movies!I$2:I$3493,IMDB_Movies!Q$2:Q$3493)</f>
        <v>0</v>
      </c>
      <c r="E187" s="11" t="s">
        <v>850</v>
      </c>
      <c r="F187" s="36">
        <f t="array" ref="F187">XLOOKUP(A187,IMDB_Movies!I$2:I$3493,IMDB_Movies!P$2:P$3493)</f>
        <v>131492479</v>
      </c>
    </row>
    <row r="188">
      <c r="A188" s="20" t="s">
        <v>854</v>
      </c>
      <c r="B188" s="35">
        <f t="array" ref="B188">XLOOKUP(A188,IMDB_Movies!I$2:I$3493,IMDB_Movies!Q$2:Q$3493)</f>
        <v>3279766</v>
      </c>
      <c r="E188" s="20" t="s">
        <v>854</v>
      </c>
      <c r="F188" s="36">
        <f t="array" ref="F188">XLOOKUP(A188,IMDB_Movies!I$2:I$3493,IMDB_Movies!P$2:P$3493)</f>
        <v>0</v>
      </c>
    </row>
    <row r="189">
      <c r="A189" s="11" t="s">
        <v>858</v>
      </c>
      <c r="B189" s="35">
        <f t="array" ref="B189">XLOOKUP(A189,IMDB_Movies!I$2:I$3493,IMDB_Movies!Q$2:Q$3493)</f>
        <v>0</v>
      </c>
      <c r="E189" s="11" t="s">
        <v>858</v>
      </c>
      <c r="F189" s="36">
        <f t="array" ref="F189">XLOOKUP(A189,IMDB_Movies!I$2:I$3493,IMDB_Movies!P$2:P$3493)</f>
        <v>100315155</v>
      </c>
    </row>
    <row r="190">
      <c r="A190" s="16" t="s">
        <v>863</v>
      </c>
      <c r="B190" s="35">
        <f t="array" ref="B190">XLOOKUP(A190,IMDB_Movies!I$2:I$3493,IMDB_Movies!Q$2:Q$3493)</f>
        <v>0</v>
      </c>
      <c r="E190" s="16" t="s">
        <v>863</v>
      </c>
      <c r="F190" s="36">
        <f t="array" ref="F190">XLOOKUP(A190,IMDB_Movies!I$2:I$3493,IMDB_Movies!P$2:P$3493)</f>
        <v>58539855</v>
      </c>
    </row>
    <row r="191">
      <c r="A191" s="11" t="s">
        <v>866</v>
      </c>
      <c r="B191" s="35">
        <f t="array" ref="B191">XLOOKUP(A191,IMDB_Movies!I$2:I$3493,IMDB_Movies!Q$2:Q$3493)</f>
        <v>164334574</v>
      </c>
      <c r="E191" s="11" t="s">
        <v>866</v>
      </c>
      <c r="F191" s="36">
        <f t="array" ref="F191">XLOOKUP(A191,IMDB_Movies!I$2:I$3493,IMDB_Movies!P$2:P$3493)</f>
        <v>0</v>
      </c>
    </row>
    <row r="192">
      <c r="A192" s="11" t="s">
        <v>870</v>
      </c>
      <c r="B192" s="35">
        <f t="array" ref="B192">XLOOKUP(A192,IMDB_Movies!I$2:I$3493,IMDB_Movies!Q$2:Q$3493)</f>
        <v>0</v>
      </c>
      <c r="E192" s="11" t="s">
        <v>870</v>
      </c>
      <c r="F192" s="36">
        <f t="array" ref="F192">XLOOKUP(A192,IMDB_Movies!I$2:I$3493,IMDB_Movies!P$2:P$3493)</f>
        <v>20450000</v>
      </c>
    </row>
    <row r="193">
      <c r="A193" s="11" t="s">
        <v>875</v>
      </c>
      <c r="B193" s="35">
        <f t="array" ref="B193">XLOOKUP(A193,IMDB_Movies!I$2:I$3493,IMDB_Movies!Q$2:Q$3493)</f>
        <v>13705360</v>
      </c>
      <c r="E193" s="11" t="s">
        <v>875</v>
      </c>
      <c r="F193" s="36">
        <f t="array" ref="F193">XLOOKUP(A193,IMDB_Movies!I$2:I$3493,IMDB_Movies!P$2:P$3493)</f>
        <v>0</v>
      </c>
    </row>
    <row r="194">
      <c r="A194" s="11" t="s">
        <v>879</v>
      </c>
      <c r="B194" s="35">
        <f t="array" ref="B194">XLOOKUP(A194,IMDB_Movies!I$2:I$3493,IMDB_Movies!Q$2:Q$3493)</f>
        <v>0</v>
      </c>
      <c r="E194" s="11" t="s">
        <v>879</v>
      </c>
      <c r="F194" s="36">
        <f t="array" ref="F194">XLOOKUP(A194,IMDB_Movies!I$2:I$3493,IMDB_Movies!P$2:P$3493)</f>
        <v>1335839</v>
      </c>
    </row>
    <row r="195">
      <c r="A195" s="11" t="s">
        <v>884</v>
      </c>
      <c r="B195" s="35">
        <f t="array" ref="B195">XLOOKUP(A195,IMDB_Movies!I$2:I$3493,IMDB_Movies!Q$2:Q$3493)</f>
        <v>5071000</v>
      </c>
      <c r="E195" s="11" t="s">
        <v>884</v>
      </c>
      <c r="F195" s="36">
        <f t="array" ref="F195">XLOOKUP(A195,IMDB_Movies!I$2:I$3493,IMDB_Movies!P$2:P$3493)</f>
        <v>0</v>
      </c>
    </row>
    <row r="196">
      <c r="A196" s="11" t="s">
        <v>889</v>
      </c>
      <c r="B196" s="35">
        <f t="array" ref="B196">XLOOKUP(A196,IMDB_Movies!I$2:I$3493,IMDB_Movies!Q$2:Q$3493)</f>
        <v>6384422</v>
      </c>
      <c r="E196" s="11" t="s">
        <v>889</v>
      </c>
      <c r="F196" s="36">
        <f t="array" ref="F196">XLOOKUP(A196,IMDB_Movies!I$2:I$3493,IMDB_Movies!P$2:P$3493)</f>
        <v>0</v>
      </c>
    </row>
    <row r="197">
      <c r="A197" s="11" t="s">
        <v>894</v>
      </c>
      <c r="B197" s="35">
        <f t="array" ref="B197">XLOOKUP(A197,IMDB_Movies!I$2:I$3493,IMDB_Movies!Q$2:Q$3493)</f>
        <v>0</v>
      </c>
      <c r="E197" s="11" t="s">
        <v>894</v>
      </c>
      <c r="F197" s="36">
        <f t="array" ref="F197">XLOOKUP(A197,IMDB_Movies!I$2:I$3493,IMDB_Movies!P$2:P$3493)</f>
        <v>20793160</v>
      </c>
    </row>
    <row r="198">
      <c r="A198" s="20" t="s">
        <v>898</v>
      </c>
      <c r="B198" s="35">
        <f t="array" ref="B198">XLOOKUP(A198,IMDB_Movies!I$2:I$3493,IMDB_Movies!Q$2:Q$3493)</f>
        <v>9733871</v>
      </c>
      <c r="E198" s="20" t="s">
        <v>898</v>
      </c>
      <c r="F198" s="36">
        <f t="array" ref="F198">XLOOKUP(A198,IMDB_Movies!I$2:I$3493,IMDB_Movies!P$2:P$3493)</f>
        <v>0</v>
      </c>
    </row>
    <row r="199">
      <c r="A199" s="11" t="s">
        <v>902</v>
      </c>
      <c r="B199" s="35">
        <f t="array" ref="B199">XLOOKUP(A199,IMDB_Movies!I$2:I$3493,IMDB_Movies!Q$2:Q$3493)</f>
        <v>572808</v>
      </c>
      <c r="E199" s="11" t="s">
        <v>902</v>
      </c>
      <c r="F199" s="36">
        <f t="array" ref="F199">XLOOKUP(A199,IMDB_Movies!I$2:I$3493,IMDB_Movies!P$2:P$3493)</f>
        <v>0</v>
      </c>
    </row>
    <row r="200">
      <c r="A200" s="11" t="s">
        <v>906</v>
      </c>
      <c r="B200" s="35">
        <f t="array" ref="B200">XLOOKUP(A200,IMDB_Movies!I$2:I$3493,IMDB_Movies!Q$2:Q$3493)</f>
        <v>1894923</v>
      </c>
      <c r="E200" s="11" t="s">
        <v>906</v>
      </c>
      <c r="F200" s="36">
        <f t="array" ref="F200">XLOOKUP(A200,IMDB_Movies!I$2:I$3493,IMDB_Movies!P$2:P$3493)</f>
        <v>0</v>
      </c>
    </row>
    <row r="201">
      <c r="A201" s="20" t="s">
        <v>910</v>
      </c>
      <c r="B201" s="35">
        <f t="array" ref="B201">XLOOKUP(A201,IMDB_Movies!I$2:I$3493,IMDB_Movies!Q$2:Q$3493)</f>
        <v>0</v>
      </c>
      <c r="E201" s="20" t="s">
        <v>910</v>
      </c>
      <c r="F201" s="36">
        <f t="array" ref="F201">XLOOKUP(A201,IMDB_Movies!I$2:I$3493,IMDB_Movies!P$2:P$3493)</f>
        <v>29667095</v>
      </c>
    </row>
    <row r="202">
      <c r="A202" s="20" t="s">
        <v>914</v>
      </c>
      <c r="B202" s="35">
        <f t="array" ref="B202">XLOOKUP(A202,IMDB_Movies!I$2:I$3493,IMDB_Movies!Q$2:Q$3493)</f>
        <v>1801234</v>
      </c>
      <c r="E202" s="20" t="s">
        <v>914</v>
      </c>
      <c r="F202" s="36">
        <f t="array" ref="F202">XLOOKUP(A202,IMDB_Movies!I$2:I$3493,IMDB_Movies!P$2:P$3493)</f>
        <v>0</v>
      </c>
    </row>
    <row r="203">
      <c r="A203" s="11" t="s">
        <v>918</v>
      </c>
      <c r="B203" s="35">
        <f t="array" ref="B203">XLOOKUP(A203,IMDB_Movies!I$2:I$3493,IMDB_Movies!Q$2:Q$3493)</f>
        <v>0</v>
      </c>
      <c r="E203" s="11" t="s">
        <v>918</v>
      </c>
      <c r="F203" s="36">
        <f t="array" ref="F203">XLOOKUP(A203,IMDB_Movies!I$2:I$3493,IMDB_Movies!P$2:P$3493)</f>
        <v>57006880</v>
      </c>
    </row>
    <row r="204">
      <c r="A204" s="20" t="s">
        <v>922</v>
      </c>
      <c r="B204" s="35">
        <f t="array" ref="B204">XLOOKUP(A204,IMDB_Movies!I$2:I$3493,IMDB_Movies!Q$2:Q$3493)</f>
        <v>0</v>
      </c>
      <c r="E204" s="20" t="s">
        <v>922</v>
      </c>
      <c r="F204" s="36">
        <f t="array" ref="F204">XLOOKUP(A204,IMDB_Movies!I$2:I$3493,IMDB_Movies!P$2:P$3493)</f>
        <v>47356221</v>
      </c>
    </row>
    <row r="205">
      <c r="A205" s="11" t="s">
        <v>926</v>
      </c>
      <c r="B205" s="35">
        <f t="array" ref="B205">XLOOKUP(A205,IMDB_Movies!I$2:I$3493,IMDB_Movies!Q$2:Q$3493)</f>
        <v>99344497</v>
      </c>
      <c r="E205" s="11" t="s">
        <v>926</v>
      </c>
      <c r="F205" s="36">
        <f t="array" ref="F205">XLOOKUP(A205,IMDB_Movies!I$2:I$3493,IMDB_Movies!P$2:P$3493)</f>
        <v>0</v>
      </c>
    </row>
    <row r="206">
      <c r="A206" s="20" t="s">
        <v>930</v>
      </c>
      <c r="B206" s="35">
        <f t="array" ref="B206">XLOOKUP(A206,IMDB_Movies!I$2:I$3493,IMDB_Movies!Q$2:Q$3493)</f>
        <v>60326576</v>
      </c>
      <c r="E206" s="20" t="s">
        <v>930</v>
      </c>
      <c r="F206" s="36">
        <f t="array" ref="F206">XLOOKUP(A206,IMDB_Movies!I$2:I$3493,IMDB_Movies!P$2:P$3493)</f>
        <v>0</v>
      </c>
    </row>
    <row r="207">
      <c r="A207" s="11" t="s">
        <v>933</v>
      </c>
      <c r="B207" s="35">
        <f t="array" ref="B207">XLOOKUP(A207,IMDB_Movies!I$2:I$3493,IMDB_Movies!Q$2:Q$3493)</f>
        <v>0</v>
      </c>
      <c r="E207" s="11" t="s">
        <v>933</v>
      </c>
      <c r="F207" s="36">
        <f t="array" ref="F207">XLOOKUP(A207,IMDB_Movies!I$2:I$3493,IMDB_Movies!P$2:P$3493)</f>
        <v>40566004</v>
      </c>
    </row>
    <row r="208">
      <c r="A208" s="11" t="s">
        <v>936</v>
      </c>
      <c r="B208" s="35">
        <f t="array" ref="B208">XLOOKUP(A208,IMDB_Movies!I$2:I$3493,IMDB_Movies!Q$2:Q$3493)</f>
        <v>0</v>
      </c>
      <c r="E208" s="11" t="s">
        <v>936</v>
      </c>
      <c r="F208" s="36">
        <f t="array" ref="F208">XLOOKUP(A208,IMDB_Movies!I$2:I$3493,IMDB_Movies!P$2:P$3493)</f>
        <v>72656464</v>
      </c>
    </row>
    <row r="209">
      <c r="A209" s="11" t="s">
        <v>939</v>
      </c>
      <c r="B209" s="35">
        <f t="array" ref="B209">XLOOKUP(A209,IMDB_Movies!I$2:I$3493,IMDB_Movies!Q$2:Q$3493)</f>
        <v>23557749</v>
      </c>
      <c r="E209" s="11" t="s">
        <v>939</v>
      </c>
      <c r="F209" s="36">
        <f t="array" ref="F209">XLOOKUP(A209,IMDB_Movies!I$2:I$3493,IMDB_Movies!P$2:P$3493)</f>
        <v>0</v>
      </c>
    </row>
    <row r="210">
      <c r="A210" s="11" t="s">
        <v>943</v>
      </c>
      <c r="B210" s="35">
        <f t="array" ref="B210">XLOOKUP(A210,IMDB_Movies!I$2:I$3493,IMDB_Movies!Q$2:Q$3493)</f>
        <v>0</v>
      </c>
      <c r="E210" s="11" t="s">
        <v>943</v>
      </c>
      <c r="F210" s="36">
        <f t="array" ref="F210">XLOOKUP(A210,IMDB_Movies!I$2:I$3493,IMDB_Movies!P$2:P$3493)</f>
        <v>30033780</v>
      </c>
    </row>
    <row r="211">
      <c r="A211" s="11" t="s">
        <v>947</v>
      </c>
      <c r="B211" s="35">
        <f t="array" ref="B211">XLOOKUP(A211,IMDB_Movies!I$2:I$3493,IMDB_Movies!Q$2:Q$3493)</f>
        <v>0</v>
      </c>
      <c r="E211" s="11" t="s">
        <v>947</v>
      </c>
      <c r="F211" s="36">
        <f t="array" ref="F211">XLOOKUP(A211,IMDB_Movies!I$2:I$3493,IMDB_Movies!P$2:P$3493)</f>
        <v>4440119</v>
      </c>
    </row>
    <row r="212">
      <c r="A212" s="11" t="s">
        <v>952</v>
      </c>
      <c r="B212" s="35">
        <f t="array" ref="B212">XLOOKUP(A212,IMDB_Movies!I$2:I$3493,IMDB_Movies!Q$2:Q$3493)</f>
        <v>0</v>
      </c>
      <c r="E212" s="11" t="s">
        <v>952</v>
      </c>
      <c r="F212" s="36">
        <f t="array" ref="F212">XLOOKUP(A212,IMDB_Movies!I$2:I$3493,IMDB_Movies!P$2:P$3493)</f>
        <v>8297830</v>
      </c>
    </row>
    <row r="213">
      <c r="A213" s="16" t="s">
        <v>957</v>
      </c>
      <c r="B213" s="35">
        <f t="array" ref="B213">XLOOKUP(A213,IMDB_Movies!I$2:I$3493,IMDB_Movies!Q$2:Q$3493)</f>
        <v>0</v>
      </c>
      <c r="E213" s="16" t="s">
        <v>957</v>
      </c>
      <c r="F213" s="36">
        <f t="array" ref="F213">XLOOKUP(A213,IMDB_Movies!I$2:I$3493,IMDB_Movies!P$2:P$3493)</f>
        <v>13435068</v>
      </c>
    </row>
    <row r="214">
      <c r="A214" s="24" t="s">
        <v>961</v>
      </c>
      <c r="B214" s="35">
        <f t="array" ref="B214">XLOOKUP(A214,IMDB_Movies!I$2:I$3493,IMDB_Movies!Q$2:Q$3493)</f>
        <v>0</v>
      </c>
      <c r="E214" s="24" t="s">
        <v>961</v>
      </c>
      <c r="F214" s="36">
        <f t="array" ref="F214">XLOOKUP(A214,IMDB_Movies!I$2:I$3493,IMDB_Movies!P$2:P$3493)</f>
        <v>7236496</v>
      </c>
    </row>
    <row r="215">
      <c r="A215" s="28" t="s">
        <v>964</v>
      </c>
      <c r="B215" s="35">
        <f t="array" ref="B215">XLOOKUP(A215,IMDB_Movies!I$2:I$3493,IMDB_Movies!Q$2:Q$3493)</f>
        <v>0</v>
      </c>
      <c r="E215" s="28" t="s">
        <v>964</v>
      </c>
      <c r="F215" s="36">
        <f t="array" ref="F215">XLOOKUP(A215,IMDB_Movies!I$2:I$3493,IMDB_Movies!P$2:P$3493)</f>
        <v>34244877</v>
      </c>
    </row>
    <row r="216">
      <c r="A216" s="24" t="s">
        <v>966</v>
      </c>
      <c r="B216" s="35">
        <f t="array" ref="B216">XLOOKUP(A216,IMDB_Movies!I$2:I$3493,IMDB_Movies!Q$2:Q$3493)</f>
        <v>13313646</v>
      </c>
      <c r="E216" s="24" t="s">
        <v>966</v>
      </c>
      <c r="F216" s="36">
        <f t="array" ref="F216">XLOOKUP(A216,IMDB_Movies!I$2:I$3493,IMDB_Movies!P$2:P$3493)</f>
        <v>0</v>
      </c>
    </row>
    <row r="217">
      <c r="A217" s="16" t="s">
        <v>970</v>
      </c>
      <c r="B217" s="35">
        <f t="array" ref="B217">XLOOKUP(A217,IMDB_Movies!I$2:I$3493,IMDB_Movies!Q$2:Q$3493)</f>
        <v>20881753</v>
      </c>
      <c r="E217" s="16" t="s">
        <v>970</v>
      </c>
      <c r="F217" s="36">
        <f t="array" ref="F217">XLOOKUP(A217,IMDB_Movies!I$2:I$3493,IMDB_Movies!P$2:P$3493)</f>
        <v>0</v>
      </c>
    </row>
    <row r="218">
      <c r="A218" s="16" t="s">
        <v>975</v>
      </c>
      <c r="B218" s="35">
        <f t="array" ref="B218">XLOOKUP(A218,IMDB_Movies!I$2:I$3493,IMDB_Movies!Q$2:Q$3493)</f>
        <v>24536691</v>
      </c>
      <c r="E218" s="16" t="s">
        <v>975</v>
      </c>
      <c r="F218" s="36">
        <f t="array" ref="F218">XLOOKUP(A218,IMDB_Movies!I$2:I$3493,IMDB_Movies!P$2:P$3493)</f>
        <v>0</v>
      </c>
    </row>
    <row r="219">
      <c r="A219" s="16" t="s">
        <v>980</v>
      </c>
      <c r="B219" s="35">
        <f t="array" ref="B219">XLOOKUP(A219,IMDB_Movies!I$2:I$3493,IMDB_Movies!Q$2:Q$3493)</f>
        <v>428012</v>
      </c>
      <c r="E219" s="16" t="s">
        <v>980</v>
      </c>
      <c r="F219" s="36">
        <f t="array" ref="F219">XLOOKUP(A219,IMDB_Movies!I$2:I$3493,IMDB_Movies!P$2:P$3493)</f>
        <v>0</v>
      </c>
    </row>
    <row r="220">
      <c r="A220" s="28" t="s">
        <v>984</v>
      </c>
      <c r="B220" s="35">
        <f t="array" ref="B220">XLOOKUP(A220,IMDB_Movies!I$2:I$3493,IMDB_Movies!Q$2:Q$3493)</f>
        <v>0</v>
      </c>
      <c r="E220" s="28" t="s">
        <v>984</v>
      </c>
      <c r="F220" s="36">
        <f t="array" ref="F220">XLOOKUP(A220,IMDB_Movies!I$2:I$3493,IMDB_Movies!P$2:P$3493)</f>
        <v>21882551</v>
      </c>
    </row>
    <row r="221">
      <c r="A221" s="11" t="s">
        <v>988</v>
      </c>
      <c r="B221" s="35">
        <f t="array" ref="B221">XLOOKUP(A221,IMDB_Movies!I$2:I$3493,IMDB_Movies!Q$2:Q$3493)</f>
        <v>0</v>
      </c>
      <c r="E221" s="11" t="s">
        <v>988</v>
      </c>
      <c r="F221" s="36">
        <f t="array" ref="F221">XLOOKUP(A221,IMDB_Movies!I$2:I$3493,IMDB_Movies!P$2:P$3493)</f>
        <v>7678089</v>
      </c>
    </row>
    <row r="222">
      <c r="A222" s="11" t="s">
        <v>992</v>
      </c>
      <c r="B222" s="35">
        <f t="array" ref="B222">XLOOKUP(A222,IMDB_Movies!I$2:I$3493,IMDB_Movies!Q$2:Q$3493)</f>
        <v>0</v>
      </c>
      <c r="E222" s="11" t="s">
        <v>992</v>
      </c>
      <c r="F222" s="36">
        <f t="array" ref="F222">XLOOKUP(A222,IMDB_Movies!I$2:I$3493,IMDB_Movies!P$2:P$3493)</f>
        <v>13230435</v>
      </c>
    </row>
    <row r="223">
      <c r="A223" s="11" t="s">
        <v>996</v>
      </c>
      <c r="B223" s="35">
        <f t="array" ref="B223">XLOOKUP(A223,IMDB_Movies!I$2:I$3493,IMDB_Movies!Q$2:Q$3493)</f>
        <v>487945</v>
      </c>
      <c r="E223" s="11" t="s">
        <v>996</v>
      </c>
      <c r="F223" s="36">
        <f t="array" ref="F223">XLOOKUP(A223,IMDB_Movies!I$2:I$3493,IMDB_Movies!P$2:P$3493)</f>
        <v>0</v>
      </c>
    </row>
    <row r="224">
      <c r="A224" s="11" t="s">
        <v>1000</v>
      </c>
      <c r="B224" s="35">
        <f t="array" ref="B224">XLOOKUP(A224,IMDB_Movies!I$2:I$3493,IMDB_Movies!Q$2:Q$3493)</f>
        <v>0</v>
      </c>
      <c r="E224" s="11" t="s">
        <v>1000</v>
      </c>
      <c r="F224" s="36">
        <f t="array" ref="F224">XLOOKUP(A224,IMDB_Movies!I$2:I$3493,IMDB_Movies!P$2:P$3493)</f>
        <v>11051260</v>
      </c>
    </row>
    <row r="225">
      <c r="A225" s="20" t="s">
        <v>1006</v>
      </c>
      <c r="B225" s="35">
        <f t="array" ref="B225">XLOOKUP(A225,IMDB_Movies!I$2:I$3493,IMDB_Movies!Q$2:Q$3493)</f>
        <v>0</v>
      </c>
      <c r="E225" s="20" t="s">
        <v>1006</v>
      </c>
      <c r="F225" s="36">
        <f t="array" ref="F225">XLOOKUP(A225,IMDB_Movies!I$2:I$3493,IMDB_Movies!P$2:P$3493)</f>
        <v>11464368</v>
      </c>
    </row>
    <row r="226">
      <c r="A226" s="11" t="s">
        <v>1011</v>
      </c>
      <c r="B226" s="35">
        <f t="array" ref="B226">XLOOKUP(A226,IMDB_Movies!I$2:I$3493,IMDB_Movies!Q$2:Q$3493)</f>
        <v>0</v>
      </c>
      <c r="E226" s="11" t="s">
        <v>1011</v>
      </c>
      <c r="F226" s="36">
        <f t="array" ref="F226">XLOOKUP(A226,IMDB_Movies!I$2:I$3493,IMDB_Movies!P$2:P$3493)</f>
        <v>14281235</v>
      </c>
    </row>
    <row r="227">
      <c r="A227" s="24" t="s">
        <v>1014</v>
      </c>
      <c r="B227" s="35">
        <f t="array" ref="B227">XLOOKUP(A227,IMDB_Movies!I$2:I$3493,IMDB_Movies!Q$2:Q$3493)</f>
        <v>39443804</v>
      </c>
      <c r="E227" s="24" t="s">
        <v>1014</v>
      </c>
      <c r="F227" s="36">
        <f t="array" ref="F227">XLOOKUP(A227,IMDB_Movies!I$2:I$3493,IMDB_Movies!P$2:P$3493)</f>
        <v>0</v>
      </c>
    </row>
    <row r="228">
      <c r="A228" s="32" t="s">
        <v>1019</v>
      </c>
      <c r="B228" s="35">
        <f t="array" ref="B228">XLOOKUP(A228,IMDB_Movies!I$2:I$3493,IMDB_Movies!Q$2:Q$3493)</f>
        <v>0</v>
      </c>
      <c r="E228" s="32" t="s">
        <v>1019</v>
      </c>
      <c r="F228" s="36">
        <f t="array" ref="F228">XLOOKUP(A228,IMDB_Movies!I$2:I$3493,IMDB_Movies!P$2:P$3493)</f>
        <v>19691811</v>
      </c>
    </row>
    <row r="229">
      <c r="A229" s="11" t="s">
        <v>1023</v>
      </c>
      <c r="B229" s="35">
        <f t="array" ref="B229">XLOOKUP(A229,IMDB_Movies!I$2:I$3493,IMDB_Movies!Q$2:Q$3493)</f>
        <v>0</v>
      </c>
      <c r="E229" s="11" t="s">
        <v>1023</v>
      </c>
      <c r="F229" s="36">
        <f t="array" ref="F229">XLOOKUP(A229,IMDB_Movies!I$2:I$3493,IMDB_Movies!P$2:P$3493)</f>
        <v>51956980</v>
      </c>
    </row>
    <row r="230">
      <c r="A230" s="20" t="s">
        <v>1027</v>
      </c>
      <c r="B230" s="35">
        <f t="array" ref="B230">XLOOKUP(A230,IMDB_Movies!I$2:I$3493,IMDB_Movies!Q$2:Q$3493)</f>
        <v>0</v>
      </c>
      <c r="E230" s="20" t="s">
        <v>1027</v>
      </c>
      <c r="F230" s="36">
        <f t="array" ref="F230">XLOOKUP(A230,IMDB_Movies!I$2:I$3493,IMDB_Movies!P$2:P$3493)</f>
        <v>54195633</v>
      </c>
    </row>
    <row r="231">
      <c r="A231" s="11" t="s">
        <v>1031</v>
      </c>
      <c r="B231" s="35">
        <f t="array" ref="B231">XLOOKUP(A231,IMDB_Movies!I$2:I$3493,IMDB_Movies!Q$2:Q$3493)</f>
        <v>0</v>
      </c>
      <c r="E231" s="11" t="s">
        <v>1031</v>
      </c>
      <c r="F231" s="36">
        <f t="array" ref="F231">XLOOKUP(A231,IMDB_Movies!I$2:I$3493,IMDB_Movies!P$2:P$3493)</f>
        <v>246478898</v>
      </c>
    </row>
    <row r="232">
      <c r="A232" s="11" t="s">
        <v>1035</v>
      </c>
      <c r="B232" s="35">
        <f t="array" ref="B232">XLOOKUP(A232,IMDB_Movies!I$2:I$3493,IMDB_Movies!Q$2:Q$3493)</f>
        <v>0</v>
      </c>
      <c r="E232" s="11" t="s">
        <v>1035</v>
      </c>
      <c r="F232" s="36">
        <f t="array" ref="F232">XLOOKUP(A232,IMDB_Movies!I$2:I$3493,IMDB_Movies!P$2:P$3493)</f>
        <v>2094451</v>
      </c>
    </row>
    <row r="233">
      <c r="A233" s="11" t="s">
        <v>1040</v>
      </c>
      <c r="B233" s="35">
        <f t="array" ref="B233">XLOOKUP(A233,IMDB_Movies!I$2:I$3493,IMDB_Movies!Q$2:Q$3493)</f>
        <v>2604984</v>
      </c>
      <c r="E233" s="11" t="s">
        <v>1040</v>
      </c>
      <c r="F233" s="36">
        <f t="array" ref="F233">XLOOKUP(A233,IMDB_Movies!I$2:I$3493,IMDB_Movies!P$2:P$3493)</f>
        <v>0</v>
      </c>
    </row>
    <row r="234">
      <c r="A234" s="24" t="s">
        <v>1045</v>
      </c>
      <c r="B234" s="35">
        <f t="array" ref="B234">XLOOKUP(A234,IMDB_Movies!I$2:I$3493,IMDB_Movies!Q$2:Q$3493)</f>
        <v>40832183</v>
      </c>
      <c r="E234" s="24" t="s">
        <v>1045</v>
      </c>
      <c r="F234" s="36">
        <f t="array" ref="F234">XLOOKUP(A234,IMDB_Movies!I$2:I$3493,IMDB_Movies!P$2:P$3493)</f>
        <v>0</v>
      </c>
    </row>
    <row r="235">
      <c r="A235" s="32" t="s">
        <v>1049</v>
      </c>
      <c r="B235" s="35">
        <f t="array" ref="B235">XLOOKUP(A235,IMDB_Movies!I$2:I$3493,IMDB_Movies!Q$2:Q$3493)</f>
        <v>0</v>
      </c>
      <c r="E235" s="32" t="s">
        <v>1049</v>
      </c>
      <c r="F235" s="36">
        <f t="array" ref="F235">XLOOKUP(A235,IMDB_Movies!I$2:I$3493,IMDB_Movies!P$2:P$3493)</f>
        <v>38697449</v>
      </c>
    </row>
    <row r="236">
      <c r="A236" s="11" t="s">
        <v>1053</v>
      </c>
      <c r="B236" s="35">
        <f t="array" ref="B236">XLOOKUP(A236,IMDB_Movies!I$2:I$3493,IMDB_Movies!Q$2:Q$3493)</f>
        <v>1649942</v>
      </c>
      <c r="E236" s="11" t="s">
        <v>1053</v>
      </c>
      <c r="F236" s="36">
        <f t="array" ref="F236">XLOOKUP(A236,IMDB_Movies!I$2:I$3493,IMDB_Movies!P$2:P$3493)</f>
        <v>0</v>
      </c>
    </row>
    <row r="237">
      <c r="A237" s="24" t="s">
        <v>1057</v>
      </c>
      <c r="B237" s="35">
        <f t="array" ref="B237">XLOOKUP(A237,IMDB_Movies!I$2:I$3493,IMDB_Movies!Q$2:Q$3493)</f>
        <v>8080104</v>
      </c>
      <c r="E237" s="24" t="s">
        <v>1057</v>
      </c>
      <c r="F237" s="36">
        <f t="array" ref="F237">XLOOKUP(A237,IMDB_Movies!I$2:I$3493,IMDB_Movies!P$2:P$3493)</f>
        <v>0</v>
      </c>
    </row>
    <row r="238">
      <c r="A238" s="28" t="s">
        <v>1061</v>
      </c>
      <c r="B238" s="35">
        <f t="array" ref="B238">XLOOKUP(A238,IMDB_Movies!I$2:I$3493,IMDB_Movies!Q$2:Q$3493)</f>
        <v>9693285</v>
      </c>
      <c r="E238" s="28" t="s">
        <v>1061</v>
      </c>
      <c r="F238" s="36">
        <f t="array" ref="F238">XLOOKUP(A238,IMDB_Movies!I$2:I$3493,IMDB_Movies!P$2:P$3493)</f>
        <v>0</v>
      </c>
    </row>
    <row r="239">
      <c r="A239" s="20" t="s">
        <v>1065</v>
      </c>
      <c r="B239" s="35">
        <f t="array" ref="B239">XLOOKUP(A239,IMDB_Movies!I$2:I$3493,IMDB_Movies!Q$2:Q$3493)</f>
        <v>0</v>
      </c>
      <c r="E239" s="20" t="s">
        <v>1065</v>
      </c>
      <c r="F239" s="36">
        <f t="array" ref="F239">XLOOKUP(A239,IMDB_Movies!I$2:I$3493,IMDB_Movies!P$2:P$3493)</f>
        <v>86978840</v>
      </c>
    </row>
    <row r="240">
      <c r="A240" s="11" t="s">
        <v>1070</v>
      </c>
      <c r="B240" s="35">
        <f t="array" ref="B240">XLOOKUP(A240,IMDB_Movies!I$2:I$3493,IMDB_Movies!Q$2:Q$3493)</f>
        <v>893357</v>
      </c>
      <c r="E240" s="11" t="s">
        <v>1070</v>
      </c>
      <c r="F240" s="36">
        <f t="array" ref="F240">XLOOKUP(A240,IMDB_Movies!I$2:I$3493,IMDB_Movies!P$2:P$3493)</f>
        <v>0</v>
      </c>
    </row>
    <row r="241">
      <c r="A241" s="11" t="s">
        <v>1073</v>
      </c>
      <c r="B241" s="35">
        <f t="array" ref="B241">XLOOKUP(A241,IMDB_Movies!I$2:I$3493,IMDB_Movies!Q$2:Q$3493)</f>
        <v>6264471</v>
      </c>
      <c r="E241" s="11" t="s">
        <v>1073</v>
      </c>
      <c r="F241" s="36">
        <f t="array" ref="F241">XLOOKUP(A241,IMDB_Movies!I$2:I$3493,IMDB_Movies!P$2:P$3493)</f>
        <v>0</v>
      </c>
    </row>
    <row r="242">
      <c r="A242" s="11" t="s">
        <v>1077</v>
      </c>
      <c r="B242" s="35">
        <f t="array" ref="B242">XLOOKUP(A242,IMDB_Movies!I$2:I$3493,IMDB_Movies!Q$2:Q$3493)</f>
        <v>37673753</v>
      </c>
      <c r="E242" s="11" t="s">
        <v>1077</v>
      </c>
      <c r="F242" s="36">
        <f t="array" ref="F242">XLOOKUP(A242,IMDB_Movies!I$2:I$3493,IMDB_Movies!P$2:P$3493)</f>
        <v>0</v>
      </c>
    </row>
    <row r="243">
      <c r="A243" s="11" t="s">
        <v>1081</v>
      </c>
      <c r="B243" s="35">
        <f t="array" ref="B243">XLOOKUP(A243,IMDB_Movies!I$2:I$3493,IMDB_Movies!Q$2:Q$3493)</f>
        <v>6467012</v>
      </c>
      <c r="E243" s="11" t="s">
        <v>1081</v>
      </c>
      <c r="F243" s="36">
        <f t="array" ref="F243">XLOOKUP(A243,IMDB_Movies!I$2:I$3493,IMDB_Movies!P$2:P$3493)</f>
        <v>0</v>
      </c>
    </row>
    <row r="244">
      <c r="A244" s="11" t="s">
        <v>1085</v>
      </c>
      <c r="B244" s="35">
        <f t="array" ref="B244">XLOOKUP(A244,IMDB_Movies!I$2:I$3493,IMDB_Movies!Q$2:Q$3493)</f>
        <v>725339</v>
      </c>
      <c r="E244" s="11" t="s">
        <v>1085</v>
      </c>
      <c r="F244" s="36">
        <f t="array" ref="F244">XLOOKUP(A244,IMDB_Movies!I$2:I$3493,IMDB_Movies!P$2:P$3493)</f>
        <v>0</v>
      </c>
    </row>
    <row r="245">
      <c r="A245" s="11" t="s">
        <v>1089</v>
      </c>
      <c r="B245" s="35">
        <f t="array" ref="B245">XLOOKUP(A245,IMDB_Movies!I$2:I$3493,IMDB_Movies!Q$2:Q$3493)</f>
        <v>0</v>
      </c>
      <c r="E245" s="11" t="s">
        <v>1089</v>
      </c>
      <c r="F245" s="36">
        <f t="array" ref="F245">XLOOKUP(A245,IMDB_Movies!I$2:I$3493,IMDB_Movies!P$2:P$3493)</f>
        <v>2501651</v>
      </c>
    </row>
    <row r="246">
      <c r="A246" s="20" t="s">
        <v>1093</v>
      </c>
      <c r="B246" s="35">
        <f t="array" ref="B246">XLOOKUP(A246,IMDB_Movies!I$2:I$3493,IMDB_Movies!Q$2:Q$3493)</f>
        <v>24768635</v>
      </c>
      <c r="E246" s="20" t="s">
        <v>1093</v>
      </c>
      <c r="F246" s="36">
        <f t="array" ref="F246">XLOOKUP(A246,IMDB_Movies!I$2:I$3493,IMDB_Movies!P$2:P$3493)</f>
        <v>0</v>
      </c>
    </row>
    <row r="247">
      <c r="A247" s="24" t="s">
        <v>1097</v>
      </c>
      <c r="B247" s="35">
        <f t="array" ref="B247">XLOOKUP(A247,IMDB_Movies!I$2:I$3493,IMDB_Movies!Q$2:Q$3493)</f>
        <v>0</v>
      </c>
      <c r="E247" s="24" t="s">
        <v>1097</v>
      </c>
      <c r="F247" s="36">
        <f t="array" ref="F247">XLOOKUP(A247,IMDB_Movies!I$2:I$3493,IMDB_Movies!P$2:P$3493)</f>
        <v>47541000</v>
      </c>
    </row>
    <row r="248">
      <c r="A248" s="28" t="s">
        <v>1101</v>
      </c>
      <c r="B248" s="35">
        <f t="array" ref="B248">XLOOKUP(A248,IMDB_Movies!I$2:I$3493,IMDB_Movies!Q$2:Q$3493)</f>
        <v>0</v>
      </c>
      <c r="E248" s="28" t="s">
        <v>1101</v>
      </c>
      <c r="F248" s="36">
        <f t="array" ref="F248">XLOOKUP(A248,IMDB_Movies!I$2:I$3493,IMDB_Movies!P$2:P$3493)</f>
        <v>137170000</v>
      </c>
    </row>
    <row r="249">
      <c r="A249" s="11" t="s">
        <v>1106</v>
      </c>
      <c r="B249" s="35">
        <f t="array" ref="B249">XLOOKUP(A249,IMDB_Movies!I$2:I$3493,IMDB_Movies!Q$2:Q$3493)</f>
        <v>11120689</v>
      </c>
      <c r="E249" s="11" t="s">
        <v>1106</v>
      </c>
      <c r="F249" s="36">
        <f t="array" ref="F249">XLOOKUP(A249,IMDB_Movies!I$2:I$3493,IMDB_Movies!P$2:P$3493)</f>
        <v>0</v>
      </c>
    </row>
    <row r="250">
      <c r="A250" s="11" t="s">
        <v>1109</v>
      </c>
      <c r="B250" s="35">
        <f t="array" ref="B250">XLOOKUP(A250,IMDB_Movies!I$2:I$3493,IMDB_Movies!Q$2:Q$3493)</f>
        <v>8030610</v>
      </c>
      <c r="E250" s="11" t="s">
        <v>1109</v>
      </c>
      <c r="F250" s="36">
        <f t="array" ref="F250">XLOOKUP(A250,IMDB_Movies!I$2:I$3493,IMDB_Movies!P$2:P$3493)</f>
        <v>0</v>
      </c>
    </row>
    <row r="251">
      <c r="A251" s="11" t="s">
        <v>1113</v>
      </c>
      <c r="B251" s="35">
        <f t="array" ref="B251">XLOOKUP(A251,IMDB_Movies!I$2:I$3493,IMDB_Movies!Q$2:Q$3493)</f>
        <v>111931604</v>
      </c>
      <c r="E251" s="11" t="s">
        <v>1113</v>
      </c>
      <c r="F251" s="36">
        <f t="array" ref="F251">XLOOKUP(A251,IMDB_Movies!I$2:I$3493,IMDB_Movies!P$2:P$3493)</f>
        <v>0</v>
      </c>
    </row>
    <row r="252">
      <c r="A252" s="11" t="s">
        <v>1116</v>
      </c>
      <c r="B252" s="35">
        <f t="array" ref="B252">XLOOKUP(A252,IMDB_Movies!I$2:I$3493,IMDB_Movies!Q$2:Q$3493)</f>
        <v>0</v>
      </c>
      <c r="E252" s="11" t="s">
        <v>1116</v>
      </c>
      <c r="F252" s="36">
        <f t="array" ref="F252">XLOOKUP(A252,IMDB_Movies!I$2:I$3493,IMDB_Movies!P$2:P$3493)</f>
        <v>45000874</v>
      </c>
    </row>
    <row r="253">
      <c r="A253" s="11" t="s">
        <v>1118</v>
      </c>
      <c r="B253" s="35">
        <f t="array" ref="B253">XLOOKUP(A253,IMDB_Movies!I$2:I$3493,IMDB_Movies!Q$2:Q$3493)</f>
        <v>62684455</v>
      </c>
      <c r="E253" s="11" t="s">
        <v>1118</v>
      </c>
      <c r="F253" s="36">
        <f t="array" ref="F253">XLOOKUP(A253,IMDB_Movies!I$2:I$3493,IMDB_Movies!P$2:P$3493)</f>
        <v>0</v>
      </c>
    </row>
    <row r="254">
      <c r="A254" s="20" t="s">
        <v>1121</v>
      </c>
      <c r="B254" s="35">
        <f t="array" ref="B254">XLOOKUP(A254,IMDB_Movies!I$2:I$3493,IMDB_Movies!Q$2:Q$3493)</f>
        <v>50607905</v>
      </c>
      <c r="E254" s="20" t="s">
        <v>1121</v>
      </c>
      <c r="F254" s="36">
        <f t="array" ref="F254">XLOOKUP(A254,IMDB_Movies!I$2:I$3493,IMDB_Movies!P$2:P$3493)</f>
        <v>0</v>
      </c>
    </row>
    <row r="255">
      <c r="A255" s="20" t="s">
        <v>1126</v>
      </c>
      <c r="B255" s="35">
        <f t="array" ref="B255">XLOOKUP(A255,IMDB_Movies!I$2:I$3493,IMDB_Movies!Q$2:Q$3493)</f>
        <v>26355679</v>
      </c>
      <c r="E255" s="20" t="s">
        <v>1126</v>
      </c>
      <c r="F255" s="36">
        <f t="array" ref="F255">XLOOKUP(A255,IMDB_Movies!I$2:I$3493,IMDB_Movies!P$2:P$3493)</f>
        <v>0</v>
      </c>
    </row>
    <row r="256">
      <c r="A256" s="11" t="s">
        <v>1130</v>
      </c>
      <c r="B256" s="35">
        <f t="array" ref="B256">XLOOKUP(A256,IMDB_Movies!I$2:I$3493,IMDB_Movies!Q$2:Q$3493)</f>
        <v>0</v>
      </c>
      <c r="E256" s="11" t="s">
        <v>1130</v>
      </c>
      <c r="F256" s="36">
        <f t="array" ref="F256">XLOOKUP(A256,IMDB_Movies!I$2:I$3493,IMDB_Movies!P$2:P$3493)</f>
        <v>32066497</v>
      </c>
    </row>
    <row r="257">
      <c r="A257" s="20" t="s">
        <v>1134</v>
      </c>
      <c r="B257" s="35">
        <f t="array" ref="B257">XLOOKUP(A257,IMDB_Movies!I$2:I$3493,IMDB_Movies!Q$2:Q$3493)</f>
        <v>0</v>
      </c>
      <c r="E257" s="20" t="s">
        <v>1134</v>
      </c>
      <c r="F257" s="36">
        <f t="array" ref="F257">XLOOKUP(A257,IMDB_Movies!I$2:I$3493,IMDB_Movies!P$2:P$3493)</f>
        <v>5801344</v>
      </c>
    </row>
    <row r="258">
      <c r="A258" s="11" t="s">
        <v>1137</v>
      </c>
      <c r="B258" s="35">
        <f t="array" ref="B258">XLOOKUP(A258,IMDB_Movies!I$2:I$3493,IMDB_Movies!Q$2:Q$3493)</f>
        <v>19000897</v>
      </c>
      <c r="E258" s="11" t="s">
        <v>1137</v>
      </c>
      <c r="F258" s="36">
        <f t="array" ref="F258">XLOOKUP(A258,IMDB_Movies!I$2:I$3493,IMDB_Movies!P$2:P$3493)</f>
        <v>0</v>
      </c>
    </row>
    <row r="259">
      <c r="A259" s="11" t="s">
        <v>1140</v>
      </c>
      <c r="B259" s="35">
        <f t="array" ref="B259">XLOOKUP(A259,IMDB_Movies!I$2:I$3493,IMDB_Movies!Q$2:Q$3493)</f>
        <v>0</v>
      </c>
      <c r="E259" s="11" t="s">
        <v>1140</v>
      </c>
      <c r="F259" s="36">
        <f t="array" ref="F259">XLOOKUP(A259,IMDB_Movies!I$2:I$3493,IMDB_Movies!P$2:P$3493)</f>
        <v>2354988</v>
      </c>
    </row>
    <row r="260">
      <c r="A260" s="20" t="s">
        <v>1143</v>
      </c>
      <c r="B260" s="35">
        <f t="array" ref="B260">XLOOKUP(A260,IMDB_Movies!I$2:I$3493,IMDB_Movies!Q$2:Q$3493)</f>
        <v>47362515</v>
      </c>
      <c r="E260" s="20" t="s">
        <v>1143</v>
      </c>
      <c r="F260" s="36">
        <f t="array" ref="F260">XLOOKUP(A260,IMDB_Movies!I$2:I$3493,IMDB_Movies!P$2:P$3493)</f>
        <v>0</v>
      </c>
    </row>
    <row r="261">
      <c r="A261" s="20" t="s">
        <v>1147</v>
      </c>
      <c r="B261" s="35">
        <f t="array" ref="B261">XLOOKUP(A261,IMDB_Movies!I$2:I$3493,IMDB_Movies!Q$2:Q$3493)</f>
        <v>0</v>
      </c>
      <c r="E261" s="20" t="s">
        <v>1147</v>
      </c>
      <c r="F261" s="36">
        <f t="array" ref="F261">XLOOKUP(A261,IMDB_Movies!I$2:I$3493,IMDB_Movies!P$2:P$3493)</f>
        <v>6805534</v>
      </c>
    </row>
    <row r="262">
      <c r="A262" s="11" t="s">
        <v>1150</v>
      </c>
      <c r="B262" s="35">
        <f t="array" ref="B262">XLOOKUP(A262,IMDB_Movies!I$2:I$3493,IMDB_Movies!Q$2:Q$3493)</f>
        <v>0</v>
      </c>
      <c r="E262" s="11" t="s">
        <v>1150</v>
      </c>
      <c r="F262" s="36">
        <f t="array" ref="F262">XLOOKUP(A262,IMDB_Movies!I$2:I$3493,IMDB_Movies!P$2:P$3493)</f>
        <v>76115031</v>
      </c>
    </row>
    <row r="263">
      <c r="A263" s="24" t="s">
        <v>1153</v>
      </c>
      <c r="B263" s="35">
        <f t="array" ref="B263">XLOOKUP(A263,IMDB_Movies!I$2:I$3493,IMDB_Movies!Q$2:Q$3493)</f>
        <v>0</v>
      </c>
      <c r="E263" s="24" t="s">
        <v>1153</v>
      </c>
      <c r="F263" s="36">
        <f t="array" ref="F263">XLOOKUP(A263,IMDB_Movies!I$2:I$3493,IMDB_Movies!P$2:P$3493)</f>
        <v>14168080</v>
      </c>
    </row>
    <row r="264">
      <c r="A264" s="28" t="s">
        <v>1157</v>
      </c>
      <c r="B264" s="35">
        <f t="array" ref="B264">XLOOKUP(A264,IMDB_Movies!I$2:I$3493,IMDB_Movies!Q$2:Q$3493)</f>
        <v>30340253</v>
      </c>
      <c r="E264" s="28" t="s">
        <v>1157</v>
      </c>
      <c r="F264" s="36">
        <f t="array" ref="F264">XLOOKUP(A264,IMDB_Movies!I$2:I$3493,IMDB_Movies!P$2:P$3493)</f>
        <v>0</v>
      </c>
    </row>
    <row r="265">
      <c r="A265" s="24" t="s">
        <v>1161</v>
      </c>
      <c r="B265" s="35">
        <f t="array" ref="B265">XLOOKUP(A265,IMDB_Movies!I$2:I$3493,IMDB_Movies!Q$2:Q$3493)</f>
        <v>0</v>
      </c>
      <c r="E265" s="24" t="s">
        <v>1161</v>
      </c>
      <c r="F265" s="36">
        <f t="array" ref="F265">XLOOKUP(A265,IMDB_Movies!I$2:I$3493,IMDB_Movies!P$2:P$3493)</f>
        <v>4659817</v>
      </c>
    </row>
    <row r="266">
      <c r="A266" s="32" t="s">
        <v>1166</v>
      </c>
      <c r="B266" s="35">
        <f t="array" ref="B266">XLOOKUP(A266,IMDB_Movies!I$2:I$3493,IMDB_Movies!Q$2:Q$3493)</f>
        <v>0</v>
      </c>
      <c r="E266" s="32" t="s">
        <v>1166</v>
      </c>
      <c r="F266" s="36">
        <f t="array" ref="F266">XLOOKUP(A266,IMDB_Movies!I$2:I$3493,IMDB_Movies!P$2:P$3493)</f>
        <v>30618403</v>
      </c>
    </row>
    <row r="267">
      <c r="A267" s="24" t="s">
        <v>1171</v>
      </c>
      <c r="B267" s="35">
        <f t="array" ref="B267">XLOOKUP(A267,IMDB_Movies!I$2:I$3493,IMDB_Movies!Q$2:Q$3493)</f>
        <v>0</v>
      </c>
      <c r="E267" s="24" t="s">
        <v>1171</v>
      </c>
      <c r="F267" s="36">
        <f t="array" ref="F267">XLOOKUP(A267,IMDB_Movies!I$2:I$3493,IMDB_Movies!P$2:P$3493)</f>
        <v>18037513</v>
      </c>
    </row>
    <row r="268">
      <c r="A268" s="28" t="s">
        <v>1175</v>
      </c>
      <c r="B268" s="35">
        <f t="array" ref="B268">XLOOKUP(A268,IMDB_Movies!I$2:I$3493,IMDB_Movies!Q$2:Q$3493)</f>
        <v>21017158</v>
      </c>
      <c r="E268" s="28" t="s">
        <v>1175</v>
      </c>
      <c r="F268" s="36">
        <f t="array" ref="F268">XLOOKUP(A268,IMDB_Movies!I$2:I$3493,IMDB_Movies!P$2:P$3493)</f>
        <v>0</v>
      </c>
    </row>
    <row r="269">
      <c r="A269" s="11" t="s">
        <v>1178</v>
      </c>
      <c r="B269" s="35">
        <f t="array" ref="B269">XLOOKUP(A269,IMDB_Movies!I$2:I$3493,IMDB_Movies!Q$2:Q$3493)</f>
        <v>0</v>
      </c>
      <c r="E269" s="11" t="s">
        <v>1178</v>
      </c>
      <c r="F269" s="36">
        <f t="array" ref="F269">XLOOKUP(A269,IMDB_Movies!I$2:I$3493,IMDB_Movies!P$2:P$3493)</f>
        <v>20033643</v>
      </c>
    </row>
    <row r="270">
      <c r="A270" s="11" t="s">
        <v>1182</v>
      </c>
      <c r="B270" s="35">
        <f t="array" ref="B270">XLOOKUP(A270,IMDB_Movies!I$2:I$3493,IMDB_Movies!Q$2:Q$3493)</f>
        <v>0</v>
      </c>
      <c r="E270" s="11" t="s">
        <v>1182</v>
      </c>
      <c r="F270" s="36">
        <f t="array" ref="F270">XLOOKUP(A270,IMDB_Movies!I$2:I$3493,IMDB_Movies!P$2:P$3493)</f>
        <v>19179516</v>
      </c>
    </row>
    <row r="271">
      <c r="A271" s="20" t="s">
        <v>1185</v>
      </c>
      <c r="B271" s="35">
        <f t="array" ref="B271">XLOOKUP(A271,IMDB_Movies!I$2:I$3493,IMDB_Movies!Q$2:Q$3493)</f>
        <v>0</v>
      </c>
      <c r="E271" s="20" t="s">
        <v>1185</v>
      </c>
      <c r="F271" s="36">
        <f t="array" ref="F271">XLOOKUP(A271,IMDB_Movies!I$2:I$3493,IMDB_Movies!P$2:P$3493)</f>
        <v>50353764</v>
      </c>
    </row>
    <row r="272">
      <c r="A272" s="20" t="s">
        <v>1188</v>
      </c>
      <c r="B272" s="35">
        <f t="array" ref="B272">XLOOKUP(A272,IMDB_Movies!I$2:I$3493,IMDB_Movies!Q$2:Q$3493)</f>
        <v>0</v>
      </c>
      <c r="E272" s="20" t="s">
        <v>1188</v>
      </c>
      <c r="F272" s="36">
        <f t="array" ref="F272">XLOOKUP(A272,IMDB_Movies!I$2:I$3493,IMDB_Movies!P$2:P$3493)</f>
        <v>26200000</v>
      </c>
    </row>
    <row r="273">
      <c r="A273" s="24" t="s">
        <v>1193</v>
      </c>
      <c r="B273" s="35">
        <f t="array" ref="B273">XLOOKUP(A273,IMDB_Movies!I$2:I$3493,IMDB_Movies!Q$2:Q$3493)</f>
        <v>0</v>
      </c>
      <c r="E273" s="24" t="s">
        <v>1193</v>
      </c>
      <c r="F273" s="36">
        <f t="array" ref="F273">XLOOKUP(A273,IMDB_Movies!I$2:I$3493,IMDB_Movies!P$2:P$3493)</f>
        <v>81700000</v>
      </c>
    </row>
    <row r="274">
      <c r="A274" s="28" t="s">
        <v>1196</v>
      </c>
      <c r="B274" s="35">
        <f t="array" ref="B274">XLOOKUP(A274,IMDB_Movies!I$2:I$3493,IMDB_Movies!Q$2:Q$3493)</f>
        <v>0</v>
      </c>
      <c r="E274" s="28" t="s">
        <v>1196</v>
      </c>
      <c r="F274" s="36">
        <f t="array" ref="F274">XLOOKUP(A274,IMDB_Movies!I$2:I$3493,IMDB_Movies!P$2:P$3493)</f>
        <v>51889948</v>
      </c>
    </row>
    <row r="275">
      <c r="A275" s="11" t="s">
        <v>1200</v>
      </c>
      <c r="B275" s="35">
        <f t="array" ref="B275">XLOOKUP(A275,IMDB_Movies!I$2:I$3493,IMDB_Movies!Q$2:Q$3493)</f>
        <v>0</v>
      </c>
      <c r="E275" s="11" t="s">
        <v>1200</v>
      </c>
      <c r="F275" s="36">
        <f t="array" ref="F275">XLOOKUP(A275,IMDB_Movies!I$2:I$3493,IMDB_Movies!P$2:P$3493)</f>
        <v>42343675</v>
      </c>
    </row>
    <row r="276">
      <c r="A276" s="20" t="s">
        <v>1204</v>
      </c>
      <c r="B276" s="35">
        <f t="array" ref="B276">XLOOKUP(A276,IMDB_Movies!I$2:I$3493,IMDB_Movies!Q$2:Q$3493)</f>
        <v>0</v>
      </c>
      <c r="E276" s="20" t="s">
        <v>1204</v>
      </c>
      <c r="F276" s="36">
        <f t="array" ref="F276">XLOOKUP(A276,IMDB_Movies!I$2:I$3493,IMDB_Movies!P$2:P$3493)</f>
        <v>111175354</v>
      </c>
    </row>
    <row r="277">
      <c r="A277" s="20" t="s">
        <v>1208</v>
      </c>
      <c r="B277" s="35">
        <f t="array" ref="B277">XLOOKUP(A277,IMDB_Movies!I$2:I$3493,IMDB_Movies!Q$2:Q$3493)</f>
        <v>61357548</v>
      </c>
      <c r="E277" s="20" t="s">
        <v>1208</v>
      </c>
      <c r="F277" s="36">
        <f t="array" ref="F277">XLOOKUP(A277,IMDB_Movies!I$2:I$3493,IMDB_Movies!P$2:P$3493)</f>
        <v>0</v>
      </c>
    </row>
    <row r="278">
      <c r="A278" s="11" t="s">
        <v>1212</v>
      </c>
      <c r="B278" s="35">
        <f t="array" ref="B278">XLOOKUP(A278,IMDB_Movies!I$2:I$3493,IMDB_Movies!Q$2:Q$3493)</f>
        <v>4597590</v>
      </c>
      <c r="E278" s="11" t="s">
        <v>1212</v>
      </c>
      <c r="F278" s="36">
        <f t="array" ref="F278">XLOOKUP(A278,IMDB_Movies!I$2:I$3493,IMDB_Movies!P$2:P$3493)</f>
        <v>0</v>
      </c>
    </row>
    <row r="279">
      <c r="A279" s="20" t="s">
        <v>1216</v>
      </c>
      <c r="B279" s="35">
        <f t="array" ref="B279">XLOOKUP(A279,IMDB_Movies!I$2:I$3493,IMDB_Movies!Q$2:Q$3493)</f>
        <v>0</v>
      </c>
      <c r="E279" s="20" t="s">
        <v>1216</v>
      </c>
      <c r="F279" s="36">
        <f t="array" ref="F279">XLOOKUP(A279,IMDB_Movies!I$2:I$3493,IMDB_Movies!P$2:P$3493)</f>
        <v>5566327</v>
      </c>
    </row>
    <row r="280">
      <c r="A280" s="11" t="s">
        <v>1218</v>
      </c>
      <c r="B280" s="35">
        <f t="array" ref="B280">XLOOKUP(A280,IMDB_Movies!I$2:I$3493,IMDB_Movies!Q$2:Q$3493)</f>
        <v>0</v>
      </c>
      <c r="E280" s="11" t="s">
        <v>1218</v>
      </c>
      <c r="F280" s="36">
        <f t="array" ref="F280">XLOOKUP(A280,IMDB_Movies!I$2:I$3493,IMDB_Movies!P$2:P$3493)</f>
        <v>3422650</v>
      </c>
    </row>
    <row r="281">
      <c r="A281" s="11" t="s">
        <v>1222</v>
      </c>
      <c r="B281" s="35">
        <f t="array" ref="B281">XLOOKUP(A281,IMDB_Movies!I$2:I$3493,IMDB_Movies!Q$2:Q$3493)</f>
        <v>2787583</v>
      </c>
      <c r="E281" s="11" t="s">
        <v>1222</v>
      </c>
      <c r="F281" s="36">
        <f t="array" ref="F281">XLOOKUP(A281,IMDB_Movies!I$2:I$3493,IMDB_Movies!P$2:P$3493)</f>
        <v>0</v>
      </c>
    </row>
    <row r="282">
      <c r="A282" s="24" t="s">
        <v>1226</v>
      </c>
      <c r="B282" s="35">
        <f t="array" ref="B282">XLOOKUP(A282,IMDB_Movies!I$2:I$3493,IMDB_Movies!Q$2:Q$3493)</f>
        <v>25643000</v>
      </c>
      <c r="E282" s="24" t="s">
        <v>1226</v>
      </c>
      <c r="F282" s="36">
        <f t="array" ref="F282">XLOOKUP(A282,IMDB_Movies!I$2:I$3493,IMDB_Movies!P$2:P$3493)</f>
        <v>0</v>
      </c>
    </row>
    <row r="283">
      <c r="A283" s="32" t="s">
        <v>1228</v>
      </c>
      <c r="B283" s="35">
        <f t="array" ref="B283">XLOOKUP(A283,IMDB_Movies!I$2:I$3493,IMDB_Movies!Q$2:Q$3493)</f>
        <v>0</v>
      </c>
      <c r="E283" s="32" t="s">
        <v>1228</v>
      </c>
      <c r="F283" s="36">
        <f t="array" ref="F283">XLOOKUP(A283,IMDB_Movies!I$2:I$3493,IMDB_Movies!P$2:P$3493)</f>
        <v>253501675</v>
      </c>
    </row>
    <row r="284">
      <c r="A284" s="11" t="s">
        <v>1232</v>
      </c>
      <c r="B284" s="35">
        <f t="array" ref="B284">XLOOKUP(A284,IMDB_Movies!I$2:I$3493,IMDB_Movies!Q$2:Q$3493)</f>
        <v>23345419</v>
      </c>
      <c r="E284" s="11" t="s">
        <v>1232</v>
      </c>
      <c r="F284" s="36">
        <f t="array" ref="F284">XLOOKUP(A284,IMDB_Movies!I$2:I$3493,IMDB_Movies!P$2:P$3493)</f>
        <v>0</v>
      </c>
    </row>
    <row r="285">
      <c r="A285" s="20" t="s">
        <v>1237</v>
      </c>
      <c r="B285" s="35">
        <f t="array" ref="B285">XLOOKUP(A285,IMDB_Movies!I$2:I$3493,IMDB_Movies!Q$2:Q$3493)</f>
        <v>0</v>
      </c>
      <c r="E285" s="20" t="s">
        <v>1237</v>
      </c>
      <c r="F285" s="36">
        <f t="array" ref="F285">XLOOKUP(A285,IMDB_Movies!I$2:I$3493,IMDB_Movies!P$2:P$3493)</f>
        <v>24244684</v>
      </c>
    </row>
    <row r="286">
      <c r="A286" s="11" t="s">
        <v>1240</v>
      </c>
      <c r="B286" s="35">
        <f t="array" ref="B286">XLOOKUP(A286,IMDB_Movies!I$2:I$3493,IMDB_Movies!Q$2:Q$3493)</f>
        <v>0</v>
      </c>
      <c r="E286" s="11" t="s">
        <v>1240</v>
      </c>
      <c r="F286" s="36">
        <f t="array" ref="F286">XLOOKUP(A286,IMDB_Movies!I$2:I$3493,IMDB_Movies!P$2:P$3493)</f>
        <v>8768623</v>
      </c>
    </row>
    <row r="287">
      <c r="A287" s="24" t="s">
        <v>1244</v>
      </c>
      <c r="B287" s="35">
        <f t="array" ref="B287">XLOOKUP(A287,IMDB_Movies!I$2:I$3493,IMDB_Movies!Q$2:Q$3493)</f>
        <v>407362</v>
      </c>
      <c r="E287" s="24" t="s">
        <v>1244</v>
      </c>
      <c r="F287" s="36">
        <f t="array" ref="F287">XLOOKUP(A287,IMDB_Movies!I$2:I$3493,IMDB_Movies!P$2:P$3493)</f>
        <v>0</v>
      </c>
    </row>
    <row r="288">
      <c r="A288" s="16" t="s">
        <v>1246</v>
      </c>
      <c r="B288" s="35">
        <f t="array" ref="B288">XLOOKUP(A288,IMDB_Movies!I$2:I$3493,IMDB_Movies!Q$2:Q$3493)</f>
        <v>17714996</v>
      </c>
      <c r="E288" s="16" t="s">
        <v>1246</v>
      </c>
      <c r="F288" s="36">
        <f t="array" ref="F288">XLOOKUP(A288,IMDB_Movies!I$2:I$3493,IMDB_Movies!P$2:P$3493)</f>
        <v>0</v>
      </c>
    </row>
    <row r="289">
      <c r="A289" s="16" t="s">
        <v>1249</v>
      </c>
      <c r="B289" s="35">
        <f t="array" ref="B289">XLOOKUP(A289,IMDB_Movies!I$2:I$3493,IMDB_Movies!Q$2:Q$3493)</f>
        <v>0</v>
      </c>
      <c r="E289" s="16" t="s">
        <v>1249</v>
      </c>
      <c r="F289" s="36">
        <f t="array" ref="F289">XLOOKUP(A289,IMDB_Movies!I$2:I$3493,IMDB_Movies!P$2:P$3493)</f>
        <v>19489752</v>
      </c>
    </row>
    <row r="290">
      <c r="A290" s="28" t="s">
        <v>1253</v>
      </c>
      <c r="B290" s="35">
        <f t="array" ref="B290">XLOOKUP(A290,IMDB_Movies!I$2:I$3493,IMDB_Movies!Q$2:Q$3493)</f>
        <v>109916481</v>
      </c>
      <c r="E290" s="28" t="s">
        <v>1253</v>
      </c>
      <c r="F290" s="36">
        <f t="array" ref="F290">XLOOKUP(A290,IMDB_Movies!I$2:I$3493,IMDB_Movies!P$2:P$3493)</f>
        <v>0</v>
      </c>
    </row>
    <row r="291">
      <c r="A291" s="11" t="s">
        <v>1256</v>
      </c>
      <c r="B291" s="35">
        <f t="array" ref="B291">XLOOKUP(A291,IMDB_Movies!I$2:I$3493,IMDB_Movies!Q$2:Q$3493)</f>
        <v>690958</v>
      </c>
      <c r="E291" s="11" t="s">
        <v>1256</v>
      </c>
      <c r="F291" s="36">
        <f t="array" ref="F291">XLOOKUP(A291,IMDB_Movies!I$2:I$3493,IMDB_Movies!P$2:P$3493)</f>
        <v>0</v>
      </c>
    </row>
    <row r="292">
      <c r="A292" s="11" t="s">
        <v>1259</v>
      </c>
      <c r="B292" s="35">
        <f t="array" ref="B292">XLOOKUP(A292,IMDB_Movies!I$2:I$3493,IMDB_Movies!Q$2:Q$3493)</f>
        <v>0</v>
      </c>
      <c r="E292" s="11" t="s">
        <v>1259</v>
      </c>
      <c r="F292" s="36">
        <f t="array" ref="F292">XLOOKUP(A292,IMDB_Movies!I$2:I$3493,IMDB_Movies!P$2:P$3493)</f>
        <v>13257000</v>
      </c>
    </row>
    <row r="293">
      <c r="A293" s="11" t="s">
        <v>1262</v>
      </c>
      <c r="B293" s="35">
        <f t="array" ref="B293">XLOOKUP(A293,IMDB_Movies!I$2:I$3493,IMDB_Movies!Q$2:Q$3493)</f>
        <v>2288790</v>
      </c>
      <c r="E293" s="11" t="s">
        <v>1262</v>
      </c>
      <c r="F293" s="36">
        <f t="array" ref="F293">XLOOKUP(A293,IMDB_Movies!I$2:I$3493,IMDB_Movies!P$2:P$3493)</f>
        <v>0</v>
      </c>
    </row>
    <row r="294">
      <c r="A294" s="24" t="s">
        <v>1267</v>
      </c>
      <c r="B294" s="35">
        <f t="array" ref="B294">XLOOKUP(A294,IMDB_Movies!I$2:I$3493,IMDB_Movies!Q$2:Q$3493)</f>
        <v>0</v>
      </c>
      <c r="E294" s="24" t="s">
        <v>1267</v>
      </c>
      <c r="F294" s="36">
        <f t="array" ref="F294">XLOOKUP(A294,IMDB_Movies!I$2:I$3493,IMDB_Movies!P$2:P$3493)</f>
        <v>7055248</v>
      </c>
    </row>
    <row r="295">
      <c r="A295" s="28" t="s">
        <v>1271</v>
      </c>
      <c r="B295" s="35">
        <f t="array" ref="B295">XLOOKUP(A295,IMDB_Movies!I$2:I$3493,IMDB_Movies!Q$2:Q$3493)</f>
        <v>21878028</v>
      </c>
      <c r="E295" s="28" t="s">
        <v>1271</v>
      </c>
      <c r="F295" s="36">
        <f t="array" ref="F295">XLOOKUP(A295,IMDB_Movies!I$2:I$3493,IMDB_Movies!P$2:P$3493)</f>
        <v>0</v>
      </c>
    </row>
    <row r="296">
      <c r="A296" s="24" t="s">
        <v>1276</v>
      </c>
      <c r="B296" s="35">
        <f t="array" ref="B296">XLOOKUP(A296,IMDB_Movies!I$2:I$3493,IMDB_Movies!Q$2:Q$3493)</f>
        <v>0</v>
      </c>
      <c r="E296" s="24" t="s">
        <v>1276</v>
      </c>
      <c r="F296" s="36">
        <f t="array" ref="F296">XLOOKUP(A296,IMDB_Movies!I$2:I$3493,IMDB_Movies!P$2:P$3493)</f>
        <v>41793567</v>
      </c>
    </row>
    <row r="297">
      <c r="A297" s="28" t="s">
        <v>1280</v>
      </c>
      <c r="B297" s="35">
        <f t="array" ref="B297">XLOOKUP(A297,IMDB_Movies!I$2:I$3493,IMDB_Movies!Q$2:Q$3493)</f>
        <v>0</v>
      </c>
      <c r="E297" s="28" t="s">
        <v>1280</v>
      </c>
      <c r="F297" s="36">
        <f t="array" ref="F297">XLOOKUP(A297,IMDB_Movies!I$2:I$3493,IMDB_Movies!P$2:P$3493)</f>
        <v>36600000</v>
      </c>
    </row>
    <row r="298">
      <c r="A298" s="20" t="s">
        <v>1284</v>
      </c>
      <c r="B298" s="35">
        <f t="array" ref="B298">XLOOKUP(A298,IMDB_Movies!I$2:I$3493,IMDB_Movies!Q$2:Q$3493)</f>
        <v>0</v>
      </c>
      <c r="E298" s="20" t="s">
        <v>1284</v>
      </c>
      <c r="F298" s="36">
        <f t="array" ref="F298">XLOOKUP(A298,IMDB_Movies!I$2:I$3493,IMDB_Movies!P$2:P$3493)</f>
        <v>449935665</v>
      </c>
    </row>
    <row r="299">
      <c r="A299" s="24" t="s">
        <v>1286</v>
      </c>
      <c r="B299" s="35">
        <f t="array" ref="B299">XLOOKUP(A299,IMDB_Movies!I$2:I$3493,IMDB_Movies!Q$2:Q$3493)</f>
        <v>1552547</v>
      </c>
      <c r="E299" s="24" t="s">
        <v>1286</v>
      </c>
      <c r="F299" s="36">
        <f t="array" ref="F299">XLOOKUP(A299,IMDB_Movies!I$2:I$3493,IMDB_Movies!P$2:P$3493)</f>
        <v>0</v>
      </c>
    </row>
    <row r="300">
      <c r="A300" s="16" t="s">
        <v>1289</v>
      </c>
      <c r="B300" s="35">
        <f t="array" ref="B300">XLOOKUP(A300,IMDB_Movies!I$2:I$3493,IMDB_Movies!Q$2:Q$3493)</f>
        <v>103295584</v>
      </c>
      <c r="E300" s="16" t="s">
        <v>1289</v>
      </c>
      <c r="F300" s="36">
        <f t="array" ref="F300">XLOOKUP(A300,IMDB_Movies!I$2:I$3493,IMDB_Movies!P$2:P$3493)</f>
        <v>0</v>
      </c>
    </row>
    <row r="301">
      <c r="A301" s="28" t="s">
        <v>1293</v>
      </c>
      <c r="B301" s="35">
        <f t="array" ref="B301">XLOOKUP(A301,IMDB_Movies!I$2:I$3493,IMDB_Movies!Q$2:Q$3493)</f>
        <v>0</v>
      </c>
      <c r="E301" s="28" t="s">
        <v>1293</v>
      </c>
      <c r="F301" s="36">
        <f t="array" ref="F301">XLOOKUP(A301,IMDB_Movies!I$2:I$3493,IMDB_Movies!P$2:P$3493)</f>
        <v>5911876</v>
      </c>
    </row>
    <row r="302">
      <c r="A302" s="24" t="s">
        <v>1295</v>
      </c>
      <c r="B302" s="35">
        <f t="array" ref="B302">XLOOKUP(A302,IMDB_Movies!I$2:I$3493,IMDB_Movies!Q$2:Q$3493)</f>
        <v>0</v>
      </c>
      <c r="E302" s="24" t="s">
        <v>1295</v>
      </c>
      <c r="F302" s="36">
        <f t="array" ref="F302">XLOOKUP(A302,IMDB_Movies!I$2:I$3493,IMDB_Movies!P$2:P$3493)</f>
        <v>7168</v>
      </c>
    </row>
    <row r="303">
      <c r="A303" s="32" t="s">
        <v>1299</v>
      </c>
      <c r="B303" s="35">
        <f t="array" ref="B303">XLOOKUP(A303,IMDB_Movies!I$2:I$3493,IMDB_Movies!Q$2:Q$3493)</f>
        <v>13150858</v>
      </c>
      <c r="E303" s="32" t="s">
        <v>1299</v>
      </c>
      <c r="F303" s="36">
        <f t="array" ref="F303">XLOOKUP(A303,IMDB_Movies!I$2:I$3493,IMDB_Movies!P$2:P$3493)</f>
        <v>0</v>
      </c>
    </row>
    <row r="304">
      <c r="A304" s="24" t="s">
        <v>1304</v>
      </c>
      <c r="B304" s="35">
        <f t="array" ref="B304">XLOOKUP(A304,IMDB_Movies!I$2:I$3493,IMDB_Movies!Q$2:Q$3493)</f>
        <v>13595247</v>
      </c>
      <c r="E304" s="24" t="s">
        <v>1304</v>
      </c>
      <c r="F304" s="36">
        <f t="array" ref="F304">XLOOKUP(A304,IMDB_Movies!I$2:I$3493,IMDB_Movies!P$2:P$3493)</f>
        <v>0</v>
      </c>
    </row>
    <row r="305">
      <c r="A305" s="28" t="s">
        <v>1308</v>
      </c>
      <c r="B305" s="35">
        <f t="array" ref="B305">XLOOKUP(A305,IMDB_Movies!I$2:I$3493,IMDB_Movies!Q$2:Q$3493)</f>
        <v>16250939</v>
      </c>
      <c r="E305" s="28" t="s">
        <v>1308</v>
      </c>
      <c r="F305" s="36">
        <f t="array" ref="F305">XLOOKUP(A305,IMDB_Movies!I$2:I$3493,IMDB_Movies!P$2:P$3493)</f>
        <v>0</v>
      </c>
    </row>
    <row r="306">
      <c r="A306" s="24" t="s">
        <v>1312</v>
      </c>
      <c r="B306" s="35">
        <f t="array" ref="B306">XLOOKUP(A306,IMDB_Movies!I$2:I$3493,IMDB_Movies!Q$2:Q$3493)</f>
        <v>0</v>
      </c>
      <c r="E306" s="24" t="s">
        <v>1312</v>
      </c>
      <c r="F306" s="36">
        <f t="array" ref="F306">XLOOKUP(A306,IMDB_Movies!I$2:I$3493,IMDB_Movies!P$2:P$3493)</f>
        <v>5222640</v>
      </c>
    </row>
    <row r="307">
      <c r="A307" s="28" t="s">
        <v>1315</v>
      </c>
      <c r="B307" s="35">
        <f t="array" ref="B307">XLOOKUP(A307,IMDB_Movies!I$2:I$3493,IMDB_Movies!Q$2:Q$3493)</f>
        <v>0</v>
      </c>
      <c r="E307" s="28" t="s">
        <v>1315</v>
      </c>
      <c r="F307" s="36">
        <f t="array" ref="F307">XLOOKUP(A307,IMDB_Movies!I$2:I$3493,IMDB_Movies!P$2:P$3493)</f>
        <v>17272306</v>
      </c>
    </row>
    <row r="308">
      <c r="A308" s="11" t="s">
        <v>1318</v>
      </c>
      <c r="B308" s="35">
        <f t="array" ref="B308">XLOOKUP(A308,IMDB_Movies!I$2:I$3493,IMDB_Movies!Q$2:Q$3493)</f>
        <v>0</v>
      </c>
      <c r="E308" s="11" t="s">
        <v>1318</v>
      </c>
      <c r="F308" s="36">
        <f t="array" ref="F308">XLOOKUP(A308,IMDB_Movies!I$2:I$3493,IMDB_Movies!P$2:P$3493)</f>
        <v>102277056</v>
      </c>
    </row>
    <row r="309">
      <c r="A309" s="24" t="s">
        <v>1323</v>
      </c>
      <c r="B309" s="35">
        <f t="array" ref="B309">XLOOKUP(A309,IMDB_Movies!I$2:I$3493,IMDB_Movies!Q$2:Q$3493)</f>
        <v>7115337</v>
      </c>
      <c r="E309" s="24" t="s">
        <v>1323</v>
      </c>
      <c r="F309" s="36">
        <f t="array" ref="F309">XLOOKUP(A309,IMDB_Movies!I$2:I$3493,IMDB_Movies!P$2:P$3493)</f>
        <v>0</v>
      </c>
    </row>
    <row r="310">
      <c r="A310" s="16" t="s">
        <v>1326</v>
      </c>
      <c r="B310" s="35">
        <f t="array" ref="B310">XLOOKUP(A310,IMDB_Movies!I$2:I$3493,IMDB_Movies!Q$2:Q$3493)</f>
        <v>0</v>
      </c>
      <c r="E310" s="16" t="s">
        <v>1326</v>
      </c>
      <c r="F310" s="36">
        <f t="array" ref="F310">XLOOKUP(A310,IMDB_Movies!I$2:I$3493,IMDB_Movies!P$2:P$3493)</f>
        <v>4104113</v>
      </c>
    </row>
    <row r="311">
      <c r="A311" s="28" t="s">
        <v>1330</v>
      </c>
      <c r="B311" s="35">
        <f t="array" ref="B311">XLOOKUP(A311,IMDB_Movies!I$2:I$3493,IMDB_Movies!Q$2:Q$3493)</f>
        <v>4973029</v>
      </c>
      <c r="E311" s="28" t="s">
        <v>1330</v>
      </c>
      <c r="F311" s="36">
        <f t="array" ref="F311">XLOOKUP(A311,IMDB_Movies!I$2:I$3493,IMDB_Movies!P$2:P$3493)</f>
        <v>0</v>
      </c>
    </row>
    <row r="312">
      <c r="A312" s="11" t="s">
        <v>1333</v>
      </c>
      <c r="B312" s="35">
        <f t="array" ref="B312">XLOOKUP(A312,IMDB_Movies!I$2:I$3493,IMDB_Movies!Q$2:Q$3493)</f>
        <v>12144354</v>
      </c>
      <c r="E312" s="11" t="s">
        <v>1333</v>
      </c>
      <c r="F312" s="36">
        <f t="array" ref="F312">XLOOKUP(A312,IMDB_Movies!I$2:I$3493,IMDB_Movies!P$2:P$3493)</f>
        <v>0</v>
      </c>
    </row>
    <row r="313">
      <c r="A313" s="20" t="s">
        <v>1337</v>
      </c>
      <c r="B313" s="35">
        <f t="array" ref="B313">XLOOKUP(A313,IMDB_Movies!I$2:I$3493,IMDB_Movies!Q$2:Q$3493)</f>
        <v>0</v>
      </c>
      <c r="E313" s="20" t="s">
        <v>1337</v>
      </c>
      <c r="F313" s="36">
        <f t="array" ref="F313">XLOOKUP(A313,IMDB_Movies!I$2:I$3493,IMDB_Movies!P$2:P$3493)</f>
        <v>36900000</v>
      </c>
    </row>
    <row r="314">
      <c r="A314" s="20" t="s">
        <v>1341</v>
      </c>
      <c r="B314" s="35">
        <f t="array" ref="B314">XLOOKUP(A314,IMDB_Movies!I$2:I$3493,IMDB_Movies!Q$2:Q$3493)</f>
        <v>8988946</v>
      </c>
      <c r="E314" s="20" t="s">
        <v>1341</v>
      </c>
      <c r="F314" s="36">
        <f t="array" ref="F314">XLOOKUP(A314,IMDB_Movies!I$2:I$3493,IMDB_Movies!P$2:P$3493)</f>
        <v>0</v>
      </c>
    </row>
    <row r="315">
      <c r="A315" s="24" t="s">
        <v>1344</v>
      </c>
      <c r="B315" s="35">
        <f t="array" ref="B315">XLOOKUP(A315,IMDB_Movies!I$2:I$3493,IMDB_Movies!Q$2:Q$3493)</f>
        <v>1929689</v>
      </c>
      <c r="E315" s="24" t="s">
        <v>1344</v>
      </c>
      <c r="F315" s="36">
        <f t="array" ref="F315">XLOOKUP(A315,IMDB_Movies!I$2:I$3493,IMDB_Movies!P$2:P$3493)</f>
        <v>0</v>
      </c>
    </row>
    <row r="316">
      <c r="A316" s="28" t="s">
        <v>1348</v>
      </c>
      <c r="B316" s="35">
        <f t="array" ref="B316">XLOOKUP(A316,IMDB_Movies!I$2:I$3493,IMDB_Movies!Q$2:Q$3493)</f>
        <v>0</v>
      </c>
      <c r="E316" s="28" t="s">
        <v>1348</v>
      </c>
      <c r="F316" s="36">
        <f t="array" ref="F316">XLOOKUP(A316,IMDB_Movies!I$2:I$3493,IMDB_Movies!P$2:P$3493)</f>
        <v>78530303</v>
      </c>
    </row>
    <row r="317">
      <c r="A317" s="11" t="s">
        <v>1352</v>
      </c>
      <c r="B317" s="35">
        <f t="array" ref="B317">XLOOKUP(A317,IMDB_Movies!I$2:I$3493,IMDB_Movies!Q$2:Q$3493)</f>
        <v>0</v>
      </c>
      <c r="E317" s="11" t="s">
        <v>1352</v>
      </c>
      <c r="F317" s="36">
        <f t="array" ref="F317">XLOOKUP(A317,IMDB_Movies!I$2:I$3493,IMDB_Movies!P$2:P$3493)</f>
        <v>132568851</v>
      </c>
    </row>
    <row r="318">
      <c r="A318" s="11" t="s">
        <v>1357</v>
      </c>
      <c r="B318" s="35">
        <f t="array" ref="B318">XLOOKUP(A318,IMDB_Movies!I$2:I$3493,IMDB_Movies!Q$2:Q$3493)</f>
        <v>0</v>
      </c>
      <c r="E318" s="11" t="s">
        <v>1357</v>
      </c>
      <c r="F318" s="36">
        <f t="array" ref="F318">XLOOKUP(A318,IMDB_Movies!I$2:I$3493,IMDB_Movies!P$2:P$3493)</f>
        <v>591796</v>
      </c>
    </row>
    <row r="319">
      <c r="A319" s="11" t="s">
        <v>1361</v>
      </c>
      <c r="B319" s="35">
        <f t="array" ref="B319">XLOOKUP(A319,IMDB_Movies!I$2:I$3493,IMDB_Movies!Q$2:Q$3493)</f>
        <v>0</v>
      </c>
      <c r="E319" s="11" t="s">
        <v>1361</v>
      </c>
      <c r="F319" s="36">
        <f t="array" ref="F319">XLOOKUP(A319,IMDB_Movies!I$2:I$3493,IMDB_Movies!P$2:P$3493)</f>
        <v>51636016</v>
      </c>
    </row>
    <row r="320">
      <c r="A320" s="11" t="s">
        <v>1364</v>
      </c>
      <c r="B320" s="35">
        <f t="array" ref="B320">XLOOKUP(A320,IMDB_Movies!I$2:I$3493,IMDB_Movies!Q$2:Q$3493)</f>
        <v>51178721</v>
      </c>
      <c r="E320" s="11" t="s">
        <v>1364</v>
      </c>
      <c r="F320" s="36">
        <f t="array" ref="F320">XLOOKUP(A320,IMDB_Movies!I$2:I$3493,IMDB_Movies!P$2:P$3493)</f>
        <v>0</v>
      </c>
    </row>
    <row r="321">
      <c r="A321" s="11" t="s">
        <v>1369</v>
      </c>
      <c r="B321" s="35">
        <f t="array" ref="B321">XLOOKUP(A321,IMDB_Movies!I$2:I$3493,IMDB_Movies!Q$2:Q$3493)</f>
        <v>13936740</v>
      </c>
      <c r="E321" s="11" t="s">
        <v>1369</v>
      </c>
      <c r="F321" s="36">
        <f t="array" ref="F321">XLOOKUP(A321,IMDB_Movies!I$2:I$3493,IMDB_Movies!P$2:P$3493)</f>
        <v>0</v>
      </c>
    </row>
    <row r="322">
      <c r="A322" s="11" t="s">
        <v>1372</v>
      </c>
      <c r="B322" s="35">
        <f t="array" ref="B322">XLOOKUP(A322,IMDB_Movies!I$2:I$3493,IMDB_Movies!Q$2:Q$3493)</f>
        <v>16617691</v>
      </c>
      <c r="E322" s="11" t="s">
        <v>1372</v>
      </c>
      <c r="F322" s="36">
        <f t="array" ref="F322">XLOOKUP(A322,IMDB_Movies!I$2:I$3493,IMDB_Movies!P$2:P$3493)</f>
        <v>0</v>
      </c>
    </row>
    <row r="323">
      <c r="A323" s="24" t="s">
        <v>1376</v>
      </c>
      <c r="B323" s="35">
        <f t="array" ref="B323">XLOOKUP(A323,IMDB_Movies!I$2:I$3493,IMDB_Movies!Q$2:Q$3493)</f>
        <v>2960148</v>
      </c>
      <c r="E323" s="24" t="s">
        <v>1376</v>
      </c>
      <c r="F323" s="36">
        <f t="array" ref="F323">XLOOKUP(A323,IMDB_Movies!I$2:I$3493,IMDB_Movies!P$2:P$3493)</f>
        <v>0</v>
      </c>
    </row>
    <row r="324">
      <c r="A324" s="32" t="s">
        <v>1380</v>
      </c>
      <c r="B324" s="35">
        <f t="array" ref="B324">XLOOKUP(A324,IMDB_Movies!I$2:I$3493,IMDB_Movies!Q$2:Q$3493)</f>
        <v>0</v>
      </c>
      <c r="E324" s="32" t="s">
        <v>1380</v>
      </c>
      <c r="F324" s="36">
        <f t="array" ref="F324">XLOOKUP(A324,IMDB_Movies!I$2:I$3493,IMDB_Movies!P$2:P$3493)</f>
        <v>68413606</v>
      </c>
    </row>
    <row r="325">
      <c r="A325" s="11" t="s">
        <v>1384</v>
      </c>
      <c r="B325" s="35">
        <f t="array" ref="B325">XLOOKUP(A325,IMDB_Movies!I$2:I$3493,IMDB_Movies!Q$2:Q$3493)</f>
        <v>0</v>
      </c>
      <c r="E325" s="11" t="s">
        <v>1384</v>
      </c>
      <c r="F325" s="36">
        <f t="array" ref="F325">XLOOKUP(A325,IMDB_Movies!I$2:I$3493,IMDB_Movies!P$2:P$3493)</f>
        <v>45276912</v>
      </c>
    </row>
    <row r="326">
      <c r="A326" s="24" t="s">
        <v>1389</v>
      </c>
      <c r="B326" s="35">
        <f t="array" ref="B326">XLOOKUP(A326,IMDB_Movies!I$2:I$3493,IMDB_Movies!Q$2:Q$3493)</f>
        <v>0</v>
      </c>
      <c r="E326" s="24" t="s">
        <v>1389</v>
      </c>
      <c r="F326" s="36">
        <f t="array" ref="F326">XLOOKUP(A326,IMDB_Movies!I$2:I$3493,IMDB_Movies!P$2:P$3493)</f>
        <v>65871240</v>
      </c>
    </row>
    <row r="327">
      <c r="A327" s="16" t="s">
        <v>1393</v>
      </c>
      <c r="B327" s="35">
        <f t="array" ref="B327">XLOOKUP(A327,IMDB_Movies!I$2:I$3493,IMDB_Movies!Q$2:Q$3493)</f>
        <v>86753780</v>
      </c>
      <c r="E327" s="16" t="s">
        <v>1393</v>
      </c>
      <c r="F327" s="36">
        <f t="array" ref="F327">XLOOKUP(A327,IMDB_Movies!I$2:I$3493,IMDB_Movies!P$2:P$3493)</f>
        <v>0</v>
      </c>
    </row>
    <row r="328">
      <c r="A328" s="28" t="s">
        <v>1398</v>
      </c>
      <c r="B328" s="35">
        <f t="array" ref="B328">XLOOKUP(A328,IMDB_Movies!I$2:I$3493,IMDB_Movies!Q$2:Q$3493)</f>
        <v>0</v>
      </c>
      <c r="E328" s="28" t="s">
        <v>1398</v>
      </c>
      <c r="F328" s="36">
        <f t="array" ref="F328">XLOOKUP(A328,IMDB_Movies!I$2:I$3493,IMDB_Movies!P$2:P$3493)</f>
        <v>31008288</v>
      </c>
    </row>
    <row r="329">
      <c r="A329" s="11" t="s">
        <v>1401</v>
      </c>
      <c r="B329" s="35">
        <f t="array" ref="B329">XLOOKUP(A329,IMDB_Movies!I$2:I$3493,IMDB_Movies!Q$2:Q$3493)</f>
        <v>27700000</v>
      </c>
      <c r="E329" s="11" t="s">
        <v>1401</v>
      </c>
      <c r="F329" s="36">
        <f t="array" ref="F329">XLOOKUP(A329,IMDB_Movies!I$2:I$3493,IMDB_Movies!P$2:P$3493)</f>
        <v>0</v>
      </c>
    </row>
    <row r="330">
      <c r="A330" s="11" t="s">
        <v>1405</v>
      </c>
      <c r="B330" s="35">
        <f t="array" ref="B330">XLOOKUP(A330,IMDB_Movies!I$2:I$3493,IMDB_Movies!Q$2:Q$3493)</f>
        <v>36490658</v>
      </c>
      <c r="E330" s="11" t="s">
        <v>1405</v>
      </c>
      <c r="F330" s="36">
        <f t="array" ref="F330">XLOOKUP(A330,IMDB_Movies!I$2:I$3493,IMDB_Movies!P$2:P$3493)</f>
        <v>0</v>
      </c>
    </row>
    <row r="331">
      <c r="A331" s="11" t="s">
        <v>1407</v>
      </c>
      <c r="B331" s="35">
        <f t="array" ref="B331">XLOOKUP(A331,IMDB_Movies!I$2:I$3493,IMDB_Movies!Q$2:Q$3493)</f>
        <v>0</v>
      </c>
      <c r="E331" s="11" t="s">
        <v>1407</v>
      </c>
      <c r="F331" s="36">
        <f t="array" ref="F331">XLOOKUP(A331,IMDB_Movies!I$2:I$3493,IMDB_Movies!P$2:P$3493)</f>
        <v>13552429</v>
      </c>
    </row>
    <row r="332">
      <c r="A332" s="11" t="s">
        <v>1411</v>
      </c>
      <c r="B332" s="35">
        <f t="array" ref="B332">XLOOKUP(A332,IMDB_Movies!I$2:I$3493,IMDB_Movies!Q$2:Q$3493)</f>
        <v>0</v>
      </c>
      <c r="E332" s="11" t="s">
        <v>1411</v>
      </c>
      <c r="F332" s="36">
        <f t="array" ref="F332">XLOOKUP(A332,IMDB_Movies!I$2:I$3493,IMDB_Movies!P$2:P$3493)</f>
        <v>32800000</v>
      </c>
    </row>
    <row r="333">
      <c r="A333" s="20" t="s">
        <v>1413</v>
      </c>
      <c r="B333" s="35">
        <f t="array" ref="B333">XLOOKUP(A333,IMDB_Movies!I$2:I$3493,IMDB_Movies!Q$2:Q$3493)</f>
        <v>0</v>
      </c>
      <c r="E333" s="20" t="s">
        <v>1413</v>
      </c>
      <c r="F333" s="36">
        <f t="array" ref="F333">XLOOKUP(A333,IMDB_Movies!I$2:I$3493,IMDB_Movies!P$2:P$3493)</f>
        <v>25700000</v>
      </c>
    </row>
    <row r="334">
      <c r="A334" s="20" t="s">
        <v>1417</v>
      </c>
      <c r="B334" s="35">
        <f t="array" ref="B334">XLOOKUP(A334,IMDB_Movies!I$2:I$3493,IMDB_Movies!Q$2:Q$3493)</f>
        <v>0</v>
      </c>
      <c r="E334" s="20" t="s">
        <v>1417</v>
      </c>
      <c r="F334" s="36">
        <f t="array" ref="F334">XLOOKUP(A334,IMDB_Movies!I$2:I$3493,IMDB_Movies!P$2:P$3493)</f>
        <v>21500105</v>
      </c>
    </row>
    <row r="335">
      <c r="A335" s="24" t="s">
        <v>1421</v>
      </c>
      <c r="B335" s="35">
        <f t="array" ref="B335">XLOOKUP(A335,IMDB_Movies!I$2:I$3493,IMDB_Movies!Q$2:Q$3493)</f>
        <v>0</v>
      </c>
      <c r="E335" s="24" t="s">
        <v>1421</v>
      </c>
      <c r="F335" s="36">
        <f t="array" ref="F335">XLOOKUP(A335,IMDB_Movies!I$2:I$3493,IMDB_Movies!P$2:P$3493)</f>
        <v>33307796</v>
      </c>
    </row>
    <row r="336">
      <c r="A336" s="32" t="s">
        <v>1423</v>
      </c>
      <c r="B336" s="35">
        <f t="array" ref="B336">XLOOKUP(A336,IMDB_Movies!I$2:I$3493,IMDB_Movies!Q$2:Q$3493)</f>
        <v>40923185</v>
      </c>
      <c r="E336" s="32" t="s">
        <v>1423</v>
      </c>
      <c r="F336" s="36">
        <f t="array" ref="F336">XLOOKUP(A336,IMDB_Movies!I$2:I$3493,IMDB_Movies!P$2:P$3493)</f>
        <v>0</v>
      </c>
    </row>
    <row r="337">
      <c r="A337" s="11" t="s">
        <v>1427</v>
      </c>
      <c r="B337" s="35">
        <f t="array" ref="B337">XLOOKUP(A337,IMDB_Movies!I$2:I$3493,IMDB_Movies!Q$2:Q$3493)</f>
        <v>25976605</v>
      </c>
      <c r="E337" s="11" t="s">
        <v>1427</v>
      </c>
      <c r="F337" s="36">
        <f t="array" ref="F337">XLOOKUP(A337,IMDB_Movies!I$2:I$3493,IMDB_Movies!P$2:P$3493)</f>
        <v>0</v>
      </c>
    </row>
    <row r="338">
      <c r="A338" s="11" t="s">
        <v>1432</v>
      </c>
      <c r="B338" s="35">
        <f t="array" ref="B338">XLOOKUP(A338,IMDB_Movies!I$2:I$3493,IMDB_Movies!Q$2:Q$3493)</f>
        <v>0</v>
      </c>
      <c r="E338" s="11" t="s">
        <v>1432</v>
      </c>
      <c r="F338" s="36">
        <f t="array" ref="F338">XLOOKUP(A338,IMDB_Movies!I$2:I$3493,IMDB_Movies!P$2:P$3493)</f>
        <v>5667084</v>
      </c>
    </row>
    <row r="339">
      <c r="A339" s="11" t="s">
        <v>1434</v>
      </c>
      <c r="B339" s="35">
        <f t="array" ref="B339">XLOOKUP(A339,IMDB_Movies!I$2:I$3493,IMDB_Movies!Q$2:Q$3493)</f>
        <v>11843275</v>
      </c>
      <c r="E339" s="11" t="s">
        <v>1434</v>
      </c>
      <c r="F339" s="36">
        <f t="array" ref="F339">XLOOKUP(A339,IMDB_Movies!I$2:I$3493,IMDB_Movies!P$2:P$3493)</f>
        <v>0</v>
      </c>
    </row>
    <row r="340">
      <c r="A340" s="11" t="s">
        <v>1436</v>
      </c>
      <c r="B340" s="35">
        <f t="array" ref="B340">XLOOKUP(A340,IMDB_Movies!I$2:I$3493,IMDB_Movies!Q$2:Q$3493)</f>
        <v>0</v>
      </c>
      <c r="E340" s="11" t="s">
        <v>1436</v>
      </c>
      <c r="F340" s="36">
        <f t="array" ref="F340">XLOOKUP(A340,IMDB_Movies!I$2:I$3493,IMDB_Movies!P$2:P$3493)</f>
        <v>9688384</v>
      </c>
    </row>
    <row r="341">
      <c r="A341" s="24" t="s">
        <v>1440</v>
      </c>
      <c r="B341" s="35">
        <f t="array" ref="B341">XLOOKUP(A341,IMDB_Movies!I$2:I$3493,IMDB_Movies!Q$2:Q$3493)</f>
        <v>75014388</v>
      </c>
      <c r="E341" s="24" t="s">
        <v>1440</v>
      </c>
      <c r="F341" s="36">
        <f t="array" ref="F341">XLOOKUP(A341,IMDB_Movies!I$2:I$3493,IMDB_Movies!P$2:P$3493)</f>
        <v>0</v>
      </c>
    </row>
    <row r="342">
      <c r="A342" s="32" t="s">
        <v>1444</v>
      </c>
      <c r="B342" s="35">
        <f t="array" ref="B342">XLOOKUP(A342,IMDB_Movies!I$2:I$3493,IMDB_Movies!Q$2:Q$3493)</f>
        <v>0</v>
      </c>
      <c r="E342" s="32" t="s">
        <v>1444</v>
      </c>
      <c r="F342" s="36">
        <f t="array" ref="F342">XLOOKUP(A342,IMDB_Movies!I$2:I$3493,IMDB_Movies!P$2:P$3493)</f>
        <v>8758465</v>
      </c>
    </row>
    <row r="343">
      <c r="A343" s="11" t="s">
        <v>1447</v>
      </c>
      <c r="B343" s="35">
        <f t="array" ref="B343">XLOOKUP(A343,IMDB_Movies!I$2:I$3493,IMDB_Movies!Q$2:Q$3493)</f>
        <v>0</v>
      </c>
      <c r="E343" s="11" t="s">
        <v>1447</v>
      </c>
      <c r="F343" s="36">
        <f t="array" ref="F343">XLOOKUP(A343,IMDB_Movies!I$2:I$3493,IMDB_Movies!P$2:P$3493)</f>
        <v>3330342</v>
      </c>
    </row>
    <row r="344">
      <c r="A344" s="20" t="s">
        <v>1452</v>
      </c>
      <c r="B344" s="35">
        <f t="array" ref="B344">XLOOKUP(A344,IMDB_Movies!I$2:I$3493,IMDB_Movies!Q$2:Q$3493)</f>
        <v>15365723</v>
      </c>
      <c r="E344" s="20" t="s">
        <v>1452</v>
      </c>
      <c r="F344" s="36">
        <f t="array" ref="F344">XLOOKUP(A344,IMDB_Movies!I$2:I$3493,IMDB_Movies!P$2:P$3493)</f>
        <v>0</v>
      </c>
    </row>
    <row r="345">
      <c r="A345" s="20" t="s">
        <v>1456</v>
      </c>
      <c r="B345" s="35">
        <f t="array" ref="B345">XLOOKUP(A345,IMDB_Movies!I$2:I$3493,IMDB_Movies!Q$2:Q$3493)</f>
        <v>0</v>
      </c>
      <c r="E345" s="20" t="s">
        <v>1456</v>
      </c>
      <c r="F345" s="36">
        <f t="array" ref="F345">XLOOKUP(A345,IMDB_Movies!I$2:I$3493,IMDB_Movies!P$2:P$3493)</f>
        <v>74769345</v>
      </c>
    </row>
    <row r="346">
      <c r="A346" s="20" t="s">
        <v>1459</v>
      </c>
      <c r="B346" s="35">
        <f t="array" ref="B346">XLOOKUP(A346,IMDB_Movies!I$2:I$3493,IMDB_Movies!Q$2:Q$3493)</f>
        <v>21171682</v>
      </c>
      <c r="E346" s="20" t="s">
        <v>1459</v>
      </c>
      <c r="F346" s="36">
        <f t="array" ref="F346">XLOOKUP(A346,IMDB_Movies!I$2:I$3493,IMDB_Movies!P$2:P$3493)</f>
        <v>0</v>
      </c>
    </row>
    <row r="347">
      <c r="A347" s="11" t="s">
        <v>1463</v>
      </c>
      <c r="B347" s="35">
        <f t="array" ref="B347">XLOOKUP(A347,IMDB_Movies!I$2:I$3493,IMDB_Movies!Q$2:Q$3493)</f>
        <v>8394275</v>
      </c>
      <c r="E347" s="11" t="s">
        <v>1463</v>
      </c>
      <c r="F347" s="36">
        <f t="array" ref="F347">XLOOKUP(A347,IMDB_Movies!I$2:I$3493,IMDB_Movies!P$2:P$3493)</f>
        <v>0</v>
      </c>
    </row>
    <row r="348">
      <c r="A348" s="24" t="s">
        <v>1468</v>
      </c>
      <c r="B348" s="35">
        <f t="array" ref="B348">XLOOKUP(A348,IMDB_Movies!I$2:I$3493,IMDB_Movies!Q$2:Q$3493)</f>
        <v>0</v>
      </c>
      <c r="E348" s="24" t="s">
        <v>1468</v>
      </c>
      <c r="F348" s="36">
        <f t="array" ref="F348">XLOOKUP(A348,IMDB_Movies!I$2:I$3493,IMDB_Movies!P$2:P$3493)</f>
        <v>279017</v>
      </c>
    </row>
    <row r="349">
      <c r="A349" s="28" t="s">
        <v>1472</v>
      </c>
      <c r="B349" s="35">
        <f t="array" ref="B349">XLOOKUP(A349,IMDB_Movies!I$2:I$3493,IMDB_Movies!Q$2:Q$3493)</f>
        <v>0</v>
      </c>
      <c r="E349" s="28" t="s">
        <v>1472</v>
      </c>
      <c r="F349" s="36">
        <f t="array" ref="F349">XLOOKUP(A349,IMDB_Movies!I$2:I$3493,IMDB_Movies!P$2:P$3493)</f>
        <v>15989008</v>
      </c>
    </row>
    <row r="350">
      <c r="A350" s="11" t="s">
        <v>1477</v>
      </c>
      <c r="B350" s="35">
        <f t="array" ref="B350">XLOOKUP(A350,IMDB_Movies!I$2:I$3493,IMDB_Movies!Q$2:Q$3493)</f>
        <v>6964896</v>
      </c>
      <c r="E350" s="11" t="s">
        <v>1477</v>
      </c>
      <c r="F350" s="36">
        <f t="array" ref="F350">XLOOKUP(A350,IMDB_Movies!I$2:I$3493,IMDB_Movies!P$2:P$3493)</f>
        <v>0</v>
      </c>
    </row>
    <row r="351">
      <c r="A351" s="24" t="s">
        <v>1480</v>
      </c>
      <c r="B351" s="35">
        <f t="array" ref="B351">XLOOKUP(A351,IMDB_Movies!I$2:I$3493,IMDB_Movies!Q$2:Q$3493)</f>
        <v>82603302</v>
      </c>
      <c r="E351" s="24" t="s">
        <v>1480</v>
      </c>
      <c r="F351" s="36">
        <f t="array" ref="F351">XLOOKUP(A351,IMDB_Movies!I$2:I$3493,IMDB_Movies!P$2:P$3493)</f>
        <v>0</v>
      </c>
    </row>
    <row r="352">
      <c r="A352" s="16" t="s">
        <v>1483</v>
      </c>
      <c r="B352" s="35">
        <f t="array" ref="B352">XLOOKUP(A352,IMDB_Movies!I$2:I$3493,IMDB_Movies!Q$2:Q$3493)</f>
        <v>0</v>
      </c>
      <c r="E352" s="16" t="s">
        <v>1483</v>
      </c>
      <c r="F352" s="36">
        <f t="array" ref="F352">XLOOKUP(A352,IMDB_Movies!I$2:I$3493,IMDB_Movies!P$2:P$3493)</f>
        <v>10028592</v>
      </c>
    </row>
    <row r="353">
      <c r="A353" s="16" t="s">
        <v>1487</v>
      </c>
      <c r="B353" s="35">
        <f t="array" ref="B353">XLOOKUP(A353,IMDB_Movies!I$2:I$3493,IMDB_Movies!Q$2:Q$3493)</f>
        <v>11747316</v>
      </c>
      <c r="E353" s="16" t="s">
        <v>1487</v>
      </c>
      <c r="F353" s="36">
        <f t="array" ref="F353">XLOOKUP(A353,IMDB_Movies!I$2:I$3493,IMDB_Movies!P$2:P$3493)</f>
        <v>0</v>
      </c>
    </row>
    <row r="354">
      <c r="A354" s="28" t="s">
        <v>1491</v>
      </c>
      <c r="B354" s="35">
        <f t="array" ref="B354">XLOOKUP(A354,IMDB_Movies!I$2:I$3493,IMDB_Movies!Q$2:Q$3493)</f>
        <v>0</v>
      </c>
      <c r="E354" s="28" t="s">
        <v>1491</v>
      </c>
      <c r="F354" s="36">
        <f t="array" ref="F354">XLOOKUP(A354,IMDB_Movies!I$2:I$3493,IMDB_Movies!P$2:P$3493)</f>
        <v>75241322</v>
      </c>
    </row>
    <row r="355">
      <c r="A355" s="11" t="s">
        <v>1495</v>
      </c>
      <c r="B355" s="35">
        <f t="array" ref="B355">XLOOKUP(A355,IMDB_Movies!I$2:I$3493,IMDB_Movies!Q$2:Q$3493)</f>
        <v>0</v>
      </c>
      <c r="E355" s="11" t="s">
        <v>1495</v>
      </c>
      <c r="F355" s="36">
        <f t="array" ref="F355">XLOOKUP(A355,IMDB_Movies!I$2:I$3493,IMDB_Movies!P$2:P$3493)</f>
        <v>4531491</v>
      </c>
    </row>
    <row r="356">
      <c r="A356" s="24" t="s">
        <v>1499</v>
      </c>
      <c r="B356" s="35">
        <f t="array" ref="B356">XLOOKUP(A356,IMDB_Movies!I$2:I$3493,IMDB_Movies!Q$2:Q$3493)</f>
        <v>69590483</v>
      </c>
      <c r="E356" s="24" t="s">
        <v>1499</v>
      </c>
      <c r="F356" s="36">
        <f t="array" ref="F356">XLOOKUP(A356,IMDB_Movies!I$2:I$3493,IMDB_Movies!P$2:P$3493)</f>
        <v>0</v>
      </c>
    </row>
    <row r="357">
      <c r="A357" s="28" t="s">
        <v>1503</v>
      </c>
      <c r="B357" s="35">
        <f t="array" ref="B357">XLOOKUP(A357,IMDB_Movies!I$2:I$3493,IMDB_Movies!Q$2:Q$3493)</f>
        <v>18592056</v>
      </c>
      <c r="E357" s="28" t="s">
        <v>1503</v>
      </c>
      <c r="F357" s="36">
        <f t="array" ref="F357">XLOOKUP(A357,IMDB_Movies!I$2:I$3493,IMDB_Movies!P$2:P$3493)</f>
        <v>0</v>
      </c>
    </row>
    <row r="358">
      <c r="A358" s="11" t="s">
        <v>1507</v>
      </c>
      <c r="B358" s="35">
        <f t="array" ref="B358">XLOOKUP(A358,IMDB_Movies!I$2:I$3493,IMDB_Movies!Q$2:Q$3493)</f>
        <v>14202684</v>
      </c>
      <c r="E358" s="11" t="s">
        <v>1507</v>
      </c>
      <c r="F358" s="36">
        <f t="array" ref="F358">XLOOKUP(A358,IMDB_Movies!I$2:I$3493,IMDB_Movies!P$2:P$3493)</f>
        <v>0</v>
      </c>
    </row>
    <row r="359">
      <c r="A359" s="24" t="s">
        <v>1511</v>
      </c>
      <c r="B359" s="35">
        <f t="array" ref="B359">XLOOKUP(A359,IMDB_Movies!I$2:I$3493,IMDB_Movies!Q$2:Q$3493)</f>
        <v>17282242</v>
      </c>
      <c r="E359" s="24" t="s">
        <v>1511</v>
      </c>
      <c r="F359" s="36">
        <f t="array" ref="F359">XLOOKUP(A359,IMDB_Movies!I$2:I$3493,IMDB_Movies!P$2:P$3493)</f>
        <v>0</v>
      </c>
    </row>
    <row r="360">
      <c r="A360" s="32" t="s">
        <v>1513</v>
      </c>
      <c r="B360" s="35">
        <f t="array" ref="B360">XLOOKUP(A360,IMDB_Movies!I$2:I$3493,IMDB_Movies!Q$2:Q$3493)</f>
        <v>0</v>
      </c>
      <c r="E360" s="32" t="s">
        <v>1513</v>
      </c>
      <c r="F360" s="36">
        <f t="array" ref="F360">XLOOKUP(A360,IMDB_Movies!I$2:I$3493,IMDB_Movies!P$2:P$3493)</f>
        <v>5802596</v>
      </c>
    </row>
    <row r="361">
      <c r="A361" s="11" t="s">
        <v>1517</v>
      </c>
      <c r="B361" s="35">
        <f t="array" ref="B361">XLOOKUP(A361,IMDB_Movies!I$2:I$3493,IMDB_Movies!Q$2:Q$3493)</f>
        <v>0</v>
      </c>
      <c r="E361" s="11" t="s">
        <v>1517</v>
      </c>
      <c r="F361" s="36">
        <f t="array" ref="F361">XLOOKUP(A361,IMDB_Movies!I$2:I$3493,IMDB_Movies!P$2:P$3493)</f>
        <v>26676606</v>
      </c>
    </row>
    <row r="362">
      <c r="A362" s="20" t="s">
        <v>1521</v>
      </c>
      <c r="B362" s="35">
        <f t="array" ref="B362">XLOOKUP(A362,IMDB_Movies!I$2:I$3493,IMDB_Movies!Q$2:Q$3493)</f>
        <v>1326934</v>
      </c>
      <c r="E362" s="20" t="s">
        <v>1521</v>
      </c>
      <c r="F362" s="36">
        <f t="array" ref="F362">XLOOKUP(A362,IMDB_Movies!I$2:I$3493,IMDB_Movies!P$2:P$3493)</f>
        <v>0</v>
      </c>
    </row>
    <row r="363">
      <c r="A363" s="20" t="s">
        <v>1524</v>
      </c>
      <c r="B363" s="35">
        <f t="array" ref="B363">XLOOKUP(A363,IMDB_Movies!I$2:I$3493,IMDB_Movies!Q$2:Q$3493)</f>
        <v>13870652</v>
      </c>
      <c r="E363" s="20" t="s">
        <v>1524</v>
      </c>
      <c r="F363" s="36">
        <f t="array" ref="F363">XLOOKUP(A363,IMDB_Movies!I$2:I$3493,IMDB_Movies!P$2:P$3493)</f>
        <v>0</v>
      </c>
    </row>
    <row r="364">
      <c r="A364" s="20" t="s">
        <v>1527</v>
      </c>
      <c r="B364" s="35">
        <f t="array" ref="B364">XLOOKUP(A364,IMDB_Movies!I$2:I$3493,IMDB_Movies!Q$2:Q$3493)</f>
        <v>0</v>
      </c>
      <c r="E364" s="20" t="s">
        <v>1527</v>
      </c>
      <c r="F364" s="36">
        <f t="array" ref="F364">XLOOKUP(A364,IMDB_Movies!I$2:I$3493,IMDB_Movies!P$2:P$3493)</f>
        <v>165388685</v>
      </c>
    </row>
    <row r="365">
      <c r="A365" s="11" t="s">
        <v>1532</v>
      </c>
      <c r="B365" s="35">
        <f t="array" ref="B365">XLOOKUP(A365,IMDB_Movies!I$2:I$3493,IMDB_Movies!Q$2:Q$3493)</f>
        <v>1099560838</v>
      </c>
      <c r="E365" s="11" t="s">
        <v>1532</v>
      </c>
      <c r="F365" s="36">
        <f t="array" ref="F365">XLOOKUP(A365,IMDB_Movies!I$2:I$3493,IMDB_Movies!P$2:P$3493)</f>
        <v>0</v>
      </c>
    </row>
    <row r="366">
      <c r="A366" s="20" t="s">
        <v>1538</v>
      </c>
      <c r="B366" s="35">
        <f t="array" ref="B366">XLOOKUP(A366,IMDB_Movies!I$2:I$3493,IMDB_Movies!Q$2:Q$3493)</f>
        <v>63885779</v>
      </c>
      <c r="E366" s="20" t="s">
        <v>1538</v>
      </c>
      <c r="F366" s="36">
        <f t="array" ref="F366">XLOOKUP(A366,IMDB_Movies!I$2:I$3493,IMDB_Movies!P$2:P$3493)</f>
        <v>0</v>
      </c>
    </row>
    <row r="367">
      <c r="A367" s="11" t="s">
        <v>1540</v>
      </c>
      <c r="B367" s="35">
        <f t="array" ref="B367">XLOOKUP(A367,IMDB_Movies!I$2:I$3493,IMDB_Movies!Q$2:Q$3493)</f>
        <v>9816803</v>
      </c>
      <c r="E367" s="11" t="s">
        <v>1540</v>
      </c>
      <c r="F367" s="36">
        <f t="array" ref="F367">XLOOKUP(A367,IMDB_Movies!I$2:I$3493,IMDB_Movies!P$2:P$3493)</f>
        <v>0</v>
      </c>
    </row>
    <row r="368">
      <c r="A368" s="20" t="s">
        <v>1543</v>
      </c>
      <c r="B368" s="35">
        <f t="array" ref="B368">XLOOKUP(A368,IMDB_Movies!I$2:I$3493,IMDB_Movies!Q$2:Q$3493)</f>
        <v>0</v>
      </c>
      <c r="E368" s="20" t="s">
        <v>1543</v>
      </c>
      <c r="F368" s="36">
        <f t="array" ref="F368">XLOOKUP(A368,IMDB_Movies!I$2:I$3493,IMDB_Movies!P$2:P$3493)</f>
        <v>17007184</v>
      </c>
    </row>
    <row r="369">
      <c r="A369" s="20" t="s">
        <v>1547</v>
      </c>
      <c r="B369" s="35">
        <f t="array" ref="B369">XLOOKUP(A369,IMDB_Movies!I$2:I$3493,IMDB_Movies!Q$2:Q$3493)</f>
        <v>42525888</v>
      </c>
      <c r="E369" s="20" t="s">
        <v>1547</v>
      </c>
      <c r="F369" s="36">
        <f t="array" ref="F369">XLOOKUP(A369,IMDB_Movies!I$2:I$3493,IMDB_Movies!P$2:P$3493)</f>
        <v>0</v>
      </c>
    </row>
    <row r="370">
      <c r="A370" s="11" t="s">
        <v>1551</v>
      </c>
      <c r="B370" s="35">
        <f t="array" ref="B370">XLOOKUP(A370,IMDB_Movies!I$2:I$3493,IMDB_Movies!Q$2:Q$3493)</f>
        <v>0</v>
      </c>
      <c r="E370" s="11" t="s">
        <v>1551</v>
      </c>
      <c r="F370" s="36">
        <f t="array" ref="F370">XLOOKUP(A370,IMDB_Movies!I$2:I$3493,IMDB_Movies!P$2:P$3493)</f>
        <v>1289999</v>
      </c>
    </row>
    <row r="371">
      <c r="A371" s="11" t="s">
        <v>1556</v>
      </c>
      <c r="B371" s="35">
        <f t="array" ref="B371">XLOOKUP(A371,IMDB_Movies!I$2:I$3493,IMDB_Movies!Q$2:Q$3493)</f>
        <v>0</v>
      </c>
      <c r="E371" s="11" t="s">
        <v>1556</v>
      </c>
      <c r="F371" s="36">
        <f t="array" ref="F371">XLOOKUP(A371,IMDB_Movies!I$2:I$3493,IMDB_Movies!P$2:P$3493)</f>
        <v>4604054</v>
      </c>
    </row>
    <row r="372">
      <c r="A372" s="11" t="s">
        <v>1560</v>
      </c>
      <c r="B372" s="35">
        <f t="array" ref="B372">XLOOKUP(A372,IMDB_Movies!I$2:I$3493,IMDB_Movies!Q$2:Q$3493)</f>
        <v>19314120</v>
      </c>
      <c r="E372" s="11" t="s">
        <v>1560</v>
      </c>
      <c r="F372" s="36">
        <f t="array" ref="F372">XLOOKUP(A372,IMDB_Movies!I$2:I$3493,IMDB_Movies!P$2:P$3493)</f>
        <v>0</v>
      </c>
    </row>
    <row r="373">
      <c r="A373" s="11" t="s">
        <v>1564</v>
      </c>
      <c r="B373" s="35">
        <f t="array" ref="B373">XLOOKUP(A373,IMDB_Movies!I$2:I$3493,IMDB_Movies!Q$2:Q$3493)</f>
        <v>0</v>
      </c>
      <c r="E373" s="11" t="s">
        <v>1564</v>
      </c>
      <c r="F373" s="36">
        <f t="array" ref="F373">XLOOKUP(A373,IMDB_Movies!I$2:I$3493,IMDB_Movies!P$2:P$3493)</f>
        <v>26638165</v>
      </c>
    </row>
    <row r="374">
      <c r="A374" s="20" t="s">
        <v>1567</v>
      </c>
      <c r="B374" s="35">
        <f t="array" ref="B374">XLOOKUP(A374,IMDB_Movies!I$2:I$3493,IMDB_Movies!Q$2:Q$3493)</f>
        <v>0</v>
      </c>
      <c r="E374" s="20" t="s">
        <v>1567</v>
      </c>
      <c r="F374" s="36">
        <f t="array" ref="F374">XLOOKUP(A374,IMDB_Movies!I$2:I$3493,IMDB_Movies!P$2:P$3493)</f>
        <v>108899130</v>
      </c>
    </row>
    <row r="375">
      <c r="A375" s="20" t="s">
        <v>1571</v>
      </c>
      <c r="B375" s="35">
        <f t="array" ref="B375">XLOOKUP(A375,IMDB_Movies!I$2:I$3493,IMDB_Movies!Q$2:Q$3493)</f>
        <v>0</v>
      </c>
      <c r="E375" s="20" t="s">
        <v>1571</v>
      </c>
      <c r="F375" s="36">
        <f t="array" ref="F375">XLOOKUP(A375,IMDB_Movies!I$2:I$3493,IMDB_Movies!P$2:P$3493)</f>
        <v>3767324</v>
      </c>
    </row>
    <row r="376">
      <c r="A376" s="24" t="s">
        <v>1575</v>
      </c>
      <c r="B376" s="35">
        <f t="array" ref="B376">XLOOKUP(A376,IMDB_Movies!I$2:I$3493,IMDB_Movies!Q$2:Q$3493)</f>
        <v>0</v>
      </c>
      <c r="E376" s="24" t="s">
        <v>1575</v>
      </c>
      <c r="F376" s="36">
        <f t="array" ref="F376">XLOOKUP(A376,IMDB_Movies!I$2:I$3493,IMDB_Movies!P$2:P$3493)</f>
        <v>7997095</v>
      </c>
    </row>
    <row r="377">
      <c r="A377" s="16" t="s">
        <v>1580</v>
      </c>
      <c r="B377" s="35">
        <f t="array" ref="B377">XLOOKUP(A377,IMDB_Movies!I$2:I$3493,IMDB_Movies!Q$2:Q$3493)</f>
        <v>0</v>
      </c>
      <c r="E377" s="16" t="s">
        <v>1580</v>
      </c>
      <c r="F377" s="36">
        <f t="array" ref="F377">XLOOKUP(A377,IMDB_Movies!I$2:I$3493,IMDB_Movies!P$2:P$3493)</f>
        <v>35003300</v>
      </c>
    </row>
    <row r="378">
      <c r="A378" s="16" t="s">
        <v>1583</v>
      </c>
      <c r="B378" s="35">
        <f t="array" ref="B378">XLOOKUP(A378,IMDB_Movies!I$2:I$3493,IMDB_Movies!Q$2:Q$3493)</f>
        <v>2411568</v>
      </c>
      <c r="E378" s="16" t="s">
        <v>1583</v>
      </c>
      <c r="F378" s="36">
        <f t="array" ref="F378">XLOOKUP(A378,IMDB_Movies!I$2:I$3493,IMDB_Movies!P$2:P$3493)</f>
        <v>0</v>
      </c>
    </row>
    <row r="379">
      <c r="A379" s="32" t="s">
        <v>1586</v>
      </c>
      <c r="B379" s="35">
        <f t="array" ref="B379">XLOOKUP(A379,IMDB_Movies!I$2:I$3493,IMDB_Movies!Q$2:Q$3493)</f>
        <v>0</v>
      </c>
      <c r="E379" s="32" t="s">
        <v>1586</v>
      </c>
      <c r="F379" s="36">
        <f t="array" ref="F379">XLOOKUP(A379,IMDB_Movies!I$2:I$3493,IMDB_Movies!P$2:P$3493)</f>
        <v>23511038</v>
      </c>
    </row>
    <row r="380">
      <c r="A380" s="24" t="s">
        <v>1589</v>
      </c>
      <c r="B380" s="35">
        <f t="array" ref="B380">XLOOKUP(A380,IMDB_Movies!I$2:I$3493,IMDB_Movies!Q$2:Q$3493)</f>
        <v>0</v>
      </c>
      <c r="E380" s="24" t="s">
        <v>1589</v>
      </c>
      <c r="F380" s="36">
        <f t="array" ref="F380">XLOOKUP(A380,IMDB_Movies!I$2:I$3493,IMDB_Movies!P$2:P$3493)</f>
        <v>28826569</v>
      </c>
    </row>
    <row r="381">
      <c r="A381" s="32" t="s">
        <v>1594</v>
      </c>
      <c r="B381" s="35">
        <f t="array" ref="B381">XLOOKUP(A381,IMDB_Movies!I$2:I$3493,IMDB_Movies!Q$2:Q$3493)</f>
        <v>33885763</v>
      </c>
      <c r="E381" s="32" t="s">
        <v>1594</v>
      </c>
      <c r="F381" s="36">
        <f t="array" ref="F381">XLOOKUP(A381,IMDB_Movies!I$2:I$3493,IMDB_Movies!P$2:P$3493)</f>
        <v>0</v>
      </c>
    </row>
    <row r="382">
      <c r="A382" s="20" t="s">
        <v>1597</v>
      </c>
      <c r="B382" s="35">
        <f t="array" ref="B382">XLOOKUP(A382,IMDB_Movies!I$2:I$3493,IMDB_Movies!Q$2:Q$3493)</f>
        <v>27541731</v>
      </c>
      <c r="E382" s="20" t="s">
        <v>1597</v>
      </c>
      <c r="F382" s="36">
        <f t="array" ref="F382">XLOOKUP(A382,IMDB_Movies!I$2:I$3493,IMDB_Movies!P$2:P$3493)</f>
        <v>0</v>
      </c>
    </row>
    <row r="383">
      <c r="A383" s="24" t="s">
        <v>1602</v>
      </c>
      <c r="B383" s="35">
        <f t="array" ref="B383">XLOOKUP(A383,IMDB_Movies!I$2:I$3493,IMDB_Movies!Q$2:Q$3493)</f>
        <v>0</v>
      </c>
      <c r="E383" s="24" t="s">
        <v>1602</v>
      </c>
      <c r="F383" s="36">
        <f t="array" ref="F383">XLOOKUP(A383,IMDB_Movies!I$2:I$3493,IMDB_Movies!P$2:P$3493)</f>
        <v>865931</v>
      </c>
    </row>
    <row r="384">
      <c r="A384" s="32" t="s">
        <v>1605</v>
      </c>
      <c r="B384" s="35">
        <f t="array" ref="B384">XLOOKUP(A384,IMDB_Movies!I$2:I$3493,IMDB_Movies!Q$2:Q$3493)</f>
        <v>5963503</v>
      </c>
      <c r="E384" s="32" t="s">
        <v>1605</v>
      </c>
      <c r="F384" s="36">
        <f t="array" ref="F384">XLOOKUP(A384,IMDB_Movies!I$2:I$3493,IMDB_Movies!P$2:P$3493)</f>
        <v>0</v>
      </c>
    </row>
    <row r="385">
      <c r="A385" s="24" t="s">
        <v>1608</v>
      </c>
      <c r="B385" s="35">
        <f t="array" ref="B385">XLOOKUP(A385,IMDB_Movies!I$2:I$3493,IMDB_Movies!Q$2:Q$3493)</f>
        <v>50100362</v>
      </c>
      <c r="E385" s="24" t="s">
        <v>1608</v>
      </c>
      <c r="F385" s="36">
        <f t="array" ref="F385">XLOOKUP(A385,IMDB_Movies!I$2:I$3493,IMDB_Movies!P$2:P$3493)</f>
        <v>0</v>
      </c>
    </row>
    <row r="386">
      <c r="A386" s="32" t="s">
        <v>1612</v>
      </c>
      <c r="B386" s="35">
        <f t="array" ref="B386">XLOOKUP(A386,IMDB_Movies!I$2:I$3493,IMDB_Movies!Q$2:Q$3493)</f>
        <v>5945394</v>
      </c>
      <c r="E386" s="32" t="s">
        <v>1612</v>
      </c>
      <c r="F386" s="36">
        <f t="array" ref="F386">XLOOKUP(A386,IMDB_Movies!I$2:I$3493,IMDB_Movies!P$2:P$3493)</f>
        <v>0</v>
      </c>
    </row>
    <row r="387">
      <c r="A387" s="24" t="s">
        <v>1617</v>
      </c>
      <c r="B387" s="35">
        <f t="array" ref="B387">XLOOKUP(A387,IMDB_Movies!I$2:I$3493,IMDB_Movies!Q$2:Q$3493)</f>
        <v>27330724</v>
      </c>
      <c r="E387" s="24" t="s">
        <v>1617</v>
      </c>
      <c r="F387" s="36">
        <f t="array" ref="F387">XLOOKUP(A387,IMDB_Movies!I$2:I$3493,IMDB_Movies!P$2:P$3493)</f>
        <v>0</v>
      </c>
    </row>
    <row r="388">
      <c r="A388" s="16" t="s">
        <v>1621</v>
      </c>
      <c r="B388" s="35">
        <f t="array" ref="B388">XLOOKUP(A388,IMDB_Movies!I$2:I$3493,IMDB_Movies!Q$2:Q$3493)</f>
        <v>72160</v>
      </c>
      <c r="E388" s="16" t="s">
        <v>1621</v>
      </c>
      <c r="F388" s="36">
        <f t="array" ref="F388">XLOOKUP(A388,IMDB_Movies!I$2:I$3493,IMDB_Movies!P$2:P$3493)</f>
        <v>0</v>
      </c>
    </row>
    <row r="389">
      <c r="A389" s="28" t="s">
        <v>1624</v>
      </c>
      <c r="B389" s="35">
        <f t="array" ref="B389">XLOOKUP(A389,IMDB_Movies!I$2:I$3493,IMDB_Movies!Q$2:Q$3493)</f>
        <v>655417</v>
      </c>
      <c r="E389" s="28" t="s">
        <v>1624</v>
      </c>
      <c r="F389" s="36">
        <f t="array" ref="F389">XLOOKUP(A389,IMDB_Movies!I$2:I$3493,IMDB_Movies!P$2:P$3493)</f>
        <v>0</v>
      </c>
    </row>
    <row r="390">
      <c r="A390" s="20" t="s">
        <v>1628</v>
      </c>
      <c r="B390" s="35">
        <f t="array" ref="B390">XLOOKUP(A390,IMDB_Movies!I$2:I$3493,IMDB_Movies!Q$2:Q$3493)</f>
        <v>0</v>
      </c>
      <c r="E390" s="20" t="s">
        <v>1628</v>
      </c>
      <c r="F390" s="36">
        <f t="array" ref="F390">XLOOKUP(A390,IMDB_Movies!I$2:I$3493,IMDB_Movies!P$2:P$3493)</f>
        <v>8818967</v>
      </c>
    </row>
    <row r="391">
      <c r="A391" s="24" t="s">
        <v>1631</v>
      </c>
      <c r="B391" s="35">
        <f t="array" ref="B391">XLOOKUP(A391,IMDB_Movies!I$2:I$3493,IMDB_Movies!Q$2:Q$3493)</f>
        <v>0</v>
      </c>
      <c r="E391" s="24" t="s">
        <v>1631</v>
      </c>
      <c r="F391" s="36">
        <f t="array" ref="F391">XLOOKUP(A391,IMDB_Movies!I$2:I$3493,IMDB_Movies!P$2:P$3493)</f>
        <v>208991599</v>
      </c>
    </row>
    <row r="392">
      <c r="A392" s="32" t="s">
        <v>1635</v>
      </c>
      <c r="B392" s="35">
        <f t="array" ref="B392">XLOOKUP(A392,IMDB_Movies!I$2:I$3493,IMDB_Movies!Q$2:Q$3493)</f>
        <v>28134226</v>
      </c>
      <c r="E392" s="32" t="s">
        <v>1635</v>
      </c>
      <c r="F392" s="36">
        <f t="array" ref="F392">XLOOKUP(A392,IMDB_Movies!I$2:I$3493,IMDB_Movies!P$2:P$3493)</f>
        <v>0</v>
      </c>
    </row>
    <row r="393">
      <c r="A393" s="11" t="s">
        <v>1640</v>
      </c>
      <c r="B393" s="35">
        <f t="array" ref="B393">XLOOKUP(A393,IMDB_Movies!I$2:I$3493,IMDB_Movies!Q$2:Q$3493)</f>
        <v>0</v>
      </c>
      <c r="E393" s="11" t="s">
        <v>1640</v>
      </c>
      <c r="F393" s="36">
        <f t="array" ref="F393">XLOOKUP(A393,IMDB_Movies!I$2:I$3493,IMDB_Movies!P$2:P$3493)</f>
        <v>15542421</v>
      </c>
    </row>
    <row r="394">
      <c r="A394" s="11" t="s">
        <v>1643</v>
      </c>
      <c r="B394" s="35">
        <f t="array" ref="B394">XLOOKUP(A394,IMDB_Movies!I$2:I$3493,IMDB_Movies!Q$2:Q$3493)</f>
        <v>0</v>
      </c>
      <c r="E394" s="11" t="s">
        <v>1643</v>
      </c>
      <c r="F394" s="36">
        <f t="array" ref="F394">XLOOKUP(A394,IMDB_Movies!I$2:I$3493,IMDB_Movies!P$2:P$3493)</f>
        <v>16370001</v>
      </c>
    </row>
    <row r="395">
      <c r="A395" s="24" t="s">
        <v>1647</v>
      </c>
      <c r="B395" s="35">
        <f t="array" ref="B395">XLOOKUP(A395,IMDB_Movies!I$2:I$3493,IMDB_Movies!Q$2:Q$3493)</f>
        <v>0</v>
      </c>
      <c r="E395" s="24" t="s">
        <v>1647</v>
      </c>
      <c r="F395" s="36">
        <f t="array" ref="F395">XLOOKUP(A395,IMDB_Movies!I$2:I$3493,IMDB_Movies!P$2:P$3493)</f>
        <v>14680000</v>
      </c>
    </row>
    <row r="396">
      <c r="A396" s="28" t="s">
        <v>1650</v>
      </c>
      <c r="B396" s="35">
        <f t="array" ref="B396">XLOOKUP(A396,IMDB_Movies!I$2:I$3493,IMDB_Movies!Q$2:Q$3493)</f>
        <v>999279</v>
      </c>
      <c r="E396" s="28" t="s">
        <v>1650</v>
      </c>
      <c r="F396" s="36">
        <f t="array" ref="F396">XLOOKUP(A396,IMDB_Movies!I$2:I$3493,IMDB_Movies!P$2:P$3493)</f>
        <v>0</v>
      </c>
    </row>
    <row r="397">
      <c r="A397" s="20" t="s">
        <v>1653</v>
      </c>
      <c r="B397" s="35">
        <f t="array" ref="B397">XLOOKUP(A397,IMDB_Movies!I$2:I$3493,IMDB_Movies!Q$2:Q$3493)</f>
        <v>0</v>
      </c>
      <c r="E397" s="20" t="s">
        <v>1653</v>
      </c>
      <c r="F397" s="36">
        <f t="array" ref="F397">XLOOKUP(A397,IMDB_Movies!I$2:I$3493,IMDB_Movies!P$2:P$3493)</f>
        <v>19244700</v>
      </c>
    </row>
    <row r="398">
      <c r="A398" s="24" t="s">
        <v>1656</v>
      </c>
      <c r="B398" s="35">
        <f t="array" ref="B398">XLOOKUP(A398,IMDB_Movies!I$2:I$3493,IMDB_Movies!Q$2:Q$3493)</f>
        <v>0</v>
      </c>
      <c r="E398" s="24" t="s">
        <v>1656</v>
      </c>
      <c r="F398" s="36">
        <f t="array" ref="F398">XLOOKUP(A398,IMDB_Movies!I$2:I$3493,IMDB_Movies!P$2:P$3493)</f>
        <v>15600000</v>
      </c>
    </row>
    <row r="399">
      <c r="A399" s="16" t="s">
        <v>1658</v>
      </c>
      <c r="B399" s="35">
        <f t="array" ref="B399">XLOOKUP(A399,IMDB_Movies!I$2:I$3493,IMDB_Movies!Q$2:Q$3493)</f>
        <v>22320362</v>
      </c>
      <c r="E399" s="16" t="s">
        <v>1658</v>
      </c>
      <c r="F399" s="36">
        <f t="array" ref="F399">XLOOKUP(A399,IMDB_Movies!I$2:I$3493,IMDB_Movies!P$2:P$3493)</f>
        <v>0</v>
      </c>
    </row>
    <row r="400">
      <c r="A400" s="32" t="s">
        <v>1662</v>
      </c>
      <c r="B400" s="35">
        <f t="array" ref="B400">XLOOKUP(A400,IMDB_Movies!I$2:I$3493,IMDB_Movies!Q$2:Q$3493)</f>
        <v>0</v>
      </c>
      <c r="E400" s="32" t="s">
        <v>1662</v>
      </c>
      <c r="F400" s="36">
        <f t="array" ref="F400">XLOOKUP(A400,IMDB_Movies!I$2:I$3493,IMDB_Movies!P$2:P$3493)</f>
        <v>39343632</v>
      </c>
    </row>
    <row r="401">
      <c r="A401" s="20" t="s">
        <v>1666</v>
      </c>
      <c r="B401" s="35">
        <f t="array" ref="B401">XLOOKUP(A401,IMDB_Movies!I$2:I$3493,IMDB_Movies!Q$2:Q$3493)</f>
        <v>3955382</v>
      </c>
      <c r="E401" s="20" t="s">
        <v>1666</v>
      </c>
      <c r="F401" s="36">
        <f t="array" ref="F401">XLOOKUP(A401,IMDB_Movies!I$2:I$3493,IMDB_Movies!P$2:P$3493)</f>
        <v>0</v>
      </c>
    </row>
    <row r="402">
      <c r="A402" s="24" t="s">
        <v>1670</v>
      </c>
      <c r="B402" s="35">
        <f t="array" ref="B402">XLOOKUP(A402,IMDB_Movies!I$2:I$3493,IMDB_Movies!Q$2:Q$3493)</f>
        <v>3898945</v>
      </c>
      <c r="E402" s="24" t="s">
        <v>1670</v>
      </c>
      <c r="F402" s="36">
        <f t="array" ref="F402">XLOOKUP(A402,IMDB_Movies!I$2:I$3493,IMDB_Movies!P$2:P$3493)</f>
        <v>0</v>
      </c>
    </row>
    <row r="403">
      <c r="A403" s="28" t="s">
        <v>1673</v>
      </c>
      <c r="B403" s="35">
        <f t="array" ref="B403">XLOOKUP(A403,IMDB_Movies!I$2:I$3493,IMDB_Movies!Q$2:Q$3493)</f>
        <v>0</v>
      </c>
      <c r="E403" s="28" t="s">
        <v>1673</v>
      </c>
      <c r="F403" s="36">
        <f t="array" ref="F403">XLOOKUP(A403,IMDB_Movies!I$2:I$3493,IMDB_Movies!P$2:P$3493)</f>
        <v>2270647</v>
      </c>
    </row>
    <row r="404">
      <c r="A404" s="11" t="s">
        <v>1677</v>
      </c>
      <c r="B404" s="35">
        <f t="array" ref="B404">XLOOKUP(A404,IMDB_Movies!I$2:I$3493,IMDB_Movies!Q$2:Q$3493)</f>
        <v>0</v>
      </c>
      <c r="E404" s="11" t="s">
        <v>1677</v>
      </c>
      <c r="F404" s="36">
        <f t="array" ref="F404">XLOOKUP(A404,IMDB_Movies!I$2:I$3493,IMDB_Movies!P$2:P$3493)</f>
        <v>41593527</v>
      </c>
    </row>
    <row r="405">
      <c r="A405" s="20" t="s">
        <v>1680</v>
      </c>
      <c r="B405" s="35">
        <f t="array" ref="B405">XLOOKUP(A405,IMDB_Movies!I$2:I$3493,IMDB_Movies!Q$2:Q$3493)</f>
        <v>0</v>
      </c>
      <c r="E405" s="20" t="s">
        <v>1680</v>
      </c>
      <c r="F405" s="36">
        <f t="array" ref="F405">XLOOKUP(A405,IMDB_Movies!I$2:I$3493,IMDB_Movies!P$2:P$3493)</f>
        <v>45856565</v>
      </c>
    </row>
    <row r="406">
      <c r="A406" s="24" t="s">
        <v>1685</v>
      </c>
      <c r="B406" s="35">
        <f t="array" ref="B406">XLOOKUP(A406,IMDB_Movies!I$2:I$3493,IMDB_Movies!Q$2:Q$3493)</f>
        <v>56780252</v>
      </c>
      <c r="E406" s="24" t="s">
        <v>1685</v>
      </c>
      <c r="F406" s="36">
        <f t="array" ref="F406">XLOOKUP(A406,IMDB_Movies!I$2:I$3493,IMDB_Movies!P$2:P$3493)</f>
        <v>0</v>
      </c>
    </row>
    <row r="407">
      <c r="A407" s="28" t="s">
        <v>1689</v>
      </c>
      <c r="B407" s="35">
        <f t="array" ref="B407">XLOOKUP(A407,IMDB_Movies!I$2:I$3493,IMDB_Movies!Q$2:Q$3493)</f>
        <v>0</v>
      </c>
      <c r="E407" s="28" t="s">
        <v>1689</v>
      </c>
      <c r="F407" s="36">
        <f t="array" ref="F407">XLOOKUP(A407,IMDB_Movies!I$2:I$3493,IMDB_Movies!P$2:P$3493)</f>
        <v>11447959</v>
      </c>
    </row>
    <row r="408">
      <c r="A408" s="20" t="s">
        <v>1693</v>
      </c>
      <c r="B408" s="35">
        <f t="array" ref="B408">XLOOKUP(A408,IMDB_Movies!I$2:I$3493,IMDB_Movies!Q$2:Q$3493)</f>
        <v>0</v>
      </c>
      <c r="E408" s="20" t="s">
        <v>1693</v>
      </c>
      <c r="F408" s="36">
        <f t="array" ref="F408">XLOOKUP(A408,IMDB_Movies!I$2:I$3493,IMDB_Movies!P$2:P$3493)</f>
        <v>48635922</v>
      </c>
    </row>
    <row r="409">
      <c r="A409" s="24" t="s">
        <v>1697</v>
      </c>
      <c r="B409" s="35">
        <f t="array" ref="B409">XLOOKUP(A409,IMDB_Movies!I$2:I$3493,IMDB_Movies!Q$2:Q$3493)</f>
        <v>32239920</v>
      </c>
      <c r="E409" s="24" t="s">
        <v>1697</v>
      </c>
      <c r="F409" s="36">
        <f t="array" ref="F409">XLOOKUP(A409,IMDB_Movies!I$2:I$3493,IMDB_Movies!P$2:P$3493)</f>
        <v>0</v>
      </c>
    </row>
    <row r="410">
      <c r="A410" s="32" t="s">
        <v>1699</v>
      </c>
      <c r="B410" s="35">
        <f t="array" ref="B410">XLOOKUP(A410,IMDB_Movies!I$2:I$3493,IMDB_Movies!Q$2:Q$3493)</f>
        <v>23487185</v>
      </c>
      <c r="E410" s="32" t="s">
        <v>1699</v>
      </c>
      <c r="F410" s="36">
        <f t="array" ref="F410">XLOOKUP(A410,IMDB_Movies!I$2:I$3493,IMDB_Movies!P$2:P$3493)</f>
        <v>0</v>
      </c>
    </row>
    <row r="411">
      <c r="A411" s="24" t="s">
        <v>1702</v>
      </c>
      <c r="B411" s="35">
        <f t="array" ref="B411">XLOOKUP(A411,IMDB_Movies!I$2:I$3493,IMDB_Movies!Q$2:Q$3493)</f>
        <v>17835684</v>
      </c>
      <c r="E411" s="24" t="s">
        <v>1702</v>
      </c>
      <c r="F411" s="36">
        <f t="array" ref="F411">XLOOKUP(A411,IMDB_Movies!I$2:I$3493,IMDB_Movies!P$2:P$3493)</f>
        <v>0</v>
      </c>
    </row>
    <row r="412">
      <c r="A412" s="16" t="s">
        <v>1706</v>
      </c>
      <c r="B412" s="35">
        <f t="array" ref="B412">XLOOKUP(A412,IMDB_Movies!I$2:I$3493,IMDB_Movies!Q$2:Q$3493)</f>
        <v>0</v>
      </c>
      <c r="E412" s="16" t="s">
        <v>1706</v>
      </c>
      <c r="F412" s="36">
        <f t="array" ref="F412">XLOOKUP(A412,IMDB_Movies!I$2:I$3493,IMDB_Movies!P$2:P$3493)</f>
        <v>6003149</v>
      </c>
    </row>
    <row r="413">
      <c r="A413" s="28" t="s">
        <v>1710</v>
      </c>
      <c r="B413" s="35">
        <f t="array" ref="B413">XLOOKUP(A413,IMDB_Movies!I$2:I$3493,IMDB_Movies!Q$2:Q$3493)</f>
        <v>33494358</v>
      </c>
      <c r="E413" s="28" t="s">
        <v>1710</v>
      </c>
      <c r="F413" s="36">
        <f t="array" ref="F413">XLOOKUP(A413,IMDB_Movies!I$2:I$3493,IMDB_Movies!P$2:P$3493)</f>
        <v>0</v>
      </c>
    </row>
    <row r="414">
      <c r="A414" s="20" t="s">
        <v>1714</v>
      </c>
      <c r="B414" s="35">
        <f t="array" ref="B414">XLOOKUP(A414,IMDB_Movies!I$2:I$3493,IMDB_Movies!Q$2:Q$3493)</f>
        <v>0</v>
      </c>
      <c r="E414" s="20" t="s">
        <v>1714</v>
      </c>
      <c r="F414" s="36">
        <f t="array" ref="F414">XLOOKUP(A414,IMDB_Movies!I$2:I$3493,IMDB_Movies!P$2:P$3493)</f>
        <v>45820940</v>
      </c>
    </row>
    <row r="415">
      <c r="A415" s="11" t="s">
        <v>1718</v>
      </c>
      <c r="B415" s="35">
        <f t="array" ref="B415">XLOOKUP(A415,IMDB_Movies!I$2:I$3493,IMDB_Movies!Q$2:Q$3493)</f>
        <v>9006456</v>
      </c>
      <c r="E415" s="11" t="s">
        <v>1718</v>
      </c>
      <c r="F415" s="36">
        <f t="array" ref="F415">XLOOKUP(A415,IMDB_Movies!I$2:I$3493,IMDB_Movies!P$2:P$3493)</f>
        <v>0</v>
      </c>
    </row>
    <row r="416">
      <c r="A416" s="11" t="s">
        <v>1723</v>
      </c>
      <c r="B416" s="35">
        <f t="array" ref="B416">XLOOKUP(A416,IMDB_Movies!I$2:I$3493,IMDB_Movies!Q$2:Q$3493)</f>
        <v>855569</v>
      </c>
      <c r="E416" s="11" t="s">
        <v>1723</v>
      </c>
      <c r="F416" s="36">
        <f t="array" ref="F416">XLOOKUP(A416,IMDB_Movies!I$2:I$3493,IMDB_Movies!P$2:P$3493)</f>
        <v>0</v>
      </c>
    </row>
    <row r="417">
      <c r="A417" s="11" t="s">
        <v>1728</v>
      </c>
      <c r="B417" s="35">
        <f t="array" ref="B417">XLOOKUP(A417,IMDB_Movies!I$2:I$3493,IMDB_Movies!Q$2:Q$3493)</f>
        <v>0</v>
      </c>
      <c r="E417" s="11" t="s">
        <v>1728</v>
      </c>
      <c r="F417" s="36">
        <f t="array" ref="F417">XLOOKUP(A417,IMDB_Movies!I$2:I$3493,IMDB_Movies!P$2:P$3493)</f>
        <v>82800000</v>
      </c>
    </row>
    <row r="418">
      <c r="A418" s="20" t="s">
        <v>1731</v>
      </c>
      <c r="B418" s="35">
        <f t="array" ref="B418">XLOOKUP(A418,IMDB_Movies!I$2:I$3493,IMDB_Movies!Q$2:Q$3493)</f>
        <v>0</v>
      </c>
      <c r="E418" s="20" t="s">
        <v>1731</v>
      </c>
      <c r="F418" s="36">
        <f t="array" ref="F418">XLOOKUP(A418,IMDB_Movies!I$2:I$3493,IMDB_Movies!P$2:P$3493)</f>
        <v>5429707</v>
      </c>
    </row>
    <row r="419">
      <c r="A419" s="24" t="s">
        <v>1735</v>
      </c>
      <c r="B419" s="35">
        <f t="array" ref="B419">XLOOKUP(A419,IMDB_Movies!I$2:I$3493,IMDB_Movies!Q$2:Q$3493)</f>
        <v>29511421</v>
      </c>
      <c r="E419" s="24" t="s">
        <v>1735</v>
      </c>
      <c r="F419" s="36">
        <f t="array" ref="F419">XLOOKUP(A419,IMDB_Movies!I$2:I$3493,IMDB_Movies!P$2:P$3493)</f>
        <v>0</v>
      </c>
    </row>
    <row r="420">
      <c r="A420" s="28" t="s">
        <v>1738</v>
      </c>
      <c r="B420" s="35">
        <f t="array" ref="B420">XLOOKUP(A420,IMDB_Movies!I$2:I$3493,IMDB_Movies!Q$2:Q$3493)</f>
        <v>0</v>
      </c>
      <c r="E420" s="28" t="s">
        <v>1738</v>
      </c>
      <c r="F420" s="36">
        <f t="array" ref="F420">XLOOKUP(A420,IMDB_Movies!I$2:I$3493,IMDB_Movies!P$2:P$3493)</f>
        <v>27879132</v>
      </c>
    </row>
    <row r="421">
      <c r="A421" s="11" t="s">
        <v>1743</v>
      </c>
      <c r="B421" s="35">
        <f t="array" ref="B421">XLOOKUP(A421,IMDB_Movies!I$2:I$3493,IMDB_Movies!Q$2:Q$3493)</f>
        <v>0</v>
      </c>
      <c r="E421" s="11" t="s">
        <v>1743</v>
      </c>
      <c r="F421" s="36">
        <f t="array" ref="F421">XLOOKUP(A421,IMDB_Movies!I$2:I$3493,IMDB_Movies!P$2:P$3493)</f>
        <v>39816662</v>
      </c>
    </row>
    <row r="422">
      <c r="A422" s="24" t="s">
        <v>1746</v>
      </c>
      <c r="B422" s="35">
        <f t="array" ref="B422">XLOOKUP(A422,IMDB_Movies!I$2:I$3493,IMDB_Movies!Q$2:Q$3493)</f>
        <v>27477648</v>
      </c>
      <c r="E422" s="24" t="s">
        <v>1746</v>
      </c>
      <c r="F422" s="36">
        <f t="array" ref="F422">XLOOKUP(A422,IMDB_Movies!I$2:I$3493,IMDB_Movies!P$2:P$3493)</f>
        <v>0</v>
      </c>
    </row>
    <row r="423">
      <c r="A423" s="28" t="s">
        <v>1750</v>
      </c>
      <c r="B423" s="35">
        <f t="array" ref="B423">XLOOKUP(A423,IMDB_Movies!I$2:I$3493,IMDB_Movies!Q$2:Q$3493)</f>
        <v>6146000</v>
      </c>
      <c r="E423" s="28" t="s">
        <v>1750</v>
      </c>
      <c r="F423" s="36">
        <f t="array" ref="F423">XLOOKUP(A423,IMDB_Movies!I$2:I$3493,IMDB_Movies!P$2:P$3493)</f>
        <v>0</v>
      </c>
    </row>
    <row r="424">
      <c r="A424" s="11" t="s">
        <v>1754</v>
      </c>
      <c r="B424" s="35">
        <f t="array" ref="B424">XLOOKUP(A424,IMDB_Movies!I$2:I$3493,IMDB_Movies!Q$2:Q$3493)</f>
        <v>8690151</v>
      </c>
      <c r="E424" s="11" t="s">
        <v>1754</v>
      </c>
      <c r="F424" s="36">
        <f t="array" ref="F424">XLOOKUP(A424,IMDB_Movies!I$2:I$3493,IMDB_Movies!P$2:P$3493)</f>
        <v>0</v>
      </c>
    </row>
    <row r="425">
      <c r="A425" s="24" t="s">
        <v>1758</v>
      </c>
      <c r="B425" s="35">
        <f t="array" ref="B425">XLOOKUP(A425,IMDB_Movies!I$2:I$3493,IMDB_Movies!Q$2:Q$3493)</f>
        <v>7505506</v>
      </c>
      <c r="E425" s="24" t="s">
        <v>1758</v>
      </c>
      <c r="F425" s="36">
        <f t="array" ref="F425">XLOOKUP(A425,IMDB_Movies!I$2:I$3493,IMDB_Movies!P$2:P$3493)</f>
        <v>0</v>
      </c>
    </row>
    <row r="426">
      <c r="A426" s="28" t="s">
        <v>1763</v>
      </c>
      <c r="B426" s="35">
        <f t="array" ref="B426">XLOOKUP(A426,IMDB_Movies!I$2:I$3493,IMDB_Movies!Q$2:Q$3493)</f>
        <v>9871514</v>
      </c>
      <c r="E426" s="28" t="s">
        <v>1763</v>
      </c>
      <c r="F426" s="36">
        <f t="array" ref="F426">XLOOKUP(A426,IMDB_Movies!I$2:I$3493,IMDB_Movies!P$2:P$3493)</f>
        <v>0</v>
      </c>
    </row>
    <row r="427">
      <c r="A427" s="11" t="s">
        <v>1768</v>
      </c>
      <c r="B427" s="35">
        <f t="array" ref="B427">XLOOKUP(A427,IMDB_Movies!I$2:I$3493,IMDB_Movies!Q$2:Q$3493)</f>
        <v>0</v>
      </c>
      <c r="E427" s="11" t="s">
        <v>1768</v>
      </c>
      <c r="F427" s="36">
        <f t="array" ref="F427">XLOOKUP(A427,IMDB_Movies!I$2:I$3493,IMDB_Movies!P$2:P$3493)</f>
        <v>9100000</v>
      </c>
    </row>
    <row r="428">
      <c r="A428" s="11" t="s">
        <v>1770</v>
      </c>
      <c r="B428" s="35">
        <f t="array" ref="B428">XLOOKUP(A428,IMDB_Movies!I$2:I$3493,IMDB_Movies!Q$2:Q$3493)</f>
        <v>8590794</v>
      </c>
      <c r="E428" s="11" t="s">
        <v>1770</v>
      </c>
      <c r="F428" s="36">
        <f t="array" ref="F428">XLOOKUP(A428,IMDB_Movies!I$2:I$3493,IMDB_Movies!P$2:P$3493)</f>
        <v>0</v>
      </c>
    </row>
    <row r="429">
      <c r="A429" s="11" t="s">
        <v>1772</v>
      </c>
      <c r="B429" s="35">
        <f t="array" ref="B429">XLOOKUP(A429,IMDB_Movies!I$2:I$3493,IMDB_Movies!Q$2:Q$3493)</f>
        <v>13414611</v>
      </c>
      <c r="E429" s="11" t="s">
        <v>1772</v>
      </c>
      <c r="F429" s="36">
        <f t="array" ref="F429">XLOOKUP(A429,IMDB_Movies!I$2:I$3493,IMDB_Movies!P$2:P$3493)</f>
        <v>0</v>
      </c>
    </row>
    <row r="430">
      <c r="A430" s="20" t="s">
        <v>1775</v>
      </c>
      <c r="B430" s="35">
        <f t="array" ref="B430">XLOOKUP(A430,IMDB_Movies!I$2:I$3493,IMDB_Movies!Q$2:Q$3493)</f>
        <v>0</v>
      </c>
      <c r="E430" s="20" t="s">
        <v>1775</v>
      </c>
      <c r="F430" s="36">
        <f t="array" ref="F430">XLOOKUP(A430,IMDB_Movies!I$2:I$3493,IMDB_Movies!P$2:P$3493)</f>
        <v>112435221</v>
      </c>
    </row>
    <row r="431">
      <c r="A431" s="11" t="s">
        <v>1777</v>
      </c>
      <c r="B431" s="35">
        <f t="array" ref="B431">XLOOKUP(A431,IMDB_Movies!I$2:I$3493,IMDB_Movies!Q$2:Q$3493)</f>
        <v>9215287</v>
      </c>
      <c r="E431" s="11" t="s">
        <v>1777</v>
      </c>
      <c r="F431" s="36">
        <f t="array" ref="F431">XLOOKUP(A431,IMDB_Movies!I$2:I$3493,IMDB_Movies!P$2:P$3493)</f>
        <v>0</v>
      </c>
    </row>
    <row r="432">
      <c r="A432" s="11" t="s">
        <v>1780</v>
      </c>
      <c r="B432" s="35">
        <f t="array" ref="B432">XLOOKUP(A432,IMDB_Movies!I$2:I$3493,IMDB_Movies!Q$2:Q$3493)</f>
        <v>0</v>
      </c>
      <c r="E432" s="11" t="s">
        <v>1780</v>
      </c>
      <c r="F432" s="36">
        <f t="array" ref="F432">XLOOKUP(A432,IMDB_Movies!I$2:I$3493,IMDB_Movies!P$2:P$3493)</f>
        <v>17303237</v>
      </c>
    </row>
    <row r="433">
      <c r="A433" s="20" t="s">
        <v>1784</v>
      </c>
      <c r="B433" s="35">
        <f t="array" ref="B433">XLOOKUP(A433,IMDB_Movies!I$2:I$3493,IMDB_Movies!Q$2:Q$3493)</f>
        <v>0</v>
      </c>
      <c r="E433" s="20" t="s">
        <v>1784</v>
      </c>
      <c r="F433" s="36">
        <f t="array" ref="F433">XLOOKUP(A433,IMDB_Movies!I$2:I$3493,IMDB_Movies!P$2:P$3493)</f>
        <v>9546543</v>
      </c>
    </row>
    <row r="434">
      <c r="A434" s="24" t="s">
        <v>1789</v>
      </c>
      <c r="B434" s="35">
        <f t="array" ref="B434">XLOOKUP(A434,IMDB_Movies!I$2:I$3493,IMDB_Movies!Q$2:Q$3493)</f>
        <v>0</v>
      </c>
      <c r="E434" s="24" t="s">
        <v>1789</v>
      </c>
      <c r="F434" s="36">
        <f t="array" ref="F434">XLOOKUP(A434,IMDB_Movies!I$2:I$3493,IMDB_Movies!P$2:P$3493)</f>
        <v>58011073</v>
      </c>
    </row>
    <row r="435">
      <c r="A435" s="16" t="s">
        <v>1794</v>
      </c>
      <c r="B435" s="35">
        <f t="array" ref="B435">XLOOKUP(A435,IMDB_Movies!I$2:I$3493,IMDB_Movies!Q$2:Q$3493)</f>
        <v>7701890</v>
      </c>
      <c r="E435" s="16" t="s">
        <v>1794</v>
      </c>
      <c r="F435" s="36">
        <f t="array" ref="F435">XLOOKUP(A435,IMDB_Movies!I$2:I$3493,IMDB_Movies!P$2:P$3493)</f>
        <v>0</v>
      </c>
    </row>
    <row r="436">
      <c r="A436" s="16" t="s">
        <v>1798</v>
      </c>
      <c r="B436" s="35">
        <f t="array" ref="B436">XLOOKUP(A436,IMDB_Movies!I$2:I$3493,IMDB_Movies!Q$2:Q$3493)</f>
        <v>24898139</v>
      </c>
      <c r="E436" s="16" t="s">
        <v>1798</v>
      </c>
      <c r="F436" s="36">
        <f t="array" ref="F436">XLOOKUP(A436,IMDB_Movies!I$2:I$3493,IMDB_Movies!P$2:P$3493)</f>
        <v>0</v>
      </c>
    </row>
    <row r="437">
      <c r="A437" s="16" t="s">
        <v>1801</v>
      </c>
      <c r="B437" s="35">
        <f t="array" ref="B437">XLOOKUP(A437,IMDB_Movies!I$2:I$3493,IMDB_Movies!Q$2:Q$3493)</f>
        <v>0</v>
      </c>
      <c r="E437" s="16" t="s">
        <v>1801</v>
      </c>
      <c r="F437" s="36">
        <f t="array" ref="F437">XLOOKUP(A437,IMDB_Movies!I$2:I$3493,IMDB_Movies!P$2:P$3493)</f>
        <v>76028097</v>
      </c>
    </row>
    <row r="438">
      <c r="A438" s="32" t="s">
        <v>1803</v>
      </c>
      <c r="B438" s="35">
        <f t="array" ref="B438">XLOOKUP(A438,IMDB_Movies!I$2:I$3493,IMDB_Movies!Q$2:Q$3493)</f>
        <v>0</v>
      </c>
      <c r="E438" s="32" t="s">
        <v>1803</v>
      </c>
      <c r="F438" s="36">
        <f t="array" ref="F438">XLOOKUP(A438,IMDB_Movies!I$2:I$3493,IMDB_Movies!P$2:P$3493)</f>
        <v>45776832</v>
      </c>
    </row>
    <row r="439">
      <c r="A439" s="20" t="s">
        <v>1806</v>
      </c>
      <c r="B439" s="35">
        <f t="array" ref="B439">XLOOKUP(A439,IMDB_Movies!I$2:I$3493,IMDB_Movies!Q$2:Q$3493)</f>
        <v>0</v>
      </c>
      <c r="E439" s="20" t="s">
        <v>1806</v>
      </c>
      <c r="F439" s="36">
        <f t="array" ref="F439">XLOOKUP(A439,IMDB_Movies!I$2:I$3493,IMDB_Movies!P$2:P$3493)</f>
        <v>48200832</v>
      </c>
    </row>
    <row r="440">
      <c r="A440" s="11" t="s">
        <v>1810</v>
      </c>
      <c r="B440" s="35">
        <f t="array" ref="B440">XLOOKUP(A440,IMDB_Movies!I$2:I$3493,IMDB_Movies!Q$2:Q$3493)</f>
        <v>26675252</v>
      </c>
      <c r="E440" s="11" t="s">
        <v>1810</v>
      </c>
      <c r="F440" s="36">
        <f t="array" ref="F440">XLOOKUP(A440,IMDB_Movies!I$2:I$3493,IMDB_Movies!P$2:P$3493)</f>
        <v>0</v>
      </c>
    </row>
    <row r="441">
      <c r="A441" s="24" t="s">
        <v>1814</v>
      </c>
      <c r="B441" s="35">
        <f t="array" ref="B441">XLOOKUP(A441,IMDB_Movies!I$2:I$3493,IMDB_Movies!Q$2:Q$3493)</f>
        <v>0</v>
      </c>
      <c r="E441" s="24" t="s">
        <v>1814</v>
      </c>
      <c r="F441" s="36">
        <f t="array" ref="F441">XLOOKUP(A441,IMDB_Movies!I$2:I$3493,IMDB_Movies!P$2:P$3493)</f>
        <v>66317423</v>
      </c>
    </row>
    <row r="442">
      <c r="A442" s="28" t="s">
        <v>1817</v>
      </c>
      <c r="B442" s="35">
        <f t="array" ref="B442">XLOOKUP(A442,IMDB_Movies!I$2:I$3493,IMDB_Movies!Q$2:Q$3493)</f>
        <v>0</v>
      </c>
      <c r="E442" s="28" t="s">
        <v>1817</v>
      </c>
      <c r="F442" s="36">
        <f t="array" ref="F442">XLOOKUP(A442,IMDB_Movies!I$2:I$3493,IMDB_Movies!P$2:P$3493)</f>
        <v>15370763</v>
      </c>
    </row>
    <row r="443">
      <c r="A443" s="20" t="s">
        <v>1820</v>
      </c>
      <c r="B443" s="35">
        <f t="array" ref="B443">XLOOKUP(A443,IMDB_Movies!I$2:I$3493,IMDB_Movies!Q$2:Q$3493)</f>
        <v>0</v>
      </c>
      <c r="E443" s="20" t="s">
        <v>1820</v>
      </c>
      <c r="F443" s="36">
        <f t="array" ref="F443">XLOOKUP(A443,IMDB_Movies!I$2:I$3493,IMDB_Movies!P$2:P$3493)</f>
        <v>17442180</v>
      </c>
    </row>
    <row r="444">
      <c r="A444" s="11" t="s">
        <v>1823</v>
      </c>
      <c r="B444" s="35">
        <f t="array" ref="B444">XLOOKUP(A444,IMDB_Movies!I$2:I$3493,IMDB_Movies!Q$2:Q$3493)</f>
        <v>7925162</v>
      </c>
      <c r="E444" s="11" t="s">
        <v>1823</v>
      </c>
      <c r="F444" s="36">
        <f t="array" ref="F444">XLOOKUP(A444,IMDB_Movies!I$2:I$3493,IMDB_Movies!P$2:P$3493)</f>
        <v>0</v>
      </c>
    </row>
    <row r="445">
      <c r="A445" s="11" t="s">
        <v>1827</v>
      </c>
      <c r="B445" s="35">
        <f t="array" ref="B445">XLOOKUP(A445,IMDB_Movies!I$2:I$3493,IMDB_Movies!Q$2:Q$3493)</f>
        <v>0</v>
      </c>
      <c r="E445" s="11" t="s">
        <v>1827</v>
      </c>
      <c r="F445" s="36">
        <f t="array" ref="F445">XLOOKUP(A445,IMDB_Movies!I$2:I$3493,IMDB_Movies!P$2:P$3493)</f>
        <v>33375151</v>
      </c>
    </row>
    <row r="446">
      <c r="A446" s="11" t="s">
        <v>1830</v>
      </c>
      <c r="B446" s="35">
        <f t="array" ref="B446">XLOOKUP(A446,IMDB_Movies!I$2:I$3493,IMDB_Movies!Q$2:Q$3493)</f>
        <v>0</v>
      </c>
      <c r="E446" s="11" t="s">
        <v>1830</v>
      </c>
      <c r="F446" s="36">
        <f t="array" ref="F446">XLOOKUP(A446,IMDB_Movies!I$2:I$3493,IMDB_Movies!P$2:P$3493)</f>
        <v>3971000</v>
      </c>
    </row>
    <row r="447">
      <c r="A447" s="11" t="s">
        <v>1834</v>
      </c>
      <c r="B447" s="35">
        <f t="array" ref="B447">XLOOKUP(A447,IMDB_Movies!I$2:I$3493,IMDB_Movies!Q$2:Q$3493)</f>
        <v>20519686</v>
      </c>
      <c r="E447" s="11" t="s">
        <v>1834</v>
      </c>
      <c r="F447" s="36">
        <f t="array" ref="F447">XLOOKUP(A447,IMDB_Movies!I$2:I$3493,IMDB_Movies!P$2:P$3493)</f>
        <v>0</v>
      </c>
    </row>
    <row r="448">
      <c r="A448" s="24" t="s">
        <v>1837</v>
      </c>
      <c r="B448" s="35">
        <f t="array" ref="B448">XLOOKUP(A448,IMDB_Movies!I$2:I$3493,IMDB_Movies!Q$2:Q$3493)</f>
        <v>42823835</v>
      </c>
      <c r="E448" s="24" t="s">
        <v>1837</v>
      </c>
      <c r="F448" s="36">
        <f t="array" ref="F448">XLOOKUP(A448,IMDB_Movies!I$2:I$3493,IMDB_Movies!P$2:P$3493)</f>
        <v>0</v>
      </c>
    </row>
    <row r="449">
      <c r="A449" s="32" t="s">
        <v>1842</v>
      </c>
      <c r="B449" s="35">
        <f t="array" ref="B449">XLOOKUP(A449,IMDB_Movies!I$2:I$3493,IMDB_Movies!Q$2:Q$3493)</f>
        <v>11220364</v>
      </c>
      <c r="E449" s="32" t="s">
        <v>1842</v>
      </c>
      <c r="F449" s="36">
        <f t="array" ref="F449">XLOOKUP(A449,IMDB_Movies!I$2:I$3493,IMDB_Movies!P$2:P$3493)</f>
        <v>0</v>
      </c>
    </row>
    <row r="450">
      <c r="A450" s="20" t="s">
        <v>1847</v>
      </c>
      <c r="B450" s="35">
        <f t="array" ref="B450">XLOOKUP(A450,IMDB_Movies!I$2:I$3493,IMDB_Movies!Q$2:Q$3493)</f>
        <v>3798243</v>
      </c>
      <c r="E450" s="20" t="s">
        <v>1847</v>
      </c>
      <c r="F450" s="36">
        <f t="array" ref="F450">XLOOKUP(A450,IMDB_Movies!I$2:I$3493,IMDB_Movies!P$2:P$3493)</f>
        <v>0</v>
      </c>
    </row>
    <row r="451">
      <c r="A451" s="24" t="s">
        <v>1851</v>
      </c>
      <c r="B451" s="35">
        <f t="array" ref="B451">XLOOKUP(A451,IMDB_Movies!I$2:I$3493,IMDB_Movies!Q$2:Q$3493)</f>
        <v>0</v>
      </c>
      <c r="E451" s="24" t="s">
        <v>1851</v>
      </c>
      <c r="F451" s="36">
        <f t="array" ref="F451">XLOOKUP(A451,IMDB_Movies!I$2:I$3493,IMDB_Movies!P$2:P$3493)</f>
        <v>39266300</v>
      </c>
    </row>
    <row r="452">
      <c r="A452" s="16" t="s">
        <v>1856</v>
      </c>
      <c r="B452" s="35">
        <f t="array" ref="B452">XLOOKUP(A452,IMDB_Movies!I$2:I$3493,IMDB_Movies!Q$2:Q$3493)</f>
        <v>7431305</v>
      </c>
      <c r="E452" s="16" t="s">
        <v>1856</v>
      </c>
      <c r="F452" s="36">
        <f t="array" ref="F452">XLOOKUP(A452,IMDB_Movies!I$2:I$3493,IMDB_Movies!P$2:P$3493)</f>
        <v>0</v>
      </c>
    </row>
    <row r="453">
      <c r="A453" s="32" t="s">
        <v>1859</v>
      </c>
      <c r="B453" s="35">
        <f t="array" ref="B453">XLOOKUP(A453,IMDB_Movies!I$2:I$3493,IMDB_Movies!Q$2:Q$3493)</f>
        <v>0</v>
      </c>
      <c r="E453" s="32" t="s">
        <v>1859</v>
      </c>
      <c r="F453" s="36">
        <f t="array" ref="F453">XLOOKUP(A453,IMDB_Movies!I$2:I$3493,IMDB_Movies!P$2:P$3493)</f>
        <v>20169068</v>
      </c>
    </row>
    <row r="454">
      <c r="A454" s="11" t="s">
        <v>1862</v>
      </c>
      <c r="B454" s="35">
        <f t="array" ref="B454">XLOOKUP(A454,IMDB_Movies!I$2:I$3493,IMDB_Movies!Q$2:Q$3493)</f>
        <v>12733495</v>
      </c>
      <c r="E454" s="11" t="s">
        <v>1862</v>
      </c>
      <c r="F454" s="36">
        <f t="array" ref="F454">XLOOKUP(A454,IMDB_Movies!I$2:I$3493,IMDB_Movies!P$2:P$3493)</f>
        <v>0</v>
      </c>
    </row>
    <row r="455">
      <c r="A455" s="11" t="s">
        <v>1866</v>
      </c>
      <c r="B455" s="35">
        <f t="array" ref="B455">XLOOKUP(A455,IMDB_Movies!I$2:I$3493,IMDB_Movies!Q$2:Q$3493)</f>
        <v>8972134</v>
      </c>
      <c r="E455" s="11" t="s">
        <v>1866</v>
      </c>
      <c r="F455" s="36">
        <f t="array" ref="F455">XLOOKUP(A455,IMDB_Movies!I$2:I$3493,IMDB_Movies!P$2:P$3493)</f>
        <v>0</v>
      </c>
    </row>
    <row r="456">
      <c r="A456" s="24" t="s">
        <v>1870</v>
      </c>
      <c r="B456" s="35">
        <f t="array" ref="B456">XLOOKUP(A456,IMDB_Movies!I$2:I$3493,IMDB_Movies!Q$2:Q$3493)</f>
        <v>0</v>
      </c>
      <c r="E456" s="24" t="s">
        <v>1870</v>
      </c>
      <c r="F456" s="36">
        <f t="array" ref="F456">XLOOKUP(A456,IMDB_Movies!I$2:I$3493,IMDB_Movies!P$2:P$3493)</f>
        <v>136138454</v>
      </c>
    </row>
    <row r="457">
      <c r="A457" s="32" t="s">
        <v>1872</v>
      </c>
      <c r="B457" s="35">
        <f t="array" ref="B457">XLOOKUP(A457,IMDB_Movies!I$2:I$3493,IMDB_Movies!Q$2:Q$3493)</f>
        <v>60519261</v>
      </c>
      <c r="E457" s="32" t="s">
        <v>1872</v>
      </c>
      <c r="F457" s="36">
        <f t="array" ref="F457">XLOOKUP(A457,IMDB_Movies!I$2:I$3493,IMDB_Movies!P$2:P$3493)</f>
        <v>0</v>
      </c>
    </row>
    <row r="458">
      <c r="A458" s="20" t="s">
        <v>1876</v>
      </c>
      <c r="B458" s="35">
        <f t="array" ref="B458">XLOOKUP(A458,IMDB_Movies!I$2:I$3493,IMDB_Movies!Q$2:Q$3493)</f>
        <v>0</v>
      </c>
      <c r="E458" s="20" t="s">
        <v>1876</v>
      </c>
      <c r="F458" s="36">
        <f t="array" ref="F458">XLOOKUP(A458,IMDB_Movies!I$2:I$3493,IMDB_Movies!P$2:P$3493)</f>
        <v>7015224</v>
      </c>
    </row>
    <row r="459">
      <c r="A459" s="20" t="s">
        <v>1880</v>
      </c>
      <c r="B459" s="35">
        <f t="array" ref="B459">XLOOKUP(A459,IMDB_Movies!I$2:I$3493,IMDB_Movies!Q$2:Q$3493)</f>
        <v>52781920</v>
      </c>
      <c r="E459" s="20" t="s">
        <v>1880</v>
      </c>
      <c r="F459" s="36">
        <f t="array" ref="F459">XLOOKUP(A459,IMDB_Movies!I$2:I$3493,IMDB_Movies!P$2:P$3493)</f>
        <v>0</v>
      </c>
    </row>
    <row r="460">
      <c r="A460" s="11" t="s">
        <v>1882</v>
      </c>
      <c r="B460" s="35">
        <f t="array" ref="B460">XLOOKUP(A460,IMDB_Movies!I$2:I$3493,IMDB_Movies!Q$2:Q$3493)</f>
        <v>0</v>
      </c>
      <c r="E460" s="11" t="s">
        <v>1882</v>
      </c>
      <c r="F460" s="36">
        <f t="array" ref="F460">XLOOKUP(A460,IMDB_Movies!I$2:I$3493,IMDB_Movies!P$2:P$3493)</f>
        <v>73548685</v>
      </c>
    </row>
    <row r="461">
      <c r="A461" s="11" t="s">
        <v>1884</v>
      </c>
      <c r="B461" s="35">
        <f t="array" ref="B461">XLOOKUP(A461,IMDB_Movies!I$2:I$3493,IMDB_Movies!Q$2:Q$3493)</f>
        <v>799244</v>
      </c>
      <c r="E461" s="11" t="s">
        <v>1884</v>
      </c>
      <c r="F461" s="36">
        <f t="array" ref="F461">XLOOKUP(A461,IMDB_Movies!I$2:I$3493,IMDB_Movies!P$2:P$3493)</f>
        <v>0</v>
      </c>
    </row>
    <row r="462">
      <c r="A462" s="24" t="s">
        <v>1887</v>
      </c>
      <c r="B462" s="35">
        <f t="array" ref="B462">XLOOKUP(A462,IMDB_Movies!I$2:I$3493,IMDB_Movies!Q$2:Q$3493)</f>
        <v>0</v>
      </c>
      <c r="E462" s="24" t="s">
        <v>1887</v>
      </c>
      <c r="F462" s="36">
        <f t="array" ref="F462">XLOOKUP(A462,IMDB_Movies!I$2:I$3493,IMDB_Movies!P$2:P$3493)</f>
        <v>24048637</v>
      </c>
    </row>
    <row r="463">
      <c r="A463" s="28" t="s">
        <v>1891</v>
      </c>
      <c r="B463" s="35">
        <f t="array" ref="B463">XLOOKUP(A463,IMDB_Movies!I$2:I$3493,IMDB_Movies!Q$2:Q$3493)</f>
        <v>0</v>
      </c>
      <c r="E463" s="28" t="s">
        <v>1891</v>
      </c>
      <c r="F463" s="36">
        <f t="array" ref="F463">XLOOKUP(A463,IMDB_Movies!I$2:I$3493,IMDB_Movies!P$2:P$3493)</f>
        <v>3909616</v>
      </c>
    </row>
    <row r="464">
      <c r="A464" s="11" t="s">
        <v>1897</v>
      </c>
      <c r="B464" s="35">
        <f t="array" ref="B464">XLOOKUP(A464,IMDB_Movies!I$2:I$3493,IMDB_Movies!Q$2:Q$3493)</f>
        <v>375868702</v>
      </c>
      <c r="E464" s="11" t="s">
        <v>1897</v>
      </c>
      <c r="F464" s="36">
        <f t="array" ref="F464">XLOOKUP(A464,IMDB_Movies!I$2:I$3493,IMDB_Movies!P$2:P$3493)</f>
        <v>0</v>
      </c>
    </row>
    <row r="465">
      <c r="A465" s="24" t="s">
        <v>1900</v>
      </c>
      <c r="B465" s="35">
        <f t="array" ref="B465">XLOOKUP(A465,IMDB_Movies!I$2:I$3493,IMDB_Movies!Q$2:Q$3493)</f>
        <v>6358212</v>
      </c>
      <c r="E465" s="24" t="s">
        <v>1900</v>
      </c>
      <c r="F465" s="36">
        <f t="array" ref="F465">XLOOKUP(A465,IMDB_Movies!I$2:I$3493,IMDB_Movies!P$2:P$3493)</f>
        <v>0</v>
      </c>
    </row>
    <row r="466">
      <c r="A466" s="16" t="s">
        <v>1904</v>
      </c>
      <c r="B466" s="35">
        <f t="array" ref="B466">XLOOKUP(A466,IMDB_Movies!I$2:I$3493,IMDB_Movies!Q$2:Q$3493)</f>
        <v>0</v>
      </c>
      <c r="E466" s="16" t="s">
        <v>1904</v>
      </c>
      <c r="F466" s="36">
        <f t="array" ref="F466">XLOOKUP(A466,IMDB_Movies!I$2:I$3493,IMDB_Movies!P$2:P$3493)</f>
        <v>38658172</v>
      </c>
    </row>
    <row r="467">
      <c r="A467" s="28" t="s">
        <v>1909</v>
      </c>
      <c r="B467" s="35">
        <f t="array" ref="B467">XLOOKUP(A467,IMDB_Movies!I$2:I$3493,IMDB_Movies!Q$2:Q$3493)</f>
        <v>0</v>
      </c>
      <c r="E467" s="28" t="s">
        <v>1909</v>
      </c>
      <c r="F467" s="36">
        <f t="array" ref="F467">XLOOKUP(A467,IMDB_Movies!I$2:I$3493,IMDB_Movies!P$2:P$3493)</f>
        <v>12683670</v>
      </c>
    </row>
    <row r="468">
      <c r="A468" s="11" t="s">
        <v>1913</v>
      </c>
      <c r="B468" s="35">
        <f t="array" ref="B468">XLOOKUP(A468,IMDB_Movies!I$2:I$3493,IMDB_Movies!Q$2:Q$3493)</f>
        <v>0</v>
      </c>
      <c r="E468" s="11" t="s">
        <v>1913</v>
      </c>
      <c r="F468" s="36">
        <f t="array" ref="F468">XLOOKUP(A468,IMDB_Movies!I$2:I$3493,IMDB_Movies!P$2:P$3493)</f>
        <v>24363530</v>
      </c>
    </row>
    <row r="469">
      <c r="A469" s="11" t="s">
        <v>1918</v>
      </c>
      <c r="B469" s="35">
        <f t="array" ref="B469">XLOOKUP(A469,IMDB_Movies!I$2:I$3493,IMDB_Movies!Q$2:Q$3493)</f>
        <v>9128166</v>
      </c>
      <c r="E469" s="11" t="s">
        <v>1918</v>
      </c>
      <c r="F469" s="36">
        <f t="array" ref="F469">XLOOKUP(A469,IMDB_Movies!I$2:I$3493,IMDB_Movies!P$2:P$3493)</f>
        <v>0</v>
      </c>
    </row>
    <row r="470">
      <c r="A470" s="24" t="s">
        <v>1921</v>
      </c>
      <c r="B470" s="35">
        <f t="array" ref="B470">XLOOKUP(A470,IMDB_Movies!I$2:I$3493,IMDB_Movies!Q$2:Q$3493)</f>
        <v>12112543</v>
      </c>
      <c r="E470" s="24" t="s">
        <v>1921</v>
      </c>
      <c r="F470" s="36">
        <f t="array" ref="F470">XLOOKUP(A470,IMDB_Movies!I$2:I$3493,IMDB_Movies!P$2:P$3493)</f>
        <v>0</v>
      </c>
    </row>
    <row r="471">
      <c r="A471" s="28" t="s">
        <v>1924</v>
      </c>
      <c r="B471" s="35">
        <f t="array" ref="B471">XLOOKUP(A471,IMDB_Movies!I$2:I$3493,IMDB_Movies!Q$2:Q$3493)</f>
        <v>0</v>
      </c>
      <c r="E471" s="28" t="s">
        <v>1924</v>
      </c>
      <c r="F471" s="36">
        <f t="array" ref="F471">XLOOKUP(A471,IMDB_Movies!I$2:I$3493,IMDB_Movies!P$2:P$3493)</f>
        <v>293784000</v>
      </c>
    </row>
    <row r="472">
      <c r="A472" s="11" t="s">
        <v>1927</v>
      </c>
      <c r="B472" s="35">
        <f t="array" ref="B472">XLOOKUP(A472,IMDB_Movies!I$2:I$3493,IMDB_Movies!Q$2:Q$3493)</f>
        <v>980461</v>
      </c>
      <c r="E472" s="11" t="s">
        <v>1927</v>
      </c>
      <c r="F472" s="36">
        <f t="array" ref="F472">XLOOKUP(A472,IMDB_Movies!I$2:I$3493,IMDB_Movies!P$2:P$3493)</f>
        <v>0</v>
      </c>
    </row>
    <row r="473">
      <c r="A473" s="24" t="s">
        <v>1931</v>
      </c>
      <c r="B473" s="35">
        <f t="array" ref="B473">XLOOKUP(A473,IMDB_Movies!I$2:I$3493,IMDB_Movies!Q$2:Q$3493)</f>
        <v>0</v>
      </c>
      <c r="E473" s="24" t="s">
        <v>1931</v>
      </c>
      <c r="F473" s="36">
        <f t="array" ref="F473">XLOOKUP(A473,IMDB_Movies!I$2:I$3493,IMDB_Movies!P$2:P$3493)</f>
        <v>79218018</v>
      </c>
    </row>
    <row r="474">
      <c r="A474" s="28" t="s">
        <v>1933</v>
      </c>
      <c r="B474" s="35">
        <f t="array" ref="B474">XLOOKUP(A474,IMDB_Movies!I$2:I$3493,IMDB_Movies!Q$2:Q$3493)</f>
        <v>0</v>
      </c>
      <c r="E474" s="28" t="s">
        <v>1933</v>
      </c>
      <c r="F474" s="36">
        <f t="array" ref="F474">XLOOKUP(A474,IMDB_Movies!I$2:I$3493,IMDB_Movies!P$2:P$3493)</f>
        <v>26087161</v>
      </c>
    </row>
    <row r="475">
      <c r="A475" s="20" t="s">
        <v>1938</v>
      </c>
      <c r="B475" s="35">
        <f t="array" ref="B475">XLOOKUP(A475,IMDB_Movies!I$2:I$3493,IMDB_Movies!Q$2:Q$3493)</f>
        <v>0</v>
      </c>
      <c r="E475" s="20" t="s">
        <v>1938</v>
      </c>
      <c r="F475" s="36">
        <f t="array" ref="F475">XLOOKUP(A475,IMDB_Movies!I$2:I$3493,IMDB_Movies!P$2:P$3493)</f>
        <v>2391000</v>
      </c>
    </row>
    <row r="476">
      <c r="A476" s="24" t="s">
        <v>1942</v>
      </c>
      <c r="B476" s="35">
        <f t="array" ref="B476">XLOOKUP(A476,IMDB_Movies!I$2:I$3493,IMDB_Movies!Q$2:Q$3493)</f>
        <v>0</v>
      </c>
      <c r="E476" s="24" t="s">
        <v>1942</v>
      </c>
      <c r="F476" s="36">
        <f t="array" ref="F476">XLOOKUP(A476,IMDB_Movies!I$2:I$3493,IMDB_Movies!P$2:P$3493)</f>
        <v>16597830</v>
      </c>
    </row>
    <row r="477">
      <c r="A477" s="28" t="s">
        <v>1944</v>
      </c>
      <c r="B477" s="35">
        <f t="array" ref="B477">XLOOKUP(A477,IMDB_Movies!I$2:I$3493,IMDB_Movies!Q$2:Q$3493)</f>
        <v>6369774</v>
      </c>
      <c r="E477" s="28" t="s">
        <v>1944</v>
      </c>
      <c r="F477" s="36">
        <f t="array" ref="F477">XLOOKUP(A477,IMDB_Movies!I$2:I$3493,IMDB_Movies!P$2:P$3493)</f>
        <v>0</v>
      </c>
    </row>
    <row r="478">
      <c r="A478" s="24" t="s">
        <v>1948</v>
      </c>
      <c r="B478" s="35">
        <f t="array" ref="B478">XLOOKUP(A478,IMDB_Movies!I$2:I$3493,IMDB_Movies!Q$2:Q$3493)</f>
        <v>52394332</v>
      </c>
      <c r="E478" s="24" t="s">
        <v>1948</v>
      </c>
      <c r="F478" s="36">
        <f t="array" ref="F478">XLOOKUP(A478,IMDB_Movies!I$2:I$3493,IMDB_Movies!P$2:P$3493)</f>
        <v>0</v>
      </c>
    </row>
    <row r="479">
      <c r="A479" s="28" t="s">
        <v>1952</v>
      </c>
      <c r="B479" s="35">
        <f t="array" ref="B479">XLOOKUP(A479,IMDB_Movies!I$2:I$3493,IMDB_Movies!Q$2:Q$3493)</f>
        <v>0</v>
      </c>
      <c r="E479" s="28" t="s">
        <v>1952</v>
      </c>
      <c r="F479" s="36">
        <f t="array" ref="F479">XLOOKUP(A479,IMDB_Movies!I$2:I$3493,IMDB_Movies!P$2:P$3493)</f>
        <v>91704210</v>
      </c>
    </row>
    <row r="480">
      <c r="A480" s="20" t="s">
        <v>1956</v>
      </c>
      <c r="B480" s="35">
        <f t="array" ref="B480">XLOOKUP(A480,IMDB_Movies!I$2:I$3493,IMDB_Movies!Q$2:Q$3493)</f>
        <v>0</v>
      </c>
      <c r="E480" s="20" t="s">
        <v>1956</v>
      </c>
      <c r="F480" s="36">
        <f t="array" ref="F480">XLOOKUP(A480,IMDB_Movies!I$2:I$3493,IMDB_Movies!P$2:P$3493)</f>
        <v>1014398</v>
      </c>
    </row>
    <row r="481">
      <c r="A481" s="24" t="s">
        <v>1960</v>
      </c>
      <c r="B481" s="35">
        <f t="array" ref="B481">XLOOKUP(A481,IMDB_Movies!I$2:I$3493,IMDB_Movies!Q$2:Q$3493)</f>
        <v>3024316</v>
      </c>
      <c r="E481" s="24" t="s">
        <v>1960</v>
      </c>
      <c r="F481" s="36">
        <f t="array" ref="F481">XLOOKUP(A481,IMDB_Movies!I$2:I$3493,IMDB_Movies!P$2:P$3493)</f>
        <v>0</v>
      </c>
    </row>
    <row r="482">
      <c r="A482" s="16" t="s">
        <v>1965</v>
      </c>
      <c r="B482" s="35">
        <f t="array" ref="B482">XLOOKUP(A482,IMDB_Movies!I$2:I$3493,IMDB_Movies!Q$2:Q$3493)</f>
        <v>0</v>
      </c>
      <c r="E482" s="16" t="s">
        <v>1965</v>
      </c>
      <c r="F482" s="36">
        <f t="array" ref="F482">XLOOKUP(A482,IMDB_Movies!I$2:I$3493,IMDB_Movies!P$2:P$3493)</f>
        <v>8694528</v>
      </c>
    </row>
    <row r="483">
      <c r="A483" s="32" t="s">
        <v>1967</v>
      </c>
      <c r="B483" s="35">
        <f t="array" ref="B483">XLOOKUP(A483,IMDB_Movies!I$2:I$3493,IMDB_Movies!Q$2:Q$3493)</f>
        <v>74710310</v>
      </c>
      <c r="E483" s="32" t="s">
        <v>1967</v>
      </c>
      <c r="F483" s="36">
        <f t="array" ref="F483">XLOOKUP(A483,IMDB_Movies!I$2:I$3493,IMDB_Movies!P$2:P$3493)</f>
        <v>0</v>
      </c>
    </row>
    <row r="484">
      <c r="A484" s="11" t="s">
        <v>1970</v>
      </c>
      <c r="B484" s="35">
        <f t="array" ref="B484">XLOOKUP(A484,IMDB_Movies!I$2:I$3493,IMDB_Movies!Q$2:Q$3493)</f>
        <v>0</v>
      </c>
      <c r="E484" s="11" t="s">
        <v>1970</v>
      </c>
      <c r="F484" s="36">
        <f t="array" ref="F484">XLOOKUP(A484,IMDB_Movies!I$2:I$3493,IMDB_Movies!P$2:P$3493)</f>
        <v>47308367</v>
      </c>
    </row>
    <row r="485">
      <c r="A485" s="11" t="s">
        <v>1974</v>
      </c>
      <c r="B485" s="35">
        <f t="array" ref="B485">XLOOKUP(A485,IMDB_Movies!I$2:I$3493,IMDB_Movies!Q$2:Q$3493)</f>
        <v>0</v>
      </c>
      <c r="E485" s="11" t="s">
        <v>1974</v>
      </c>
      <c r="F485" s="36">
        <f t="array" ref="F485">XLOOKUP(A485,IMDB_Movies!I$2:I$3493,IMDB_Movies!P$2:P$3493)</f>
        <v>19155435</v>
      </c>
    </row>
    <row r="486">
      <c r="A486" s="11" t="s">
        <v>1977</v>
      </c>
      <c r="B486" s="35">
        <f t="array" ref="B486">XLOOKUP(A486,IMDB_Movies!I$2:I$3493,IMDB_Movies!Q$2:Q$3493)</f>
        <v>0</v>
      </c>
      <c r="E486" s="11" t="s">
        <v>1977</v>
      </c>
      <c r="F486" s="36">
        <f t="array" ref="F486">XLOOKUP(A486,IMDB_Movies!I$2:I$3493,IMDB_Movies!P$2:P$3493)</f>
        <v>140863268</v>
      </c>
    </row>
    <row r="487">
      <c r="A487" s="11" t="s">
        <v>1979</v>
      </c>
      <c r="B487" s="35">
        <f t="array" ref="B487">XLOOKUP(A487,IMDB_Movies!I$2:I$3493,IMDB_Movies!Q$2:Q$3493)</f>
        <v>0</v>
      </c>
      <c r="E487" s="11" t="s">
        <v>1979</v>
      </c>
      <c r="F487" s="36">
        <f t="array" ref="F487">XLOOKUP(A487,IMDB_Movies!I$2:I$3493,IMDB_Movies!P$2:P$3493)</f>
        <v>51270454</v>
      </c>
    </row>
    <row r="488">
      <c r="A488" s="11" t="s">
        <v>1982</v>
      </c>
      <c r="B488" s="35">
        <f t="array" ref="B488">XLOOKUP(A488,IMDB_Movies!I$2:I$3493,IMDB_Movies!Q$2:Q$3493)</f>
        <v>0</v>
      </c>
      <c r="E488" s="11" t="s">
        <v>1982</v>
      </c>
      <c r="F488" s="36">
        <f t="array" ref="F488">XLOOKUP(A488,IMDB_Movies!I$2:I$3493,IMDB_Movies!P$2:P$3493)</f>
        <v>6671475</v>
      </c>
    </row>
    <row r="489">
      <c r="A489" s="11" t="s">
        <v>1986</v>
      </c>
      <c r="B489" s="35">
        <f t="array" ref="B489">XLOOKUP(A489,IMDB_Movies!I$2:I$3493,IMDB_Movies!Q$2:Q$3493)</f>
        <v>10723500</v>
      </c>
      <c r="E489" s="11" t="s">
        <v>1986</v>
      </c>
      <c r="F489" s="36">
        <f t="array" ref="F489">XLOOKUP(A489,IMDB_Movies!I$2:I$3493,IMDB_Movies!P$2:P$3493)</f>
        <v>0</v>
      </c>
    </row>
    <row r="490">
      <c r="A490" s="11" t="s">
        <v>1990</v>
      </c>
      <c r="B490" s="35">
        <f t="array" ref="B490">XLOOKUP(A490,IMDB_Movies!I$2:I$3493,IMDB_Movies!Q$2:Q$3493)</f>
        <v>27456806</v>
      </c>
      <c r="E490" s="11" t="s">
        <v>1990</v>
      </c>
      <c r="F490" s="36">
        <f t="array" ref="F490">XLOOKUP(A490,IMDB_Movies!I$2:I$3493,IMDB_Movies!P$2:P$3493)</f>
        <v>0</v>
      </c>
    </row>
    <row r="491">
      <c r="A491" s="11" t="s">
        <v>1993</v>
      </c>
      <c r="B491" s="35">
        <f t="array" ref="B491">XLOOKUP(A491,IMDB_Movies!I$2:I$3493,IMDB_Movies!Q$2:Q$3493)</f>
        <v>0</v>
      </c>
      <c r="E491" s="11" t="s">
        <v>1993</v>
      </c>
      <c r="F491" s="36">
        <f t="array" ref="F491">XLOOKUP(A491,IMDB_Movies!I$2:I$3493,IMDB_Movies!P$2:P$3493)</f>
        <v>26963967</v>
      </c>
    </row>
    <row r="492">
      <c r="A492" s="24" t="s">
        <v>1997</v>
      </c>
      <c r="B492" s="35">
        <f t="array" ref="B492">XLOOKUP(A492,IMDB_Movies!I$2:I$3493,IMDB_Movies!Q$2:Q$3493)</f>
        <v>0</v>
      </c>
      <c r="E492" s="24" t="s">
        <v>1997</v>
      </c>
      <c r="F492" s="36">
        <f t="array" ref="F492">XLOOKUP(A492,IMDB_Movies!I$2:I$3493,IMDB_Movies!P$2:P$3493)</f>
        <v>1549702</v>
      </c>
    </row>
    <row r="493">
      <c r="A493" s="16" t="s">
        <v>1999</v>
      </c>
      <c r="B493" s="35">
        <f t="array" ref="B493">XLOOKUP(A493,IMDB_Movies!I$2:I$3493,IMDB_Movies!Q$2:Q$3493)</f>
        <v>39842984</v>
      </c>
      <c r="E493" s="16" t="s">
        <v>1999</v>
      </c>
      <c r="F493" s="36">
        <f t="array" ref="F493">XLOOKUP(A493,IMDB_Movies!I$2:I$3493,IMDB_Movies!P$2:P$3493)</f>
        <v>0</v>
      </c>
    </row>
    <row r="494">
      <c r="A494" s="32" t="s">
        <v>2003</v>
      </c>
      <c r="B494" s="35">
        <f t="array" ref="B494">XLOOKUP(A494,IMDB_Movies!I$2:I$3493,IMDB_Movies!Q$2:Q$3493)</f>
        <v>96941620</v>
      </c>
      <c r="E494" s="32" t="s">
        <v>2003</v>
      </c>
      <c r="F494" s="36">
        <f t="array" ref="F494">XLOOKUP(A494,IMDB_Movies!I$2:I$3493,IMDB_Movies!P$2:P$3493)</f>
        <v>0</v>
      </c>
    </row>
    <row r="495">
      <c r="A495" s="24" t="s">
        <v>2007</v>
      </c>
      <c r="B495" s="35">
        <f t="array" ref="B495">XLOOKUP(A495,IMDB_Movies!I$2:I$3493,IMDB_Movies!Q$2:Q$3493)</f>
        <v>0</v>
      </c>
      <c r="E495" s="24" t="s">
        <v>2007</v>
      </c>
      <c r="F495" s="36">
        <f t="array" ref="F495">XLOOKUP(A495,IMDB_Movies!I$2:I$3493,IMDB_Movies!P$2:P$3493)</f>
        <v>8631221</v>
      </c>
    </row>
    <row r="496">
      <c r="A496" s="20" t="s">
        <v>2010</v>
      </c>
      <c r="B496" s="35">
        <f t="array" ref="B496">XLOOKUP(A496,IMDB_Movies!I$2:I$3493,IMDB_Movies!Q$2:Q$3493)</f>
        <v>492921</v>
      </c>
      <c r="E496" s="20" t="s">
        <v>2010</v>
      </c>
      <c r="F496" s="36">
        <f t="array" ref="F496">XLOOKUP(A496,IMDB_Movies!I$2:I$3493,IMDB_Movies!P$2:P$3493)</f>
        <v>0</v>
      </c>
    </row>
    <row r="497">
      <c r="A497" s="28" t="s">
        <v>2014</v>
      </c>
      <c r="B497" s="35">
        <f t="array" ref="B497">XLOOKUP(A497,IMDB_Movies!I$2:I$3493,IMDB_Movies!Q$2:Q$3493)</f>
        <v>0</v>
      </c>
      <c r="E497" s="28" t="s">
        <v>2014</v>
      </c>
      <c r="F497" s="36">
        <f t="array" ref="F497">XLOOKUP(A497,IMDB_Movies!I$2:I$3493,IMDB_Movies!P$2:P$3493)</f>
        <v>4738570</v>
      </c>
    </row>
    <row r="498">
      <c r="A498" s="20" t="s">
        <v>2018</v>
      </c>
      <c r="B498" s="35">
        <f t="array" ref="B498">XLOOKUP(A498,IMDB_Movies!I$2:I$3493,IMDB_Movies!Q$2:Q$3493)</f>
        <v>1906509</v>
      </c>
      <c r="E498" s="20" t="s">
        <v>2018</v>
      </c>
      <c r="F498" s="36">
        <f t="array" ref="F498">XLOOKUP(A498,IMDB_Movies!I$2:I$3493,IMDB_Movies!P$2:P$3493)</f>
        <v>0</v>
      </c>
    </row>
    <row r="499">
      <c r="A499" s="24" t="s">
        <v>2021</v>
      </c>
      <c r="B499" s="35">
        <f t="array" ref="B499">XLOOKUP(A499,IMDB_Movies!I$2:I$3493,IMDB_Movies!Q$2:Q$3493)</f>
        <v>890722</v>
      </c>
      <c r="E499" s="24" t="s">
        <v>2021</v>
      </c>
      <c r="F499" s="36">
        <f t="array" ref="F499">XLOOKUP(A499,IMDB_Movies!I$2:I$3493,IMDB_Movies!P$2:P$3493)</f>
        <v>0</v>
      </c>
    </row>
    <row r="500">
      <c r="A500" s="11" t="s">
        <v>2024</v>
      </c>
      <c r="B500" s="35">
        <f t="array" ref="B500">XLOOKUP(A500,IMDB_Movies!I$2:I$3493,IMDB_Movies!Q$2:Q$3493)</f>
        <v>8723016</v>
      </c>
      <c r="E500" s="11" t="s">
        <v>2024</v>
      </c>
      <c r="F500" s="36">
        <f t="array" ref="F500">XLOOKUP(A500,IMDB_Movies!I$2:I$3493,IMDB_Movies!P$2:P$3493)</f>
        <v>0</v>
      </c>
    </row>
    <row r="501">
      <c r="A501" s="32" t="s">
        <v>2028</v>
      </c>
      <c r="B501" s="35">
        <f t="array" ref="B501">XLOOKUP(A501,IMDB_Movies!I$2:I$3493,IMDB_Movies!Q$2:Q$3493)</f>
        <v>10239</v>
      </c>
      <c r="E501" s="32" t="s">
        <v>2028</v>
      </c>
      <c r="F501" s="36">
        <f t="array" ref="F501">XLOOKUP(A501,IMDB_Movies!I$2:I$3493,IMDB_Movies!P$2:P$3493)</f>
        <v>0</v>
      </c>
    </row>
    <row r="502">
      <c r="A502" s="20" t="s">
        <v>2030</v>
      </c>
      <c r="B502" s="35">
        <f t="array" ref="B502">XLOOKUP(A502,IMDB_Movies!I$2:I$3493,IMDB_Movies!Q$2:Q$3493)</f>
        <v>48651080</v>
      </c>
      <c r="E502" s="20" t="s">
        <v>2030</v>
      </c>
      <c r="F502" s="36">
        <f t="array" ref="F502">XLOOKUP(A502,IMDB_Movies!I$2:I$3493,IMDB_Movies!P$2:P$3493)</f>
        <v>0</v>
      </c>
    </row>
    <row r="503">
      <c r="A503" s="11" t="s">
        <v>2033</v>
      </c>
      <c r="B503" s="35">
        <f t="array" ref="B503">XLOOKUP(A503,IMDB_Movies!I$2:I$3493,IMDB_Movies!Q$2:Q$3493)</f>
        <v>17363557</v>
      </c>
      <c r="E503" s="11" t="s">
        <v>2033</v>
      </c>
      <c r="F503" s="36">
        <f t="array" ref="F503">XLOOKUP(A503,IMDB_Movies!I$2:I$3493,IMDB_Movies!P$2:P$3493)</f>
        <v>0</v>
      </c>
    </row>
    <row r="504">
      <c r="A504" s="20" t="s">
        <v>2038</v>
      </c>
      <c r="B504" s="35">
        <f t="array" ref="B504">XLOOKUP(A504,IMDB_Movies!I$2:I$3493,IMDB_Movies!Q$2:Q$3493)</f>
        <v>2236987</v>
      </c>
      <c r="E504" s="20" t="s">
        <v>2038</v>
      </c>
      <c r="F504" s="36">
        <f t="array" ref="F504">XLOOKUP(A504,IMDB_Movies!I$2:I$3493,IMDB_Movies!P$2:P$3493)</f>
        <v>0</v>
      </c>
    </row>
    <row r="505">
      <c r="A505" s="24" t="s">
        <v>2041</v>
      </c>
      <c r="B505" s="35">
        <f t="array" ref="B505">XLOOKUP(A505,IMDB_Movies!I$2:I$3493,IMDB_Movies!Q$2:Q$3493)</f>
        <v>7872856</v>
      </c>
      <c r="E505" s="24" t="s">
        <v>2041</v>
      </c>
      <c r="F505" s="36">
        <f t="array" ref="F505">XLOOKUP(A505,IMDB_Movies!I$2:I$3493,IMDB_Movies!P$2:P$3493)</f>
        <v>0</v>
      </c>
    </row>
    <row r="506">
      <c r="A506" s="24" t="s">
        <v>2044</v>
      </c>
      <c r="B506" s="35">
        <f t="array" ref="B506">XLOOKUP(A506,IMDB_Movies!I$2:I$3493,IMDB_Movies!Q$2:Q$3493)</f>
        <v>33649447</v>
      </c>
      <c r="E506" s="24" t="s">
        <v>2044</v>
      </c>
      <c r="F506" s="36">
        <f t="array" ref="F506">XLOOKUP(A506,IMDB_Movies!I$2:I$3493,IMDB_Movies!P$2:P$3493)</f>
        <v>0</v>
      </c>
    </row>
    <row r="507">
      <c r="A507" s="32" t="s">
        <v>2048</v>
      </c>
      <c r="B507" s="35">
        <f t="array" ref="B507">XLOOKUP(A507,IMDB_Movies!I$2:I$3493,IMDB_Movies!Q$2:Q$3493)</f>
        <v>0</v>
      </c>
      <c r="E507" s="32" t="s">
        <v>2048</v>
      </c>
      <c r="F507" s="36">
        <f t="array" ref="F507">XLOOKUP(A507,IMDB_Movies!I$2:I$3493,IMDB_Movies!P$2:P$3493)</f>
        <v>13324946</v>
      </c>
    </row>
    <row r="508">
      <c r="A508" s="32" t="s">
        <v>2052</v>
      </c>
      <c r="B508" s="35">
        <f t="array" ref="B508">XLOOKUP(A508,IMDB_Movies!I$2:I$3493,IMDB_Movies!Q$2:Q$3493)</f>
        <v>0</v>
      </c>
      <c r="E508" s="32" t="s">
        <v>2052</v>
      </c>
      <c r="F508" s="36">
        <f t="array" ref="F508">XLOOKUP(A508,IMDB_Movies!I$2:I$3493,IMDB_Movies!P$2:P$3493)</f>
        <v>154100000</v>
      </c>
    </row>
    <row r="509">
      <c r="A509" s="24" t="s">
        <v>2057</v>
      </c>
      <c r="B509" s="35">
        <f t="array" ref="B509">XLOOKUP(A509,IMDB_Movies!I$2:I$3493,IMDB_Movies!Q$2:Q$3493)</f>
        <v>0</v>
      </c>
      <c r="E509" s="24" t="s">
        <v>2057</v>
      </c>
      <c r="F509" s="36">
        <f t="array" ref="F509">XLOOKUP(A509,IMDB_Movies!I$2:I$3493,IMDB_Movies!P$2:P$3493)</f>
        <v>162208848</v>
      </c>
    </row>
    <row r="510">
      <c r="A510" s="11" t="s">
        <v>2062</v>
      </c>
      <c r="B510" s="35">
        <f t="array" ref="B510">XLOOKUP(A510,IMDB_Movies!I$2:I$3493,IMDB_Movies!Q$2:Q$3493)</f>
        <v>0</v>
      </c>
      <c r="E510" s="11" t="s">
        <v>2062</v>
      </c>
      <c r="F510" s="36">
        <f t="array" ref="F510">XLOOKUP(A510,IMDB_Movies!I$2:I$3493,IMDB_Movies!P$2:P$3493)</f>
        <v>122833357</v>
      </c>
    </row>
    <row r="511">
      <c r="A511" s="16" t="s">
        <v>2065</v>
      </c>
      <c r="B511" s="35">
        <f t="array" ref="B511">XLOOKUP(A511,IMDB_Movies!I$2:I$3493,IMDB_Movies!Q$2:Q$3493)</f>
        <v>0</v>
      </c>
      <c r="E511" s="16" t="s">
        <v>2065</v>
      </c>
      <c r="F511" s="36">
        <f t="array" ref="F511">XLOOKUP(A511,IMDB_Movies!I$2:I$3493,IMDB_Movies!P$2:P$3493)</f>
        <v>32030663</v>
      </c>
    </row>
    <row r="512">
      <c r="A512" s="11" t="s">
        <v>2068</v>
      </c>
      <c r="B512" s="35">
        <f t="array" ref="B512">XLOOKUP(A512,IMDB_Movies!I$2:I$3493,IMDB_Movies!Q$2:Q$3493)</f>
        <v>13642958</v>
      </c>
      <c r="E512" s="11" t="s">
        <v>2068</v>
      </c>
      <c r="F512" s="36">
        <f t="array" ref="F512">XLOOKUP(A512,IMDB_Movies!I$2:I$3493,IMDB_Movies!P$2:P$3493)</f>
        <v>0</v>
      </c>
    </row>
    <row r="513">
      <c r="A513" s="32" t="s">
        <v>2072</v>
      </c>
      <c r="B513" s="35">
        <f t="array" ref="B513">XLOOKUP(A513,IMDB_Movies!I$2:I$3493,IMDB_Movies!Q$2:Q$3493)</f>
        <v>6621859</v>
      </c>
      <c r="E513" s="32" t="s">
        <v>2072</v>
      </c>
      <c r="F513" s="36">
        <f t="array" ref="F513">XLOOKUP(A513,IMDB_Movies!I$2:I$3493,IMDB_Movies!P$2:P$3493)</f>
        <v>0</v>
      </c>
    </row>
    <row r="514">
      <c r="A514" s="11" t="s">
        <v>2076</v>
      </c>
      <c r="B514" s="35">
        <f t="array" ref="B514">XLOOKUP(A514,IMDB_Movies!I$2:I$3493,IMDB_Movies!Q$2:Q$3493)</f>
        <v>0</v>
      </c>
      <c r="E514" s="11" t="s">
        <v>2076</v>
      </c>
      <c r="F514" s="36">
        <f t="array" ref="F514">XLOOKUP(A514,IMDB_Movies!I$2:I$3493,IMDB_Movies!P$2:P$3493)</f>
        <v>43625922</v>
      </c>
    </row>
    <row r="515">
      <c r="A515" s="11" t="s">
        <v>2081</v>
      </c>
      <c r="B515" s="35">
        <f t="array" ref="B515">XLOOKUP(A515,IMDB_Movies!I$2:I$3493,IMDB_Movies!Q$2:Q$3493)</f>
        <v>0</v>
      </c>
      <c r="E515" s="11" t="s">
        <v>2081</v>
      </c>
      <c r="F515" s="36">
        <f t="array" ref="F515">XLOOKUP(A515,IMDB_Movies!I$2:I$3493,IMDB_Movies!P$2:P$3493)</f>
        <v>43347242</v>
      </c>
    </row>
    <row r="516">
      <c r="A516" s="24" t="s">
        <v>2083</v>
      </c>
      <c r="B516" s="35">
        <f t="array" ref="B516">XLOOKUP(A516,IMDB_Movies!I$2:I$3493,IMDB_Movies!Q$2:Q$3493)</f>
        <v>0</v>
      </c>
      <c r="E516" s="24" t="s">
        <v>2083</v>
      </c>
      <c r="F516" s="36">
        <f t="array" ref="F516">XLOOKUP(A516,IMDB_Movies!I$2:I$3493,IMDB_Movies!P$2:P$3493)</f>
        <v>59006721</v>
      </c>
    </row>
    <row r="517">
      <c r="A517" s="11" t="s">
        <v>2087</v>
      </c>
      <c r="B517" s="35">
        <f t="array" ref="B517">XLOOKUP(A517,IMDB_Movies!I$2:I$3493,IMDB_Movies!Q$2:Q$3493)</f>
        <v>535345</v>
      </c>
      <c r="E517" s="11" t="s">
        <v>2087</v>
      </c>
      <c r="F517" s="36">
        <f t="array" ref="F517">XLOOKUP(A517,IMDB_Movies!I$2:I$3493,IMDB_Movies!P$2:P$3493)</f>
        <v>0</v>
      </c>
    </row>
    <row r="518">
      <c r="A518" s="32" t="s">
        <v>2091</v>
      </c>
      <c r="B518" s="35">
        <f t="array" ref="B518">XLOOKUP(A518,IMDB_Movies!I$2:I$3493,IMDB_Movies!Q$2:Q$3493)</f>
        <v>0</v>
      </c>
      <c r="E518" s="32" t="s">
        <v>2091</v>
      </c>
      <c r="F518" s="36">
        <f t="array" ref="F518">XLOOKUP(A518,IMDB_Movies!I$2:I$3493,IMDB_Movies!P$2:P$3493)</f>
        <v>14008741</v>
      </c>
    </row>
    <row r="519">
      <c r="A519" s="11" t="s">
        <v>2095</v>
      </c>
      <c r="B519" s="35">
        <f t="array" ref="B519">XLOOKUP(A519,IMDB_Movies!I$2:I$3493,IMDB_Movies!Q$2:Q$3493)</f>
        <v>25314641</v>
      </c>
      <c r="E519" s="11" t="s">
        <v>2095</v>
      </c>
      <c r="F519" s="36">
        <f t="array" ref="F519">XLOOKUP(A519,IMDB_Movies!I$2:I$3493,IMDB_Movies!P$2:P$3493)</f>
        <v>0</v>
      </c>
    </row>
    <row r="520">
      <c r="A520" s="24" t="s">
        <v>2098</v>
      </c>
      <c r="B520" s="35">
        <f t="array" ref="B520">XLOOKUP(A520,IMDB_Movies!I$2:I$3493,IMDB_Movies!Q$2:Q$3493)</f>
        <v>0</v>
      </c>
      <c r="E520" s="24" t="s">
        <v>2098</v>
      </c>
      <c r="F520" s="36">
        <f t="array" ref="F520">XLOOKUP(A520,IMDB_Movies!I$2:I$3493,IMDB_Movies!P$2:P$3493)</f>
        <v>53668525</v>
      </c>
    </row>
    <row r="521">
      <c r="A521" s="24" t="s">
        <v>2100</v>
      </c>
      <c r="B521" s="35">
        <f t="array" ref="B521">XLOOKUP(A521,IMDB_Movies!I$2:I$3493,IMDB_Movies!Q$2:Q$3493)</f>
        <v>0</v>
      </c>
      <c r="E521" s="24" t="s">
        <v>2100</v>
      </c>
      <c r="F521" s="36">
        <f t="array" ref="F521">XLOOKUP(A521,IMDB_Movies!I$2:I$3493,IMDB_Movies!P$2:P$3493)</f>
        <v>107704099</v>
      </c>
    </row>
    <row r="522">
      <c r="A522" s="32" t="s">
        <v>2104</v>
      </c>
      <c r="B522" s="35">
        <f t="array" ref="B522">XLOOKUP(A522,IMDB_Movies!I$2:I$3493,IMDB_Movies!Q$2:Q$3493)</f>
        <v>2177843</v>
      </c>
      <c r="E522" s="32" t="s">
        <v>2104</v>
      </c>
      <c r="F522" s="36">
        <f t="array" ref="F522">XLOOKUP(A522,IMDB_Movies!I$2:I$3493,IMDB_Movies!P$2:P$3493)</f>
        <v>0</v>
      </c>
    </row>
    <row r="523">
      <c r="A523" s="32" t="s">
        <v>2108</v>
      </c>
      <c r="B523" s="35">
        <f t="array" ref="B523">XLOOKUP(A523,IMDB_Movies!I$2:I$3493,IMDB_Movies!Q$2:Q$3493)</f>
        <v>13568780</v>
      </c>
      <c r="E523" s="32" t="s">
        <v>2108</v>
      </c>
      <c r="F523" s="36">
        <f t="array" ref="F523">XLOOKUP(A523,IMDB_Movies!I$2:I$3493,IMDB_Movies!P$2:P$3493)</f>
        <v>0</v>
      </c>
    </row>
    <row r="524">
      <c r="A524" s="11" t="s">
        <v>2110</v>
      </c>
      <c r="B524" s="35">
        <f t="array" ref="B524">XLOOKUP(A524,IMDB_Movies!I$2:I$3493,IMDB_Movies!Q$2:Q$3493)</f>
        <v>33887833</v>
      </c>
      <c r="E524" s="11" t="s">
        <v>2110</v>
      </c>
      <c r="F524" s="36">
        <f t="array" ref="F524">XLOOKUP(A524,IMDB_Movies!I$2:I$3493,IMDB_Movies!P$2:P$3493)</f>
        <v>0</v>
      </c>
    </row>
    <row r="525">
      <c r="A525" s="11" t="s">
        <v>2114</v>
      </c>
      <c r="B525" s="35">
        <f t="array" ref="B525">XLOOKUP(A525,IMDB_Movies!I$2:I$3493,IMDB_Movies!Q$2:Q$3493)</f>
        <v>0</v>
      </c>
      <c r="E525" s="11" t="s">
        <v>2114</v>
      </c>
      <c r="F525" s="36">
        <f t="array" ref="F525">XLOOKUP(A525,IMDB_Movies!I$2:I$3493,IMDB_Movies!P$2:P$3493)</f>
        <v>65603360</v>
      </c>
    </row>
    <row r="526">
      <c r="A526" s="20" t="s">
        <v>2119</v>
      </c>
      <c r="B526" s="35">
        <f t="array" ref="B526">XLOOKUP(A526,IMDB_Movies!I$2:I$3493,IMDB_Movies!Q$2:Q$3493)</f>
        <v>0</v>
      </c>
      <c r="E526" s="20" t="s">
        <v>2119</v>
      </c>
      <c r="F526" s="36">
        <f t="array" ref="F526">XLOOKUP(A526,IMDB_Movies!I$2:I$3493,IMDB_Movies!P$2:P$3493)</f>
        <v>2348123</v>
      </c>
    </row>
    <row r="527">
      <c r="A527" s="11" t="s">
        <v>2121</v>
      </c>
      <c r="B527" s="35">
        <f t="array" ref="B527">XLOOKUP(A527,IMDB_Movies!I$2:I$3493,IMDB_Movies!Q$2:Q$3493)</f>
        <v>0</v>
      </c>
      <c r="E527" s="11" t="s">
        <v>2121</v>
      </c>
      <c r="F527" s="36">
        <f t="array" ref="F527">XLOOKUP(A527,IMDB_Movies!I$2:I$3493,IMDB_Movies!P$2:P$3493)</f>
        <v>35468793</v>
      </c>
    </row>
    <row r="528">
      <c r="A528" s="11" t="s">
        <v>2123</v>
      </c>
      <c r="B528" s="35">
        <f t="array" ref="B528">XLOOKUP(A528,IMDB_Movies!I$2:I$3493,IMDB_Movies!Q$2:Q$3493)</f>
        <v>47468302</v>
      </c>
      <c r="E528" s="11" t="s">
        <v>2123</v>
      </c>
      <c r="F528" s="36">
        <f t="array" ref="F528">XLOOKUP(A528,IMDB_Movies!I$2:I$3493,IMDB_Movies!P$2:P$3493)</f>
        <v>0</v>
      </c>
    </row>
    <row r="529">
      <c r="A529" s="11" t="s">
        <v>2125</v>
      </c>
      <c r="B529" s="35">
        <f t="array" ref="B529">XLOOKUP(A529,IMDB_Movies!I$2:I$3493,IMDB_Movies!Q$2:Q$3493)</f>
        <v>0</v>
      </c>
      <c r="E529" s="11" t="s">
        <v>2125</v>
      </c>
      <c r="F529" s="36">
        <f t="array" ref="F529">XLOOKUP(A529,IMDB_Movies!I$2:I$3493,IMDB_Movies!P$2:P$3493)</f>
        <v>149171806</v>
      </c>
    </row>
    <row r="530">
      <c r="A530" s="20" t="s">
        <v>2129</v>
      </c>
      <c r="B530" s="35">
        <f t="array" ref="B530">XLOOKUP(A530,IMDB_Movies!I$2:I$3493,IMDB_Movies!Q$2:Q$3493)</f>
        <v>17754000</v>
      </c>
      <c r="E530" s="20" t="s">
        <v>2129</v>
      </c>
      <c r="F530" s="36">
        <f t="array" ref="F530">XLOOKUP(A530,IMDB_Movies!I$2:I$3493,IMDB_Movies!P$2:P$3493)</f>
        <v>0</v>
      </c>
    </row>
    <row r="531">
      <c r="A531" s="20" t="s">
        <v>2133</v>
      </c>
      <c r="B531" s="35">
        <f t="array" ref="B531">XLOOKUP(A531,IMDB_Movies!I$2:I$3493,IMDB_Movies!Q$2:Q$3493)</f>
        <v>0</v>
      </c>
      <c r="E531" s="20" t="s">
        <v>2133</v>
      </c>
      <c r="F531" s="36">
        <f t="array" ref="F531">XLOOKUP(A531,IMDB_Movies!I$2:I$3493,IMDB_Movies!P$2:P$3493)</f>
        <v>10802315</v>
      </c>
    </row>
    <row r="532">
      <c r="A532" s="11" t="s">
        <v>2137</v>
      </c>
      <c r="B532" s="35">
        <f t="array" ref="B532">XLOOKUP(A532,IMDB_Movies!I$2:I$3493,IMDB_Movies!Q$2:Q$3493)</f>
        <v>54985766</v>
      </c>
      <c r="E532" s="11" t="s">
        <v>2137</v>
      </c>
      <c r="F532" s="36">
        <f t="array" ref="F532">XLOOKUP(A532,IMDB_Movies!I$2:I$3493,IMDB_Movies!P$2:P$3493)</f>
        <v>0</v>
      </c>
    </row>
    <row r="533">
      <c r="A533" s="24" t="s">
        <v>2141</v>
      </c>
      <c r="B533" s="35">
        <f t="array" ref="B533">XLOOKUP(A533,IMDB_Movies!I$2:I$3493,IMDB_Movies!Q$2:Q$3493)</f>
        <v>19044575</v>
      </c>
      <c r="E533" s="24" t="s">
        <v>2141</v>
      </c>
      <c r="F533" s="36">
        <f t="array" ref="F533">XLOOKUP(A533,IMDB_Movies!I$2:I$3493,IMDB_Movies!P$2:P$3493)</f>
        <v>0</v>
      </c>
    </row>
    <row r="534">
      <c r="A534" s="11" t="s">
        <v>2143</v>
      </c>
      <c r="B534" s="35">
        <f t="array" ref="B534">XLOOKUP(A534,IMDB_Movies!I$2:I$3493,IMDB_Movies!Q$2:Q$3493)</f>
        <v>0</v>
      </c>
      <c r="E534" s="11" t="s">
        <v>2143</v>
      </c>
      <c r="F534" s="36">
        <f t="array" ref="F534">XLOOKUP(A534,IMDB_Movies!I$2:I$3493,IMDB_Movies!P$2:P$3493)</f>
        <v>198130642</v>
      </c>
    </row>
    <row r="535">
      <c r="A535" s="16" t="s">
        <v>2147</v>
      </c>
      <c r="B535" s="35">
        <f t="array" ref="B535">XLOOKUP(A535,IMDB_Movies!I$2:I$3493,IMDB_Movies!Q$2:Q$3493)</f>
        <v>14885685</v>
      </c>
      <c r="E535" s="16" t="s">
        <v>2147</v>
      </c>
      <c r="F535" s="36">
        <f t="array" ref="F535">XLOOKUP(A535,IMDB_Movies!I$2:I$3493,IMDB_Movies!P$2:P$3493)</f>
        <v>0</v>
      </c>
    </row>
    <row r="536">
      <c r="A536" s="24" t="s">
        <v>2149</v>
      </c>
      <c r="B536" s="35">
        <f t="array" ref="B536">XLOOKUP(A536,IMDB_Movies!I$2:I$3493,IMDB_Movies!Q$2:Q$3493)</f>
        <v>29459980</v>
      </c>
      <c r="E536" s="24" t="s">
        <v>2149</v>
      </c>
      <c r="F536" s="36">
        <f t="array" ref="F536">XLOOKUP(A536,IMDB_Movies!I$2:I$3493,IMDB_Movies!P$2:P$3493)</f>
        <v>0</v>
      </c>
    </row>
    <row r="537">
      <c r="A537" s="32" t="s">
        <v>2151</v>
      </c>
      <c r="B537" s="35">
        <f t="array" ref="B537">XLOOKUP(A537,IMDB_Movies!I$2:I$3493,IMDB_Movies!Q$2:Q$3493)</f>
        <v>0</v>
      </c>
      <c r="E537" s="32" t="s">
        <v>2151</v>
      </c>
      <c r="F537" s="36">
        <f t="array" ref="F537">XLOOKUP(A537,IMDB_Movies!I$2:I$3493,IMDB_Movies!P$2:P$3493)</f>
        <v>42373442</v>
      </c>
    </row>
    <row r="538">
      <c r="A538" s="32" t="s">
        <v>2154</v>
      </c>
      <c r="B538" s="35">
        <f t="array" ref="B538">XLOOKUP(A538,IMDB_Movies!I$2:I$3493,IMDB_Movies!Q$2:Q$3493)</f>
        <v>0</v>
      </c>
      <c r="E538" s="32" t="s">
        <v>2154</v>
      </c>
      <c r="F538" s="36">
        <f t="array" ref="F538">XLOOKUP(A538,IMDB_Movies!I$2:I$3493,IMDB_Movies!P$2:P$3493)</f>
        <v>3383834</v>
      </c>
    </row>
    <row r="539">
      <c r="A539" s="11" t="s">
        <v>2158</v>
      </c>
      <c r="B539" s="35">
        <f t="array" ref="B539">XLOOKUP(A539,IMDB_Movies!I$2:I$3493,IMDB_Movies!Q$2:Q$3493)</f>
        <v>0</v>
      </c>
      <c r="E539" s="11" t="s">
        <v>2158</v>
      </c>
      <c r="F539" s="36">
        <f t="array" ref="F539">XLOOKUP(A539,IMDB_Movies!I$2:I$3493,IMDB_Movies!P$2:P$3493)</f>
        <v>133029270</v>
      </c>
    </row>
    <row r="540">
      <c r="A540" s="11" t="s">
        <v>2162</v>
      </c>
      <c r="B540" s="35">
        <f t="array" ref="B540">XLOOKUP(A540,IMDB_Movies!I$2:I$3493,IMDB_Movies!Q$2:Q$3493)</f>
        <v>45451936</v>
      </c>
      <c r="E540" s="11" t="s">
        <v>2162</v>
      </c>
      <c r="F540" s="36">
        <f t="array" ref="F540">XLOOKUP(A540,IMDB_Movies!I$2:I$3493,IMDB_Movies!P$2:P$3493)</f>
        <v>0</v>
      </c>
    </row>
    <row r="541">
      <c r="A541" s="11" t="s">
        <v>2164</v>
      </c>
      <c r="B541" s="35">
        <f t="array" ref="B541">XLOOKUP(A541,IMDB_Movies!I$2:I$3493,IMDB_Movies!Q$2:Q$3493)</f>
        <v>0</v>
      </c>
      <c r="E541" s="11" t="s">
        <v>2164</v>
      </c>
      <c r="F541" s="36">
        <f t="array" ref="F541">XLOOKUP(A541,IMDB_Movies!I$2:I$3493,IMDB_Movies!P$2:P$3493)</f>
        <v>220837577</v>
      </c>
    </row>
    <row r="542">
      <c r="A542" s="24" t="s">
        <v>2168</v>
      </c>
      <c r="B542" s="35">
        <f t="array" ref="B542">XLOOKUP(A542,IMDB_Movies!I$2:I$3493,IMDB_Movies!Q$2:Q$3493)</f>
        <v>11386249</v>
      </c>
      <c r="E542" s="24" t="s">
        <v>2168</v>
      </c>
      <c r="F542" s="36">
        <f t="array" ref="F542">XLOOKUP(A542,IMDB_Movies!I$2:I$3493,IMDB_Movies!P$2:P$3493)</f>
        <v>0</v>
      </c>
    </row>
    <row r="543">
      <c r="A543" s="11" t="s">
        <v>2170</v>
      </c>
      <c r="B543" s="35">
        <f t="array" ref="B543">XLOOKUP(A543,IMDB_Movies!I$2:I$3493,IMDB_Movies!Q$2:Q$3493)</f>
        <v>0</v>
      </c>
      <c r="E543" s="11" t="s">
        <v>2170</v>
      </c>
      <c r="F543" s="36">
        <f t="array" ref="F543">XLOOKUP(A543,IMDB_Movies!I$2:I$3493,IMDB_Movies!P$2:P$3493)</f>
        <v>41573085</v>
      </c>
    </row>
    <row r="544">
      <c r="A544" s="32" t="s">
        <v>2175</v>
      </c>
      <c r="B544" s="35">
        <f t="array" ref="B544">XLOOKUP(A544,IMDB_Movies!I$2:I$3493,IMDB_Movies!Q$2:Q$3493)</f>
        <v>954324</v>
      </c>
      <c r="E544" s="32" t="s">
        <v>2175</v>
      </c>
      <c r="F544" s="36">
        <f t="array" ref="F544">XLOOKUP(A544,IMDB_Movies!I$2:I$3493,IMDB_Movies!P$2:P$3493)</f>
        <v>0</v>
      </c>
    </row>
    <row r="545">
      <c r="A545" s="11" t="s">
        <v>2178</v>
      </c>
      <c r="B545" s="35">
        <f t="array" ref="B545">XLOOKUP(A545,IMDB_Movies!I$2:I$3493,IMDB_Movies!Q$2:Q$3493)</f>
        <v>0</v>
      </c>
      <c r="E545" s="11" t="s">
        <v>2178</v>
      </c>
      <c r="F545" s="36">
        <f t="array" ref="F545">XLOOKUP(A545,IMDB_Movies!I$2:I$3493,IMDB_Movies!P$2:P$3493)</f>
        <v>18758599</v>
      </c>
    </row>
    <row r="546">
      <c r="A546" s="11" t="s">
        <v>2182</v>
      </c>
      <c r="B546" s="35">
        <f t="array" ref="B546">XLOOKUP(A546,IMDB_Movies!I$2:I$3493,IMDB_Movies!Q$2:Q$3493)</f>
        <v>0</v>
      </c>
      <c r="E546" s="11" t="s">
        <v>2182</v>
      </c>
      <c r="F546" s="36">
        <f t="array" ref="F546">XLOOKUP(A546,IMDB_Movies!I$2:I$3493,IMDB_Movies!P$2:P$3493)</f>
        <v>2713208</v>
      </c>
    </row>
    <row r="547">
      <c r="A547" s="11" t="s">
        <v>2185</v>
      </c>
      <c r="B547" s="35">
        <f t="array" ref="B547">XLOOKUP(A547,IMDB_Movies!I$2:I$3493,IMDB_Movies!Q$2:Q$3493)</f>
        <v>0</v>
      </c>
      <c r="E547" s="11" t="s">
        <v>2185</v>
      </c>
      <c r="F547" s="36">
        <f t="array" ref="F547">XLOOKUP(A547,IMDB_Movies!I$2:I$3493,IMDB_Movies!P$2:P$3493)</f>
        <v>52572496</v>
      </c>
    </row>
    <row r="548">
      <c r="A548" s="11" t="s">
        <v>2188</v>
      </c>
      <c r="B548" s="35">
        <f t="array" ref="B548">XLOOKUP(A548,IMDB_Movies!I$2:I$3493,IMDB_Movies!Q$2:Q$3493)</f>
        <v>0</v>
      </c>
      <c r="E548" s="11" t="s">
        <v>2188</v>
      </c>
      <c r="F548" s="36">
        <f t="array" ref="F548">XLOOKUP(A548,IMDB_Movies!I$2:I$3493,IMDB_Movies!P$2:P$3493)</f>
        <v>87559438</v>
      </c>
    </row>
    <row r="549">
      <c r="A549" s="20" t="s">
        <v>2193</v>
      </c>
      <c r="B549" s="35">
        <f t="array" ref="B549">XLOOKUP(A549,IMDB_Movies!I$2:I$3493,IMDB_Movies!Q$2:Q$3493)</f>
        <v>0</v>
      </c>
      <c r="E549" s="20" t="s">
        <v>2193</v>
      </c>
      <c r="F549" s="36">
        <f t="array" ref="F549">XLOOKUP(A549,IMDB_Movies!I$2:I$3493,IMDB_Movies!P$2:P$3493)</f>
        <v>13154431</v>
      </c>
    </row>
    <row r="550">
      <c r="A550" s="11" t="s">
        <v>2197</v>
      </c>
      <c r="B550" s="35">
        <f t="array" ref="B550">XLOOKUP(A550,IMDB_Movies!I$2:I$3493,IMDB_Movies!Q$2:Q$3493)</f>
        <v>0</v>
      </c>
      <c r="E550" s="11" t="s">
        <v>2197</v>
      </c>
      <c r="F550" s="36">
        <f t="array" ref="F550">XLOOKUP(A550,IMDB_Movies!I$2:I$3493,IMDB_Movies!P$2:P$3493)</f>
        <v>8432823</v>
      </c>
    </row>
    <row r="551">
      <c r="A551" s="24" t="s">
        <v>2200</v>
      </c>
      <c r="B551" s="35">
        <f t="array" ref="B551">XLOOKUP(A551,IMDB_Movies!I$2:I$3493,IMDB_Movies!Q$2:Q$3493)</f>
        <v>0</v>
      </c>
      <c r="E551" s="24" t="s">
        <v>2200</v>
      </c>
      <c r="F551" s="36">
        <f t="array" ref="F551">XLOOKUP(A551,IMDB_Movies!I$2:I$3493,IMDB_Movies!P$2:P$3493)</f>
        <v>21041732</v>
      </c>
    </row>
    <row r="552">
      <c r="A552" s="11" t="s">
        <v>2202</v>
      </c>
      <c r="B552" s="35">
        <f t="array" ref="B552">XLOOKUP(A552,IMDB_Movies!I$2:I$3493,IMDB_Movies!Q$2:Q$3493)</f>
        <v>4170061</v>
      </c>
      <c r="E552" s="11" t="s">
        <v>2202</v>
      </c>
      <c r="F552" s="36">
        <f t="array" ref="F552">XLOOKUP(A552,IMDB_Movies!I$2:I$3493,IMDB_Movies!P$2:P$3493)</f>
        <v>0</v>
      </c>
    </row>
    <row r="553">
      <c r="A553" s="28" t="s">
        <v>2206</v>
      </c>
      <c r="B553" s="35">
        <f t="array" ref="B553">XLOOKUP(A553,IMDB_Movies!I$2:I$3493,IMDB_Movies!Q$2:Q$3493)</f>
        <v>0</v>
      </c>
      <c r="E553" s="28" t="s">
        <v>2206</v>
      </c>
      <c r="F553" s="36">
        <f t="array" ref="F553">XLOOKUP(A553,IMDB_Movies!I$2:I$3493,IMDB_Movies!P$2:P$3493)</f>
        <v>1459004</v>
      </c>
    </row>
    <row r="554">
      <c r="A554" s="11" t="s">
        <v>2208</v>
      </c>
      <c r="B554" s="35">
        <f t="array" ref="B554">XLOOKUP(A554,IMDB_Movies!I$2:I$3493,IMDB_Movies!Q$2:Q$3493)</f>
        <v>0</v>
      </c>
      <c r="E554" s="11" t="s">
        <v>2208</v>
      </c>
      <c r="F554" s="36">
        <f t="array" ref="F554">XLOOKUP(A554,IMDB_Movies!I$2:I$3493,IMDB_Movies!P$2:P$3493)</f>
        <v>47300000</v>
      </c>
    </row>
    <row r="555">
      <c r="A555" s="20" t="s">
        <v>2211</v>
      </c>
      <c r="B555" s="35">
        <f t="array" ref="B555">XLOOKUP(A555,IMDB_Movies!I$2:I$3493,IMDB_Movies!Q$2:Q$3493)</f>
        <v>0</v>
      </c>
      <c r="E555" s="20" t="s">
        <v>2211</v>
      </c>
      <c r="F555" s="36">
        <f t="array" ref="F555">XLOOKUP(A555,IMDB_Movies!I$2:I$3493,IMDB_Movies!P$2:P$3493)</f>
        <v>8336565</v>
      </c>
    </row>
    <row r="556">
      <c r="A556" s="11" t="s">
        <v>2214</v>
      </c>
      <c r="B556" s="35">
        <f t="array" ref="B556">XLOOKUP(A556,IMDB_Movies!I$2:I$3493,IMDB_Movies!Q$2:Q$3493)</f>
        <v>10162368</v>
      </c>
      <c r="E556" s="11" t="s">
        <v>2214</v>
      </c>
      <c r="F556" s="36">
        <f t="array" ref="F556">XLOOKUP(A556,IMDB_Movies!I$2:I$3493,IMDB_Movies!P$2:P$3493)</f>
        <v>0</v>
      </c>
    </row>
    <row r="557">
      <c r="A557" s="24" t="s">
        <v>2217</v>
      </c>
      <c r="B557" s="35">
        <f t="array" ref="B557">XLOOKUP(A557,IMDB_Movies!I$2:I$3493,IMDB_Movies!Q$2:Q$3493)</f>
        <v>24500032</v>
      </c>
      <c r="E557" s="24" t="s">
        <v>2217</v>
      </c>
      <c r="F557" s="36">
        <f t="array" ref="F557">XLOOKUP(A557,IMDB_Movies!I$2:I$3493,IMDB_Movies!P$2:P$3493)</f>
        <v>0</v>
      </c>
    </row>
    <row r="558">
      <c r="A558" s="11" t="s">
        <v>2221</v>
      </c>
      <c r="B558" s="35">
        <f t="array" ref="B558">XLOOKUP(A558,IMDB_Movies!I$2:I$3493,IMDB_Movies!Q$2:Q$3493)</f>
        <v>0</v>
      </c>
      <c r="E558" s="11" t="s">
        <v>2221</v>
      </c>
      <c r="F558" s="36">
        <f t="array" ref="F558">XLOOKUP(A558,IMDB_Movies!I$2:I$3493,IMDB_Movies!P$2:P$3493)</f>
        <v>18167424</v>
      </c>
    </row>
    <row r="559">
      <c r="A559" s="16" t="s">
        <v>2227</v>
      </c>
      <c r="B559" s="35">
        <f t="array" ref="B559">XLOOKUP(A559,IMDB_Movies!I$2:I$3493,IMDB_Movies!Q$2:Q$3493)</f>
        <v>10647214</v>
      </c>
      <c r="E559" s="16" t="s">
        <v>2227</v>
      </c>
      <c r="F559" s="36">
        <f t="array" ref="F559">XLOOKUP(A559,IMDB_Movies!I$2:I$3493,IMDB_Movies!P$2:P$3493)</f>
        <v>0</v>
      </c>
    </row>
    <row r="560">
      <c r="A560" s="11" t="s">
        <v>2230</v>
      </c>
      <c r="B560" s="35">
        <f t="array" ref="B560">XLOOKUP(A560,IMDB_Movies!I$2:I$3493,IMDB_Movies!Q$2:Q$3493)</f>
        <v>7792888</v>
      </c>
      <c r="E560" s="11" t="s">
        <v>2230</v>
      </c>
      <c r="F560" s="36">
        <f t="array" ref="F560">XLOOKUP(A560,IMDB_Movies!I$2:I$3493,IMDB_Movies!P$2:P$3493)</f>
        <v>0</v>
      </c>
    </row>
    <row r="561">
      <c r="A561" s="28" t="s">
        <v>2235</v>
      </c>
      <c r="B561" s="35">
        <f t="array" ref="B561">XLOOKUP(A561,IMDB_Movies!I$2:I$3493,IMDB_Movies!Q$2:Q$3493)</f>
        <v>20656327</v>
      </c>
      <c r="E561" s="28" t="s">
        <v>2235</v>
      </c>
      <c r="F561" s="36">
        <f t="array" ref="F561">XLOOKUP(A561,IMDB_Movies!I$2:I$3493,IMDB_Movies!P$2:P$3493)</f>
        <v>0</v>
      </c>
    </row>
    <row r="562">
      <c r="A562" s="24" t="s">
        <v>2239</v>
      </c>
      <c r="B562" s="35">
        <f t="array" ref="B562">XLOOKUP(A562,IMDB_Movies!I$2:I$3493,IMDB_Movies!Q$2:Q$3493)</f>
        <v>0</v>
      </c>
      <c r="E562" s="24" t="s">
        <v>2239</v>
      </c>
      <c r="F562" s="36">
        <f t="array" ref="F562">XLOOKUP(A562,IMDB_Movies!I$2:I$3493,IMDB_Movies!P$2:P$3493)</f>
        <v>71800000</v>
      </c>
    </row>
    <row r="563">
      <c r="A563" s="20" t="s">
        <v>2242</v>
      </c>
      <c r="B563" s="35">
        <f t="array" ref="B563">XLOOKUP(A563,IMDB_Movies!I$2:I$3493,IMDB_Movies!Q$2:Q$3493)</f>
        <v>0</v>
      </c>
      <c r="E563" s="20" t="s">
        <v>2242</v>
      </c>
      <c r="F563" s="36">
        <f t="array" ref="F563">XLOOKUP(A563,IMDB_Movies!I$2:I$3493,IMDB_Movies!P$2:P$3493)</f>
        <v>50328194</v>
      </c>
    </row>
    <row r="564">
      <c r="A564" s="32" t="s">
        <v>2246</v>
      </c>
      <c r="B564" s="35">
        <f t="array" ref="B564">XLOOKUP(A564,IMDB_Movies!I$2:I$3493,IMDB_Movies!Q$2:Q$3493)</f>
        <v>12617007</v>
      </c>
      <c r="E564" s="32" t="s">
        <v>2246</v>
      </c>
      <c r="F564" s="36">
        <f t="array" ref="F564">XLOOKUP(A564,IMDB_Movies!I$2:I$3493,IMDB_Movies!P$2:P$3493)</f>
        <v>0</v>
      </c>
    </row>
    <row r="565">
      <c r="A565" s="11" t="s">
        <v>2250</v>
      </c>
      <c r="B565" s="35">
        <f t="array" ref="B565">XLOOKUP(A565,IMDB_Movies!I$2:I$3493,IMDB_Movies!Q$2:Q$3493)</f>
        <v>0</v>
      </c>
      <c r="E565" s="11" t="s">
        <v>2250</v>
      </c>
      <c r="F565" s="36">
        <f t="array" ref="F565">XLOOKUP(A565,IMDB_Movies!I$2:I$3493,IMDB_Movies!P$2:P$3493)</f>
        <v>224196</v>
      </c>
    </row>
    <row r="566">
      <c r="A566" s="24" t="s">
        <v>2253</v>
      </c>
      <c r="B566" s="35">
        <f t="array" ref="B566">XLOOKUP(A566,IMDB_Movies!I$2:I$3493,IMDB_Movies!Q$2:Q$3493)</f>
        <v>14003282</v>
      </c>
      <c r="E566" s="24" t="s">
        <v>2253</v>
      </c>
      <c r="F566" s="36">
        <f t="array" ref="F566">XLOOKUP(A566,IMDB_Movies!I$2:I$3493,IMDB_Movies!P$2:P$3493)</f>
        <v>0</v>
      </c>
    </row>
    <row r="567">
      <c r="A567" s="11" t="s">
        <v>2256</v>
      </c>
      <c r="B567" s="35">
        <f t="array" ref="B567">XLOOKUP(A567,IMDB_Movies!I$2:I$3493,IMDB_Movies!Q$2:Q$3493)</f>
        <v>8830469</v>
      </c>
      <c r="E567" s="11" t="s">
        <v>2256</v>
      </c>
      <c r="F567" s="36">
        <f t="array" ref="F567">XLOOKUP(A567,IMDB_Movies!I$2:I$3493,IMDB_Movies!P$2:P$3493)</f>
        <v>0</v>
      </c>
    </row>
    <row r="568">
      <c r="A568" s="32" t="s">
        <v>2260</v>
      </c>
      <c r="B568" s="35">
        <f t="array" ref="B568">XLOOKUP(A568,IMDB_Movies!I$2:I$3493,IMDB_Movies!Q$2:Q$3493)</f>
        <v>0</v>
      </c>
      <c r="E568" s="32" t="s">
        <v>2260</v>
      </c>
      <c r="F568" s="36">
        <f t="array" ref="F568">XLOOKUP(A568,IMDB_Movies!I$2:I$3493,IMDB_Movies!P$2:P$3493)</f>
        <v>49001297</v>
      </c>
    </row>
    <row r="569">
      <c r="A569" s="24" t="s">
        <v>2262</v>
      </c>
      <c r="B569" s="35">
        <f t="array" ref="B569">XLOOKUP(A569,IMDB_Movies!I$2:I$3493,IMDB_Movies!Q$2:Q$3493)</f>
        <v>10265197</v>
      </c>
      <c r="E569" s="24" t="s">
        <v>2262</v>
      </c>
      <c r="F569" s="36">
        <f t="array" ref="F569">XLOOKUP(A569,IMDB_Movies!I$2:I$3493,IMDB_Movies!P$2:P$3493)</f>
        <v>0</v>
      </c>
    </row>
    <row r="570">
      <c r="A570" s="11" t="s">
        <v>2265</v>
      </c>
      <c r="B570" s="35">
        <f t="array" ref="B570">XLOOKUP(A570,IMDB_Movies!I$2:I$3493,IMDB_Movies!Q$2:Q$3493)</f>
        <v>3525492</v>
      </c>
      <c r="E570" s="11" t="s">
        <v>2265</v>
      </c>
      <c r="F570" s="36">
        <f t="array" ref="F570">XLOOKUP(A570,IMDB_Movies!I$2:I$3493,IMDB_Movies!P$2:P$3493)</f>
        <v>0</v>
      </c>
    </row>
    <row r="571">
      <c r="A571" s="28" t="s">
        <v>2267</v>
      </c>
      <c r="B571" s="35">
        <f t="array" ref="B571">XLOOKUP(A571,IMDB_Movies!I$2:I$3493,IMDB_Movies!Q$2:Q$3493)</f>
        <v>0</v>
      </c>
      <c r="E571" s="28" t="s">
        <v>2267</v>
      </c>
      <c r="F571" s="36">
        <f t="array" ref="F571">XLOOKUP(A571,IMDB_Movies!I$2:I$3493,IMDB_Movies!P$2:P$3493)</f>
        <v>163130696</v>
      </c>
    </row>
    <row r="572">
      <c r="A572" s="20" t="s">
        <v>2271</v>
      </c>
      <c r="B572" s="35">
        <f t="array" ref="B572">XLOOKUP(A572,IMDB_Movies!I$2:I$3493,IMDB_Movies!Q$2:Q$3493)</f>
        <v>3943898</v>
      </c>
      <c r="E572" s="20" t="s">
        <v>2271</v>
      </c>
      <c r="F572" s="36">
        <f t="array" ref="F572">XLOOKUP(A572,IMDB_Movies!I$2:I$3493,IMDB_Movies!P$2:P$3493)</f>
        <v>0</v>
      </c>
    </row>
    <row r="573">
      <c r="A573" s="11" t="s">
        <v>2273</v>
      </c>
      <c r="B573" s="35">
        <f t="array" ref="B573">XLOOKUP(A573,IMDB_Movies!I$2:I$3493,IMDB_Movies!Q$2:Q$3493)</f>
        <v>0</v>
      </c>
      <c r="E573" s="11" t="s">
        <v>2273</v>
      </c>
      <c r="F573" s="36">
        <f t="array" ref="F573">XLOOKUP(A573,IMDB_Movies!I$2:I$3493,IMDB_Movies!P$2:P$3493)</f>
        <v>87620724</v>
      </c>
    </row>
    <row r="574">
      <c r="A574" s="24" t="s">
        <v>2276</v>
      </c>
      <c r="B574" s="35">
        <f t="array" ref="B574">XLOOKUP(A574,IMDB_Movies!I$2:I$3493,IMDB_Movies!Q$2:Q$3493)</f>
        <v>0</v>
      </c>
      <c r="E574" s="24" t="s">
        <v>2276</v>
      </c>
      <c r="F574" s="36">
        <f t="array" ref="F574">XLOOKUP(A574,IMDB_Movies!I$2:I$3493,IMDB_Movies!P$2:P$3493)</f>
        <v>42792677</v>
      </c>
    </row>
    <row r="575">
      <c r="A575" s="11" t="s">
        <v>2280</v>
      </c>
      <c r="B575" s="35">
        <f t="array" ref="B575">XLOOKUP(A575,IMDB_Movies!I$2:I$3493,IMDB_Movies!Q$2:Q$3493)</f>
        <v>0</v>
      </c>
      <c r="E575" s="11" t="s">
        <v>2280</v>
      </c>
      <c r="F575" s="36">
        <f t="array" ref="F575">XLOOKUP(A575,IMDB_Movies!I$2:I$3493,IMDB_Movies!P$2:P$3493)</f>
        <v>37536959</v>
      </c>
    </row>
    <row r="576">
      <c r="A576" s="16" t="s">
        <v>2282</v>
      </c>
      <c r="B576" s="35">
        <f t="array" ref="B576">XLOOKUP(A576,IMDB_Movies!I$2:I$3493,IMDB_Movies!Q$2:Q$3493)</f>
        <v>8517793</v>
      </c>
      <c r="E576" s="16" t="s">
        <v>2282</v>
      </c>
      <c r="F576" s="36">
        <f t="array" ref="F576">XLOOKUP(A576,IMDB_Movies!I$2:I$3493,IMDB_Movies!P$2:P$3493)</f>
        <v>0</v>
      </c>
    </row>
    <row r="577">
      <c r="A577" s="20" t="s">
        <v>2287</v>
      </c>
      <c r="B577" s="35">
        <f t="array" ref="B577">XLOOKUP(A577,IMDB_Movies!I$2:I$3493,IMDB_Movies!Q$2:Q$3493)</f>
        <v>0</v>
      </c>
      <c r="E577" s="20" t="s">
        <v>2287</v>
      </c>
      <c r="F577" s="36">
        <f t="array" ref="F577">XLOOKUP(A577,IMDB_Movies!I$2:I$3493,IMDB_Movies!P$2:P$3493)</f>
        <v>25916903</v>
      </c>
    </row>
    <row r="578">
      <c r="A578" s="32" t="s">
        <v>2291</v>
      </c>
      <c r="B578" s="35">
        <f t="array" ref="B578">XLOOKUP(A578,IMDB_Movies!I$2:I$3493,IMDB_Movies!Q$2:Q$3493)</f>
        <v>1398153</v>
      </c>
      <c r="E578" s="32" t="s">
        <v>2291</v>
      </c>
      <c r="F578" s="36">
        <f t="array" ref="F578">XLOOKUP(A578,IMDB_Movies!I$2:I$3493,IMDB_Movies!P$2:P$3493)</f>
        <v>0</v>
      </c>
    </row>
    <row r="579">
      <c r="A579" s="20" t="s">
        <v>2296</v>
      </c>
      <c r="B579" s="35">
        <f t="array" ref="B579">XLOOKUP(A579,IMDB_Movies!I$2:I$3493,IMDB_Movies!Q$2:Q$3493)</f>
        <v>5382932</v>
      </c>
      <c r="E579" s="20" t="s">
        <v>2296</v>
      </c>
      <c r="F579" s="36">
        <f t="array" ref="F579">XLOOKUP(A579,IMDB_Movies!I$2:I$3493,IMDB_Movies!P$2:P$3493)</f>
        <v>0</v>
      </c>
    </row>
    <row r="580">
      <c r="A580" s="20" t="s">
        <v>2300</v>
      </c>
      <c r="B580" s="35">
        <f t="array" ref="B580">XLOOKUP(A580,IMDB_Movies!I$2:I$3493,IMDB_Movies!Q$2:Q$3493)</f>
        <v>354460</v>
      </c>
      <c r="E580" s="20" t="s">
        <v>2300</v>
      </c>
      <c r="F580" s="36">
        <f t="array" ref="F580">XLOOKUP(A580,IMDB_Movies!I$2:I$3493,IMDB_Movies!P$2:P$3493)</f>
        <v>0</v>
      </c>
    </row>
    <row r="581">
      <c r="A581" s="11" t="s">
        <v>2303</v>
      </c>
      <c r="B581" s="35">
        <f t="array" ref="B581">XLOOKUP(A581,IMDB_Movies!I$2:I$3493,IMDB_Movies!Q$2:Q$3493)</f>
        <v>774089</v>
      </c>
      <c r="E581" s="11" t="s">
        <v>2303</v>
      </c>
      <c r="F581" s="36">
        <f t="array" ref="F581">XLOOKUP(A581,IMDB_Movies!I$2:I$3493,IMDB_Movies!P$2:P$3493)</f>
        <v>0</v>
      </c>
    </row>
    <row r="582">
      <c r="A582" s="20" t="s">
        <v>2305</v>
      </c>
      <c r="B582" s="35">
        <f t="array" ref="B582">XLOOKUP(A582,IMDB_Movies!I$2:I$3493,IMDB_Movies!Q$2:Q$3493)</f>
        <v>0</v>
      </c>
      <c r="E582" s="20" t="s">
        <v>2305</v>
      </c>
      <c r="F582" s="36">
        <f t="array" ref="F582">XLOOKUP(A582,IMDB_Movies!I$2:I$3493,IMDB_Movies!P$2:P$3493)</f>
        <v>56306973</v>
      </c>
    </row>
    <row r="583">
      <c r="A583" s="20" t="s">
        <v>2310</v>
      </c>
      <c r="B583" s="35">
        <f t="array" ref="B583">XLOOKUP(A583,IMDB_Movies!I$2:I$3493,IMDB_Movies!Q$2:Q$3493)</f>
        <v>569815</v>
      </c>
      <c r="E583" s="20" t="s">
        <v>2310</v>
      </c>
      <c r="F583" s="36">
        <f t="array" ref="F583">XLOOKUP(A583,IMDB_Movies!I$2:I$3493,IMDB_Movies!P$2:P$3493)</f>
        <v>0</v>
      </c>
    </row>
    <row r="584">
      <c r="A584" s="11" t="s">
        <v>2314</v>
      </c>
      <c r="B584" s="35">
        <f t="array" ref="B584">XLOOKUP(A584,IMDB_Movies!I$2:I$3493,IMDB_Movies!Q$2:Q$3493)</f>
        <v>6935774</v>
      </c>
      <c r="E584" s="11" t="s">
        <v>2314</v>
      </c>
      <c r="F584" s="36">
        <f t="array" ref="F584">XLOOKUP(A584,IMDB_Movies!I$2:I$3493,IMDB_Movies!P$2:P$3493)</f>
        <v>0</v>
      </c>
    </row>
    <row r="585">
      <c r="A585" s="11" t="s">
        <v>2317</v>
      </c>
      <c r="B585" s="35">
        <f t="array" ref="B585">XLOOKUP(A585,IMDB_Movies!I$2:I$3493,IMDB_Movies!Q$2:Q$3493)</f>
        <v>14247275</v>
      </c>
      <c r="E585" s="11" t="s">
        <v>2317</v>
      </c>
      <c r="F585" s="36">
        <f t="array" ref="F585">XLOOKUP(A585,IMDB_Movies!I$2:I$3493,IMDB_Movies!P$2:P$3493)</f>
        <v>0</v>
      </c>
    </row>
    <row r="586">
      <c r="A586" s="20" t="s">
        <v>2321</v>
      </c>
      <c r="B586" s="35">
        <f t="array" ref="B586">XLOOKUP(A586,IMDB_Movies!I$2:I$3493,IMDB_Movies!Q$2:Q$3493)</f>
        <v>736141</v>
      </c>
      <c r="E586" s="20" t="s">
        <v>2321</v>
      </c>
      <c r="F586" s="36">
        <f t="array" ref="F586">XLOOKUP(A586,IMDB_Movies!I$2:I$3493,IMDB_Movies!P$2:P$3493)</f>
        <v>0</v>
      </c>
    </row>
    <row r="587">
      <c r="A587" s="11" t="s">
        <v>2326</v>
      </c>
      <c r="B587" s="35">
        <f t="array" ref="B587">XLOOKUP(A587,IMDB_Movies!I$2:I$3493,IMDB_Movies!Q$2:Q$3493)</f>
        <v>0</v>
      </c>
      <c r="E587" s="11" t="s">
        <v>2326</v>
      </c>
      <c r="F587" s="36">
        <f t="array" ref="F587">XLOOKUP(A587,IMDB_Movies!I$2:I$3493,IMDB_Movies!P$2:P$3493)</f>
        <v>259297</v>
      </c>
    </row>
    <row r="588">
      <c r="A588" s="20" t="s">
        <v>2329</v>
      </c>
      <c r="B588" s="35">
        <f t="array" ref="B588">XLOOKUP(A588,IMDB_Movies!I$2:I$3493,IMDB_Movies!Q$2:Q$3493)</f>
        <v>0</v>
      </c>
      <c r="E588" s="20" t="s">
        <v>2329</v>
      </c>
      <c r="F588" s="36">
        <f t="array" ref="F588">XLOOKUP(A588,IMDB_Movies!I$2:I$3493,IMDB_Movies!P$2:P$3493)</f>
        <v>22133888</v>
      </c>
    </row>
    <row r="589">
      <c r="A589" s="24" t="s">
        <v>2333</v>
      </c>
      <c r="B589" s="35">
        <f t="array" ref="B589">XLOOKUP(A589,IMDB_Movies!I$2:I$3493,IMDB_Movies!Q$2:Q$3493)</f>
        <v>4591178</v>
      </c>
      <c r="E589" s="24" t="s">
        <v>2333</v>
      </c>
      <c r="F589" s="36">
        <f t="array" ref="F589">XLOOKUP(A589,IMDB_Movies!I$2:I$3493,IMDB_Movies!P$2:P$3493)</f>
        <v>0</v>
      </c>
    </row>
    <row r="590">
      <c r="A590" s="24" t="s">
        <v>2336</v>
      </c>
      <c r="B590" s="35">
        <f t="array" ref="B590">XLOOKUP(A590,IMDB_Movies!I$2:I$3493,IMDB_Movies!Q$2:Q$3493)</f>
        <v>0</v>
      </c>
      <c r="E590" s="24" t="s">
        <v>2336</v>
      </c>
      <c r="F590" s="36">
        <f t="array" ref="F590">XLOOKUP(A590,IMDB_Movies!I$2:I$3493,IMDB_Movies!P$2:P$3493)</f>
        <v>39567722</v>
      </c>
    </row>
    <row r="591">
      <c r="A591" s="28" t="s">
        <v>2340</v>
      </c>
      <c r="B591" s="35">
        <f t="array" ref="B591">XLOOKUP(A591,IMDB_Movies!I$2:I$3493,IMDB_Movies!Q$2:Q$3493)</f>
        <v>0</v>
      </c>
      <c r="E591" s="28" t="s">
        <v>2340</v>
      </c>
      <c r="F591" s="36">
        <f t="array" ref="F591">XLOOKUP(A591,IMDB_Movies!I$2:I$3493,IMDB_Movies!P$2:P$3493)</f>
        <v>10985501</v>
      </c>
    </row>
    <row r="592">
      <c r="A592" s="16" t="s">
        <v>2343</v>
      </c>
      <c r="B592" s="35">
        <f t="array" ref="B592">XLOOKUP(A592,IMDB_Movies!I$2:I$3493,IMDB_Movies!Q$2:Q$3493)</f>
        <v>23927</v>
      </c>
      <c r="E592" s="16" t="s">
        <v>2343</v>
      </c>
      <c r="F592" s="36">
        <f t="array" ref="F592">XLOOKUP(A592,IMDB_Movies!I$2:I$3493,IMDB_Movies!P$2:P$3493)</f>
        <v>0</v>
      </c>
    </row>
    <row r="593">
      <c r="A593" s="11" t="s">
        <v>2346</v>
      </c>
      <c r="B593" s="35">
        <f t="array" ref="B593">XLOOKUP(A593,IMDB_Movies!I$2:I$3493,IMDB_Movies!Q$2:Q$3493)</f>
        <v>14971130</v>
      </c>
      <c r="E593" s="11" t="s">
        <v>2346</v>
      </c>
      <c r="F593" s="36">
        <f t="array" ref="F593">XLOOKUP(A593,IMDB_Movies!I$2:I$3493,IMDB_Movies!P$2:P$3493)</f>
        <v>0</v>
      </c>
    </row>
    <row r="594">
      <c r="A594" s="32" t="s">
        <v>2350</v>
      </c>
      <c r="B594" s="35">
        <f t="array" ref="B594">XLOOKUP(A594,IMDB_Movies!I$2:I$3493,IMDB_Movies!Q$2:Q$3493)</f>
        <v>0</v>
      </c>
      <c r="E594" s="32" t="s">
        <v>2350</v>
      </c>
      <c r="F594" s="36">
        <f t="array" ref="F594">XLOOKUP(A594,IMDB_Movies!I$2:I$3493,IMDB_Movies!P$2:P$3493)</f>
        <v>106573705</v>
      </c>
    </row>
    <row r="595">
      <c r="A595" s="20" t="s">
        <v>2354</v>
      </c>
      <c r="B595" s="35">
        <f t="array" ref="B595">XLOOKUP(A595,IMDB_Movies!I$2:I$3493,IMDB_Movies!Q$2:Q$3493)</f>
        <v>1081047</v>
      </c>
      <c r="E595" s="20" t="s">
        <v>2354</v>
      </c>
      <c r="F595" s="36">
        <f t="array" ref="F595">XLOOKUP(A595,IMDB_Movies!I$2:I$3493,IMDB_Movies!P$2:P$3493)</f>
        <v>0</v>
      </c>
    </row>
    <row r="596">
      <c r="A596" s="20" t="s">
        <v>2357</v>
      </c>
      <c r="B596" s="35">
        <f t="array" ref="B596">XLOOKUP(A596,IMDB_Movies!I$2:I$3493,IMDB_Movies!Q$2:Q$3493)</f>
        <v>0</v>
      </c>
      <c r="E596" s="20" t="s">
        <v>2357</v>
      </c>
      <c r="F596" s="36">
        <f t="array" ref="F596">XLOOKUP(A596,IMDB_Movies!I$2:I$3493,IMDB_Movies!P$2:P$3493)</f>
        <v>32356857</v>
      </c>
    </row>
    <row r="597">
      <c r="A597" s="11" t="s">
        <v>2361</v>
      </c>
      <c r="B597" s="35">
        <f t="array" ref="B597">XLOOKUP(A597,IMDB_Movies!I$2:I$3493,IMDB_Movies!Q$2:Q$3493)</f>
        <v>7668682</v>
      </c>
      <c r="E597" s="11" t="s">
        <v>2361</v>
      </c>
      <c r="F597" s="36">
        <f t="array" ref="F597">XLOOKUP(A597,IMDB_Movies!I$2:I$3493,IMDB_Movies!P$2:P$3493)</f>
        <v>0</v>
      </c>
    </row>
    <row r="598">
      <c r="A598" s="11" t="s">
        <v>2365</v>
      </c>
      <c r="B598" s="35">
        <f t="array" ref="B598">XLOOKUP(A598,IMDB_Movies!I$2:I$3493,IMDB_Movies!Q$2:Q$3493)</f>
        <v>0</v>
      </c>
      <c r="E598" s="11" t="s">
        <v>2365</v>
      </c>
      <c r="F598" s="36">
        <f t="array" ref="F598">XLOOKUP(A598,IMDB_Movies!I$2:I$3493,IMDB_Movies!P$2:P$3493)</f>
        <v>17603594</v>
      </c>
    </row>
    <row r="599">
      <c r="A599" s="11" t="s">
        <v>2369</v>
      </c>
      <c r="B599" s="35">
        <f t="array" ref="B599">XLOOKUP(A599,IMDB_Movies!I$2:I$3493,IMDB_Movies!Q$2:Q$3493)</f>
        <v>0</v>
      </c>
      <c r="E599" s="11" t="s">
        <v>2369</v>
      </c>
      <c r="F599" s="36">
        <f t="array" ref="F599">XLOOKUP(A599,IMDB_Movies!I$2:I$3493,IMDB_Movies!P$2:P$3493)</f>
        <v>25601508</v>
      </c>
    </row>
    <row r="600">
      <c r="A600" s="11" t="s">
        <v>2373</v>
      </c>
      <c r="B600" s="35">
        <f t="array" ref="B600">XLOOKUP(A600,IMDB_Movies!I$2:I$3493,IMDB_Movies!Q$2:Q$3493)</f>
        <v>7484640</v>
      </c>
      <c r="E600" s="11" t="s">
        <v>2373</v>
      </c>
      <c r="F600" s="36">
        <f t="array" ref="F600">XLOOKUP(A600,IMDB_Movies!I$2:I$3493,IMDB_Movies!P$2:P$3493)</f>
        <v>0</v>
      </c>
    </row>
    <row r="601">
      <c r="A601" s="11" t="s">
        <v>2377</v>
      </c>
      <c r="B601" s="35">
        <f t="array" ref="B601">XLOOKUP(A601,IMDB_Movies!I$2:I$3493,IMDB_Movies!Q$2:Q$3493)</f>
        <v>0</v>
      </c>
      <c r="E601" s="11" t="s">
        <v>2377</v>
      </c>
      <c r="F601" s="36">
        <f t="array" ref="F601">XLOOKUP(A601,IMDB_Movies!I$2:I$3493,IMDB_Movies!P$2:P$3493)</f>
        <v>8168741</v>
      </c>
    </row>
    <row r="602">
      <c r="A602" s="11" t="s">
        <v>2381</v>
      </c>
      <c r="B602" s="35">
        <f t="array" ref="B602">XLOOKUP(A602,IMDB_Movies!I$2:I$3493,IMDB_Movies!Q$2:Q$3493)</f>
        <v>26623494</v>
      </c>
      <c r="E602" s="11" t="s">
        <v>2381</v>
      </c>
      <c r="F602" s="36">
        <f t="array" ref="F602">XLOOKUP(A602,IMDB_Movies!I$2:I$3493,IMDB_Movies!P$2:P$3493)</f>
        <v>0</v>
      </c>
    </row>
    <row r="603">
      <c r="A603" s="11" t="s">
        <v>2386</v>
      </c>
      <c r="B603" s="35">
        <f t="array" ref="B603">XLOOKUP(A603,IMDB_Movies!I$2:I$3493,IMDB_Movies!Q$2:Q$3493)</f>
        <v>10899350</v>
      </c>
      <c r="E603" s="11" t="s">
        <v>2386</v>
      </c>
      <c r="F603" s="36">
        <f t="array" ref="F603">XLOOKUP(A603,IMDB_Movies!I$2:I$3493,IMDB_Movies!P$2:P$3493)</f>
        <v>0</v>
      </c>
    </row>
    <row r="604">
      <c r="A604" s="11" t="s">
        <v>2389</v>
      </c>
      <c r="B604" s="35">
        <f t="array" ref="B604">XLOOKUP(A604,IMDB_Movies!I$2:I$3493,IMDB_Movies!Q$2:Q$3493)</f>
        <v>11478165</v>
      </c>
      <c r="E604" s="11" t="s">
        <v>2389</v>
      </c>
      <c r="F604" s="36">
        <f t="array" ref="F604">XLOOKUP(A604,IMDB_Movies!I$2:I$3493,IMDB_Movies!P$2:P$3493)</f>
        <v>0</v>
      </c>
    </row>
    <row r="605">
      <c r="A605" s="24" t="s">
        <v>2393</v>
      </c>
      <c r="B605" s="35">
        <f t="array" ref="B605">XLOOKUP(A605,IMDB_Movies!I$2:I$3493,IMDB_Movies!Q$2:Q$3493)</f>
        <v>0</v>
      </c>
      <c r="E605" s="24" t="s">
        <v>2393</v>
      </c>
      <c r="F605" s="36">
        <f t="array" ref="F605">XLOOKUP(A605,IMDB_Movies!I$2:I$3493,IMDB_Movies!P$2:P$3493)</f>
        <v>9881000</v>
      </c>
    </row>
    <row r="606">
      <c r="A606" s="24" t="s">
        <v>2395</v>
      </c>
      <c r="B606" s="35">
        <f t="array" ref="B606">XLOOKUP(A606,IMDB_Movies!I$2:I$3493,IMDB_Movies!Q$2:Q$3493)</f>
        <v>21467706</v>
      </c>
      <c r="E606" s="24" t="s">
        <v>2395</v>
      </c>
      <c r="F606" s="36">
        <f t="array" ref="F606">XLOOKUP(A606,IMDB_Movies!I$2:I$3493,IMDB_Movies!P$2:P$3493)</f>
        <v>0</v>
      </c>
    </row>
    <row r="607">
      <c r="A607" s="16" t="s">
        <v>2398</v>
      </c>
      <c r="B607" s="35">
        <f t="array" ref="B607">XLOOKUP(A607,IMDB_Movies!I$2:I$3493,IMDB_Movies!Q$2:Q$3493)</f>
        <v>8549125</v>
      </c>
      <c r="E607" s="16" t="s">
        <v>2398</v>
      </c>
      <c r="F607" s="36">
        <f t="array" ref="F607">XLOOKUP(A607,IMDB_Movies!I$2:I$3493,IMDB_Movies!P$2:P$3493)</f>
        <v>0</v>
      </c>
    </row>
    <row r="608">
      <c r="A608" s="16" t="s">
        <v>2402</v>
      </c>
      <c r="B608" s="35">
        <f t="array" ref="B608">XLOOKUP(A608,IMDB_Movies!I$2:I$3493,IMDB_Movies!Q$2:Q$3493)</f>
        <v>0</v>
      </c>
      <c r="E608" s="16" t="s">
        <v>2402</v>
      </c>
      <c r="F608" s="36">
        <f t="array" ref="F608">XLOOKUP(A608,IMDB_Movies!I$2:I$3493,IMDB_Movies!P$2:P$3493)</f>
        <v>44715371</v>
      </c>
    </row>
    <row r="609">
      <c r="A609" s="16" t="s">
        <v>2407</v>
      </c>
      <c r="B609" s="35">
        <f t="array" ref="B609">XLOOKUP(A609,IMDB_Movies!I$2:I$3493,IMDB_Movies!Q$2:Q$3493)</f>
        <v>0</v>
      </c>
      <c r="E609" s="16" t="s">
        <v>2407</v>
      </c>
      <c r="F609" s="36">
        <f t="array" ref="F609">XLOOKUP(A609,IMDB_Movies!I$2:I$3493,IMDB_Movies!P$2:P$3493)</f>
        <v>39052600</v>
      </c>
    </row>
    <row r="610">
      <c r="A610" s="28" t="s">
        <v>2410</v>
      </c>
      <c r="B610" s="35">
        <f t="array" ref="B610">XLOOKUP(A610,IMDB_Movies!I$2:I$3493,IMDB_Movies!Q$2:Q$3493)</f>
        <v>0</v>
      </c>
      <c r="E610" s="28" t="s">
        <v>2410</v>
      </c>
      <c r="F610" s="36">
        <f t="array" ref="F610">XLOOKUP(A610,IMDB_Movies!I$2:I$3493,IMDB_Movies!P$2:P$3493)</f>
        <v>7277055</v>
      </c>
    </row>
    <row r="611">
      <c r="A611" s="32" t="s">
        <v>2412</v>
      </c>
      <c r="B611" s="35">
        <f t="array" ref="B611">XLOOKUP(A611,IMDB_Movies!I$2:I$3493,IMDB_Movies!Q$2:Q$3493)</f>
        <v>24860746</v>
      </c>
      <c r="E611" s="32" t="s">
        <v>2412</v>
      </c>
      <c r="F611" s="36">
        <f t="array" ref="F611">XLOOKUP(A611,IMDB_Movies!I$2:I$3493,IMDB_Movies!P$2:P$3493)</f>
        <v>0</v>
      </c>
    </row>
    <row r="612">
      <c r="A612" s="24" t="s">
        <v>2415</v>
      </c>
      <c r="B612" s="35">
        <f t="array" ref="B612">XLOOKUP(A612,IMDB_Movies!I$2:I$3493,IMDB_Movies!Q$2:Q$3493)</f>
        <v>0</v>
      </c>
      <c r="E612" s="24" t="s">
        <v>2415</v>
      </c>
      <c r="F612" s="36">
        <f t="array" ref="F612">XLOOKUP(A612,IMDB_Movies!I$2:I$3493,IMDB_Movies!P$2:P$3493)</f>
        <v>203020</v>
      </c>
    </row>
    <row r="613">
      <c r="A613" s="24" t="s">
        <v>2418</v>
      </c>
      <c r="B613" s="35">
        <f t="array" ref="B613">XLOOKUP(A613,IMDB_Movies!I$2:I$3493,IMDB_Movies!Q$2:Q$3493)</f>
        <v>27251390</v>
      </c>
      <c r="E613" s="24" t="s">
        <v>2418</v>
      </c>
      <c r="F613" s="36">
        <f t="array" ref="F613">XLOOKUP(A613,IMDB_Movies!I$2:I$3493,IMDB_Movies!P$2:P$3493)</f>
        <v>0</v>
      </c>
    </row>
    <row r="614">
      <c r="A614" s="32" t="s">
        <v>2422</v>
      </c>
      <c r="B614" s="35">
        <f t="array" ref="B614">XLOOKUP(A614,IMDB_Movies!I$2:I$3493,IMDB_Movies!Q$2:Q$3493)</f>
        <v>60432117</v>
      </c>
      <c r="E614" s="32" t="s">
        <v>2422</v>
      </c>
      <c r="F614" s="36">
        <f t="array" ref="F614">XLOOKUP(A614,IMDB_Movies!I$2:I$3493,IMDB_Movies!P$2:P$3493)</f>
        <v>0</v>
      </c>
    </row>
    <row r="615">
      <c r="A615" s="16" t="s">
        <v>2424</v>
      </c>
      <c r="B615" s="35">
        <f t="array" ref="B615">XLOOKUP(A615,IMDB_Movies!I$2:I$3493,IMDB_Movies!Q$2:Q$3493)</f>
        <v>8163255</v>
      </c>
      <c r="E615" s="16" t="s">
        <v>2424</v>
      </c>
      <c r="F615" s="36">
        <f t="array" ref="F615">XLOOKUP(A615,IMDB_Movies!I$2:I$3493,IMDB_Movies!P$2:P$3493)</f>
        <v>0</v>
      </c>
    </row>
    <row r="616">
      <c r="A616" s="11" t="s">
        <v>2428</v>
      </c>
      <c r="B616" s="35">
        <f t="array" ref="B616">XLOOKUP(A616,IMDB_Movies!I$2:I$3493,IMDB_Movies!Q$2:Q$3493)</f>
        <v>14600121</v>
      </c>
      <c r="E616" s="11" t="s">
        <v>2428</v>
      </c>
      <c r="F616" s="36">
        <f t="array" ref="F616">XLOOKUP(A616,IMDB_Movies!I$2:I$3493,IMDB_Movies!P$2:P$3493)</f>
        <v>0</v>
      </c>
    </row>
    <row r="617">
      <c r="A617" s="28" t="s">
        <v>2432</v>
      </c>
      <c r="B617" s="35">
        <f t="array" ref="B617">XLOOKUP(A617,IMDB_Movies!I$2:I$3493,IMDB_Movies!Q$2:Q$3493)</f>
        <v>0</v>
      </c>
      <c r="E617" s="28" t="s">
        <v>2432</v>
      </c>
      <c r="F617" s="36">
        <f t="array" ref="F617">XLOOKUP(A617,IMDB_Movies!I$2:I$3493,IMDB_Movies!P$2:P$3493)</f>
        <v>117979556</v>
      </c>
    </row>
    <row r="618">
      <c r="A618" s="24" t="s">
        <v>2434</v>
      </c>
      <c r="B618" s="35">
        <f t="array" ref="B618">XLOOKUP(A618,IMDB_Movies!I$2:I$3493,IMDB_Movies!Q$2:Q$3493)</f>
        <v>0</v>
      </c>
      <c r="E618" s="24" t="s">
        <v>2434</v>
      </c>
      <c r="F618" s="36">
        <f t="array" ref="F618">XLOOKUP(A618,IMDB_Movies!I$2:I$3493,IMDB_Movies!P$2:P$3493)</f>
        <v>52100855</v>
      </c>
    </row>
    <row r="619">
      <c r="A619" s="11" t="s">
        <v>2438</v>
      </c>
      <c r="B619" s="35">
        <f t="array" ref="B619">XLOOKUP(A619,IMDB_Movies!I$2:I$3493,IMDB_Movies!Q$2:Q$3493)</f>
        <v>6662701</v>
      </c>
      <c r="E619" s="11" t="s">
        <v>2438</v>
      </c>
      <c r="F619" s="36">
        <f t="array" ref="F619">XLOOKUP(A619,IMDB_Movies!I$2:I$3493,IMDB_Movies!P$2:P$3493)</f>
        <v>0</v>
      </c>
    </row>
    <row r="620">
      <c r="A620" s="16" t="s">
        <v>2441</v>
      </c>
      <c r="B620" s="35">
        <f t="array" ref="B620">XLOOKUP(A620,IMDB_Movies!I$2:I$3493,IMDB_Movies!Q$2:Q$3493)</f>
        <v>0</v>
      </c>
      <c r="E620" s="16" t="s">
        <v>2441</v>
      </c>
      <c r="F620" s="36">
        <f t="array" ref="F620">XLOOKUP(A620,IMDB_Movies!I$2:I$3493,IMDB_Movies!P$2:P$3493)</f>
        <v>28328558</v>
      </c>
    </row>
    <row r="621">
      <c r="A621" s="11" t="s">
        <v>2444</v>
      </c>
      <c r="B621" s="35">
        <f t="array" ref="B621">XLOOKUP(A621,IMDB_Movies!I$2:I$3493,IMDB_Movies!Q$2:Q$3493)</f>
        <v>0</v>
      </c>
      <c r="E621" s="11" t="s">
        <v>2444</v>
      </c>
      <c r="F621" s="36">
        <f t="array" ref="F621">XLOOKUP(A621,IMDB_Movies!I$2:I$3493,IMDB_Movies!P$2:P$3493)</f>
        <v>52245055</v>
      </c>
    </row>
    <row r="622">
      <c r="A622" s="28" t="s">
        <v>2448</v>
      </c>
      <c r="B622" s="35">
        <f t="array" ref="B622">XLOOKUP(A622,IMDB_Movies!I$2:I$3493,IMDB_Movies!Q$2:Q$3493)</f>
        <v>12796359</v>
      </c>
      <c r="E622" s="28" t="s">
        <v>2448</v>
      </c>
      <c r="F622" s="36">
        <f t="array" ref="F622">XLOOKUP(A622,IMDB_Movies!I$2:I$3493,IMDB_Movies!P$2:P$3493)</f>
        <v>0</v>
      </c>
    </row>
    <row r="623">
      <c r="A623" s="20" t="s">
        <v>2452</v>
      </c>
      <c r="B623" s="35">
        <f t="array" ref="B623">XLOOKUP(A623,IMDB_Movies!I$2:I$3493,IMDB_Movies!Q$2:Q$3493)</f>
        <v>96407585</v>
      </c>
      <c r="E623" s="20" t="s">
        <v>2452</v>
      </c>
      <c r="F623" s="36">
        <f t="array" ref="F623">XLOOKUP(A623,IMDB_Movies!I$2:I$3493,IMDB_Movies!P$2:P$3493)</f>
        <v>0</v>
      </c>
    </row>
    <row r="624">
      <c r="A624" s="24" t="s">
        <v>2457</v>
      </c>
      <c r="B624" s="35">
        <f t="array" ref="B624">XLOOKUP(A624,IMDB_Movies!I$2:I$3493,IMDB_Movies!Q$2:Q$3493)</f>
        <v>0</v>
      </c>
      <c r="E624" s="24" t="s">
        <v>2457</v>
      </c>
      <c r="F624" s="36">
        <f t="array" ref="F624">XLOOKUP(A624,IMDB_Movies!I$2:I$3493,IMDB_Movies!P$2:P$3493)</f>
        <v>11421314</v>
      </c>
    </row>
    <row r="625">
      <c r="A625" s="11" t="s">
        <v>2461</v>
      </c>
      <c r="B625" s="35">
        <f t="array" ref="B625">XLOOKUP(A625,IMDB_Movies!I$2:I$3493,IMDB_Movies!Q$2:Q$3493)</f>
        <v>262699</v>
      </c>
      <c r="E625" s="11" t="s">
        <v>2461</v>
      </c>
      <c r="F625" s="36">
        <f t="array" ref="F625">XLOOKUP(A625,IMDB_Movies!I$2:I$3493,IMDB_Movies!P$2:P$3493)</f>
        <v>0</v>
      </c>
    </row>
    <row r="626">
      <c r="A626" s="16" t="s">
        <v>2465</v>
      </c>
      <c r="B626" s="35">
        <f t="array" ref="B626">XLOOKUP(A626,IMDB_Movies!I$2:I$3493,IMDB_Movies!Q$2:Q$3493)</f>
        <v>0</v>
      </c>
      <c r="E626" s="16" t="s">
        <v>2465</v>
      </c>
      <c r="F626" s="36">
        <f t="array" ref="F626">XLOOKUP(A626,IMDB_Movies!I$2:I$3493,IMDB_Movies!P$2:P$3493)</f>
        <v>40752337</v>
      </c>
    </row>
    <row r="627">
      <c r="A627" s="24" t="s">
        <v>2470</v>
      </c>
      <c r="B627" s="35">
        <f t="array" ref="B627">XLOOKUP(A627,IMDB_Movies!I$2:I$3493,IMDB_Movies!Q$2:Q$3493)</f>
        <v>44995</v>
      </c>
      <c r="E627" s="24" t="s">
        <v>2470</v>
      </c>
      <c r="F627" s="36">
        <f t="array" ref="F627">XLOOKUP(A627,IMDB_Movies!I$2:I$3493,IMDB_Movies!P$2:P$3493)</f>
        <v>0</v>
      </c>
    </row>
    <row r="628">
      <c r="A628" s="28" t="s">
        <v>2475</v>
      </c>
      <c r="B628" s="35">
        <f t="array" ref="B628">XLOOKUP(A628,IMDB_Movies!I$2:I$3493,IMDB_Movies!Q$2:Q$3493)</f>
        <v>15981636</v>
      </c>
      <c r="E628" s="28" t="s">
        <v>2475</v>
      </c>
      <c r="F628" s="36">
        <f t="array" ref="F628">XLOOKUP(A628,IMDB_Movies!I$2:I$3493,IMDB_Movies!P$2:P$3493)</f>
        <v>0</v>
      </c>
    </row>
    <row r="629">
      <c r="A629" s="28" t="s">
        <v>2479</v>
      </c>
      <c r="B629" s="35">
        <f t="array" ref="B629">XLOOKUP(A629,IMDB_Movies!I$2:I$3493,IMDB_Movies!Q$2:Q$3493)</f>
        <v>113021005</v>
      </c>
      <c r="E629" s="28" t="s">
        <v>2479</v>
      </c>
      <c r="F629" s="36">
        <f t="array" ref="F629">XLOOKUP(A629,IMDB_Movies!I$2:I$3493,IMDB_Movies!P$2:P$3493)</f>
        <v>0</v>
      </c>
    </row>
    <row r="630">
      <c r="A630" s="11" t="s">
        <v>2482</v>
      </c>
      <c r="B630" s="35">
        <f t="array" ref="B630">XLOOKUP(A630,IMDB_Movies!I$2:I$3493,IMDB_Movies!Q$2:Q$3493)</f>
        <v>0</v>
      </c>
      <c r="E630" s="11" t="s">
        <v>2482</v>
      </c>
      <c r="F630" s="36">
        <f t="array" ref="F630">XLOOKUP(A630,IMDB_Movies!I$2:I$3493,IMDB_Movies!P$2:P$3493)</f>
        <v>99093296</v>
      </c>
    </row>
    <row r="631">
      <c r="A631" s="20" t="s">
        <v>2485</v>
      </c>
      <c r="B631" s="35">
        <f t="array" ref="B631">XLOOKUP(A631,IMDB_Movies!I$2:I$3493,IMDB_Movies!Q$2:Q$3493)</f>
        <v>0</v>
      </c>
      <c r="E631" s="20" t="s">
        <v>2485</v>
      </c>
      <c r="F631" s="36">
        <f t="array" ref="F631">XLOOKUP(A631,IMDB_Movies!I$2:I$3493,IMDB_Movies!P$2:P$3493)</f>
        <v>11407470</v>
      </c>
    </row>
    <row r="632">
      <c r="A632" s="20" t="s">
        <v>2488</v>
      </c>
      <c r="B632" s="35">
        <f t="array" ref="B632">XLOOKUP(A632,IMDB_Movies!I$2:I$3493,IMDB_Movies!Q$2:Q$3493)</f>
        <v>0</v>
      </c>
      <c r="E632" s="20" t="s">
        <v>2488</v>
      </c>
      <c r="F632" s="36">
        <f t="array" ref="F632">XLOOKUP(A632,IMDB_Movies!I$2:I$3493,IMDB_Movies!P$2:P$3493)</f>
        <v>3057024</v>
      </c>
    </row>
    <row r="633">
      <c r="A633" s="11" t="s">
        <v>2491</v>
      </c>
      <c r="B633" s="35">
        <f t="array" ref="B633">XLOOKUP(A633,IMDB_Movies!I$2:I$3493,IMDB_Movies!Q$2:Q$3493)</f>
        <v>0</v>
      </c>
      <c r="E633" s="11" t="s">
        <v>2491</v>
      </c>
      <c r="F633" s="36">
        <f t="array" ref="F633">XLOOKUP(A633,IMDB_Movies!I$2:I$3493,IMDB_Movies!P$2:P$3493)</f>
        <v>33536011</v>
      </c>
    </row>
    <row r="634">
      <c r="A634" s="11" t="s">
        <v>2494</v>
      </c>
      <c r="B634" s="35">
        <f t="array" ref="B634">XLOOKUP(A634,IMDB_Movies!I$2:I$3493,IMDB_Movies!Q$2:Q$3493)</f>
        <v>47791061</v>
      </c>
      <c r="E634" s="11" t="s">
        <v>2494</v>
      </c>
      <c r="F634" s="36">
        <f t="array" ref="F634">XLOOKUP(A634,IMDB_Movies!I$2:I$3493,IMDB_Movies!P$2:P$3493)</f>
        <v>0</v>
      </c>
    </row>
    <row r="635">
      <c r="A635" s="11" t="s">
        <v>2497</v>
      </c>
      <c r="B635" s="35">
        <f t="array" ref="B635">XLOOKUP(A635,IMDB_Movies!I$2:I$3493,IMDB_Movies!Q$2:Q$3493)</f>
        <v>11526000</v>
      </c>
      <c r="E635" s="11" t="s">
        <v>2497</v>
      </c>
      <c r="F635" s="36">
        <f t="array" ref="F635">XLOOKUP(A635,IMDB_Movies!I$2:I$3493,IMDB_Movies!P$2:P$3493)</f>
        <v>0</v>
      </c>
    </row>
    <row r="636">
      <c r="A636" s="24" t="s">
        <v>2500</v>
      </c>
      <c r="B636" s="35">
        <f t="array" ref="B636">XLOOKUP(A636,IMDB_Movies!I$2:I$3493,IMDB_Movies!Q$2:Q$3493)</f>
        <v>115035182</v>
      </c>
      <c r="E636" s="24" t="s">
        <v>2500</v>
      </c>
      <c r="F636" s="36">
        <f t="array" ref="F636">XLOOKUP(A636,IMDB_Movies!I$2:I$3493,IMDB_Movies!P$2:P$3493)</f>
        <v>0</v>
      </c>
    </row>
    <row r="637">
      <c r="A637" s="11" t="s">
        <v>2503</v>
      </c>
      <c r="B637" s="35">
        <f t="array" ref="B637">XLOOKUP(A637,IMDB_Movies!I$2:I$3493,IMDB_Movies!Q$2:Q$3493)</f>
        <v>0</v>
      </c>
      <c r="E637" s="11" t="s">
        <v>2503</v>
      </c>
      <c r="F637" s="36">
        <f t="array" ref="F637">XLOOKUP(A637,IMDB_Movies!I$2:I$3493,IMDB_Movies!P$2:P$3493)</f>
        <v>10332737</v>
      </c>
    </row>
    <row r="638">
      <c r="A638" s="16" t="s">
        <v>2506</v>
      </c>
      <c r="B638" s="35">
        <f t="array" ref="B638">XLOOKUP(A638,IMDB_Movies!I$2:I$3493,IMDB_Movies!Q$2:Q$3493)</f>
        <v>718500</v>
      </c>
      <c r="E638" s="16" t="s">
        <v>2506</v>
      </c>
      <c r="F638" s="36">
        <f t="array" ref="F638">XLOOKUP(A638,IMDB_Movies!I$2:I$3493,IMDB_Movies!P$2:P$3493)</f>
        <v>0</v>
      </c>
    </row>
    <row r="639">
      <c r="A639" s="20" t="s">
        <v>2510</v>
      </c>
      <c r="B639" s="35">
        <f t="array" ref="B639">XLOOKUP(A639,IMDB_Movies!I$2:I$3493,IMDB_Movies!Q$2:Q$3493)</f>
        <v>0</v>
      </c>
      <c r="E639" s="20" t="s">
        <v>2510</v>
      </c>
      <c r="F639" s="36">
        <f t="array" ref="F639">XLOOKUP(A639,IMDB_Movies!I$2:I$3493,IMDB_Movies!P$2:P$3493)</f>
        <v>23779955</v>
      </c>
    </row>
    <row r="640">
      <c r="A640" s="16" t="s">
        <v>2513</v>
      </c>
      <c r="B640" s="35">
        <f t="array" ref="B640">XLOOKUP(A640,IMDB_Movies!I$2:I$3493,IMDB_Movies!Q$2:Q$3493)</f>
        <v>0</v>
      </c>
      <c r="E640" s="16" t="s">
        <v>2513</v>
      </c>
      <c r="F640" s="36">
        <f t="array" ref="F640">XLOOKUP(A640,IMDB_Movies!I$2:I$3493,IMDB_Movies!P$2:P$3493)</f>
        <v>2307550</v>
      </c>
    </row>
    <row r="641">
      <c r="A641" s="11" t="s">
        <v>2516</v>
      </c>
      <c r="B641" s="35">
        <f t="array" ref="B641">XLOOKUP(A641,IMDB_Movies!I$2:I$3493,IMDB_Movies!Q$2:Q$3493)</f>
        <v>0</v>
      </c>
      <c r="E641" s="11" t="s">
        <v>2516</v>
      </c>
      <c r="F641" s="36">
        <f t="array" ref="F641">XLOOKUP(A641,IMDB_Movies!I$2:I$3493,IMDB_Movies!P$2:P$3493)</f>
        <v>89214072</v>
      </c>
    </row>
    <row r="642">
      <c r="A642" s="28" t="s">
        <v>2520</v>
      </c>
      <c r="B642" s="35">
        <f t="array" ref="B642">XLOOKUP(A642,IMDB_Movies!I$2:I$3493,IMDB_Movies!Q$2:Q$3493)</f>
        <v>0</v>
      </c>
      <c r="E642" s="28" t="s">
        <v>2520</v>
      </c>
      <c r="F642" s="36">
        <f t="array" ref="F642">XLOOKUP(A642,IMDB_Movies!I$2:I$3493,IMDB_Movies!P$2:P$3493)</f>
        <v>8115878</v>
      </c>
    </row>
    <row r="643">
      <c r="A643" s="11" t="s">
        <v>2524</v>
      </c>
      <c r="B643" s="35">
        <f t="array" ref="B643">XLOOKUP(A643,IMDB_Movies!I$2:I$3493,IMDB_Movies!Q$2:Q$3493)</f>
        <v>3792025</v>
      </c>
      <c r="E643" s="11" t="s">
        <v>2524</v>
      </c>
      <c r="F643" s="36">
        <f t="array" ref="F643">XLOOKUP(A643,IMDB_Movies!I$2:I$3493,IMDB_Movies!P$2:P$3493)</f>
        <v>0</v>
      </c>
    </row>
    <row r="644">
      <c r="A644" s="24" t="s">
        <v>2528</v>
      </c>
      <c r="B644" s="35">
        <f t="array" ref="B644">XLOOKUP(A644,IMDB_Movies!I$2:I$3493,IMDB_Movies!Q$2:Q$3493)</f>
        <v>0</v>
      </c>
      <c r="E644" s="24" t="s">
        <v>2528</v>
      </c>
      <c r="F644" s="36">
        <f t="array" ref="F644">XLOOKUP(A644,IMDB_Movies!I$2:I$3493,IMDB_Movies!P$2:P$3493)</f>
        <v>663780</v>
      </c>
    </row>
    <row r="645">
      <c r="A645" s="11" t="s">
        <v>2533</v>
      </c>
      <c r="B645" s="35">
        <f t="array" ref="B645">XLOOKUP(A645,IMDB_Movies!I$2:I$3493,IMDB_Movies!Q$2:Q$3493)</f>
        <v>47114435</v>
      </c>
      <c r="E645" s="11" t="s">
        <v>2533</v>
      </c>
      <c r="F645" s="36">
        <f t="array" ref="F645">XLOOKUP(A645,IMDB_Movies!I$2:I$3493,IMDB_Movies!P$2:P$3493)</f>
        <v>0</v>
      </c>
    </row>
    <row r="646">
      <c r="A646" s="32" t="s">
        <v>2537</v>
      </c>
      <c r="B646" s="35">
        <f t="array" ref="B646">XLOOKUP(A646,IMDB_Movies!I$2:I$3493,IMDB_Movies!Q$2:Q$3493)</f>
        <v>0</v>
      </c>
      <c r="E646" s="32" t="s">
        <v>2537</v>
      </c>
      <c r="F646" s="36">
        <f t="array" ref="F646">XLOOKUP(A646,IMDB_Movies!I$2:I$3493,IMDB_Movies!P$2:P$3493)</f>
        <v>65457688</v>
      </c>
    </row>
    <row r="647">
      <c r="A647" s="11" t="s">
        <v>2539</v>
      </c>
      <c r="B647" s="35">
        <f t="array" ref="B647">XLOOKUP(A647,IMDB_Movies!I$2:I$3493,IMDB_Movies!Q$2:Q$3493)</f>
        <v>11032429</v>
      </c>
      <c r="E647" s="11" t="s">
        <v>2539</v>
      </c>
      <c r="F647" s="36">
        <f t="array" ref="F647">XLOOKUP(A647,IMDB_Movies!I$2:I$3493,IMDB_Movies!P$2:P$3493)</f>
        <v>0</v>
      </c>
    </row>
    <row r="648">
      <c r="A648" s="11" t="s">
        <v>2543</v>
      </c>
      <c r="B648" s="35">
        <f t="array" ref="B648">XLOOKUP(A648,IMDB_Movies!I$2:I$3493,IMDB_Movies!Q$2:Q$3493)</f>
        <v>0</v>
      </c>
      <c r="E648" s="11" t="s">
        <v>2543</v>
      </c>
      <c r="F648" s="36">
        <f t="array" ref="F648">XLOOKUP(A648,IMDB_Movies!I$2:I$3493,IMDB_Movies!P$2:P$3493)</f>
        <v>12000688</v>
      </c>
    </row>
    <row r="649">
      <c r="A649" s="11" t="s">
        <v>2545</v>
      </c>
      <c r="B649" s="35">
        <f t="array" ref="B649">XLOOKUP(A649,IMDB_Movies!I$2:I$3493,IMDB_Movies!Q$2:Q$3493)</f>
        <v>86856188</v>
      </c>
      <c r="E649" s="11" t="s">
        <v>2545</v>
      </c>
      <c r="F649" s="36">
        <f t="array" ref="F649">XLOOKUP(A649,IMDB_Movies!I$2:I$3493,IMDB_Movies!P$2:P$3493)</f>
        <v>0</v>
      </c>
    </row>
    <row r="650">
      <c r="A650" s="20" t="s">
        <v>2549</v>
      </c>
      <c r="B650" s="35">
        <f t="array" ref="B650">XLOOKUP(A650,IMDB_Movies!I$2:I$3493,IMDB_Movies!Q$2:Q$3493)</f>
        <v>0</v>
      </c>
      <c r="E650" s="20" t="s">
        <v>2549</v>
      </c>
      <c r="F650" s="36">
        <f t="array" ref="F650">XLOOKUP(A650,IMDB_Movies!I$2:I$3493,IMDB_Movies!P$2:P$3493)</f>
        <v>25517854</v>
      </c>
    </row>
    <row r="651">
      <c r="A651" s="20" t="s">
        <v>2551</v>
      </c>
      <c r="B651" s="35">
        <f t="array" ref="B651">XLOOKUP(A651,IMDB_Movies!I$2:I$3493,IMDB_Movies!Q$2:Q$3493)</f>
        <v>0</v>
      </c>
      <c r="E651" s="20" t="s">
        <v>2551</v>
      </c>
      <c r="F651" s="36">
        <f t="array" ref="F651">XLOOKUP(A651,IMDB_Movies!I$2:I$3493,IMDB_Movies!P$2:P$3493)</f>
        <v>12734552</v>
      </c>
    </row>
    <row r="652">
      <c r="A652" s="20" t="s">
        <v>2555</v>
      </c>
      <c r="B652" s="35">
        <f t="array" ref="B652">XLOOKUP(A652,IMDB_Movies!I$2:I$3493,IMDB_Movies!Q$2:Q$3493)</f>
        <v>0</v>
      </c>
      <c r="E652" s="20" t="s">
        <v>2555</v>
      </c>
      <c r="F652" s="36">
        <f t="array" ref="F652">XLOOKUP(A652,IMDB_Movies!I$2:I$3493,IMDB_Movies!P$2:P$3493)</f>
        <v>2900000</v>
      </c>
    </row>
    <row r="653">
      <c r="A653" s="11" t="s">
        <v>2557</v>
      </c>
      <c r="B653" s="35">
        <f t="array" ref="B653">XLOOKUP(A653,IMDB_Movies!I$2:I$3493,IMDB_Movies!Q$2:Q$3493)</f>
        <v>8935090</v>
      </c>
      <c r="E653" s="11" t="s">
        <v>2557</v>
      </c>
      <c r="F653" s="36">
        <f t="array" ref="F653">XLOOKUP(A653,IMDB_Movies!I$2:I$3493,IMDB_Movies!P$2:P$3493)</f>
        <v>0</v>
      </c>
    </row>
    <row r="654">
      <c r="A654" s="24" t="s">
        <v>2560</v>
      </c>
      <c r="B654" s="35">
        <f t="array" ref="B654">XLOOKUP(A654,IMDB_Movies!I$2:I$3493,IMDB_Movies!Q$2:Q$3493)</f>
        <v>49999390</v>
      </c>
      <c r="E654" s="24" t="s">
        <v>2560</v>
      </c>
      <c r="F654" s="36">
        <f t="array" ref="F654">XLOOKUP(A654,IMDB_Movies!I$2:I$3493,IMDB_Movies!P$2:P$3493)</f>
        <v>0</v>
      </c>
    </row>
    <row r="655">
      <c r="A655" s="24" t="s">
        <v>2563</v>
      </c>
      <c r="B655" s="35">
        <f t="array" ref="B655">XLOOKUP(A655,IMDB_Movies!I$2:I$3493,IMDB_Movies!Q$2:Q$3493)</f>
        <v>0</v>
      </c>
      <c r="E655" s="24" t="s">
        <v>2563</v>
      </c>
      <c r="F655" s="36">
        <f t="array" ref="F655">XLOOKUP(A655,IMDB_Movies!I$2:I$3493,IMDB_Movies!P$2:P$3493)</f>
        <v>4927390</v>
      </c>
    </row>
    <row r="656">
      <c r="A656" s="28" t="s">
        <v>2567</v>
      </c>
      <c r="B656" s="35">
        <f t="array" ref="B656">XLOOKUP(A656,IMDB_Movies!I$2:I$3493,IMDB_Movies!Q$2:Q$3493)</f>
        <v>14666342</v>
      </c>
      <c r="E656" s="28" t="s">
        <v>2567</v>
      </c>
      <c r="F656" s="36">
        <f t="array" ref="F656">XLOOKUP(A656,IMDB_Movies!I$2:I$3493,IMDB_Movies!P$2:P$3493)</f>
        <v>0</v>
      </c>
    </row>
    <row r="657">
      <c r="A657" s="32" t="s">
        <v>2569</v>
      </c>
      <c r="B657" s="35">
        <f t="array" ref="B657">XLOOKUP(A657,IMDB_Movies!I$2:I$3493,IMDB_Movies!Q$2:Q$3493)</f>
        <v>0</v>
      </c>
      <c r="E657" s="32" t="s">
        <v>2569</v>
      </c>
      <c r="F657" s="36">
        <f t="array" ref="F657">XLOOKUP(A657,IMDB_Movies!I$2:I$3493,IMDB_Movies!P$2:P$3493)</f>
        <v>2154410</v>
      </c>
    </row>
    <row r="658">
      <c r="A658" s="20" t="s">
        <v>2573</v>
      </c>
      <c r="B658" s="35">
        <f t="array" ref="B658">XLOOKUP(A658,IMDB_Movies!I$2:I$3493,IMDB_Movies!Q$2:Q$3493)</f>
        <v>6210108</v>
      </c>
      <c r="E658" s="20" t="s">
        <v>2573</v>
      </c>
      <c r="F658" s="36">
        <f t="array" ref="F658">XLOOKUP(A658,IMDB_Movies!I$2:I$3493,IMDB_Movies!P$2:P$3493)</f>
        <v>0</v>
      </c>
    </row>
    <row r="659">
      <c r="A659" s="11" t="s">
        <v>2576</v>
      </c>
      <c r="B659" s="35">
        <f t="array" ref="B659">XLOOKUP(A659,IMDB_Movies!I$2:I$3493,IMDB_Movies!Q$2:Q$3493)</f>
        <v>3087018</v>
      </c>
      <c r="E659" s="11" t="s">
        <v>2576</v>
      </c>
      <c r="F659" s="36">
        <f t="array" ref="F659">XLOOKUP(A659,IMDB_Movies!I$2:I$3493,IMDB_Movies!P$2:P$3493)</f>
        <v>0</v>
      </c>
    </row>
    <row r="660">
      <c r="A660" s="24" t="s">
        <v>2580</v>
      </c>
      <c r="B660" s="35">
        <f t="array" ref="B660">XLOOKUP(A660,IMDB_Movies!I$2:I$3493,IMDB_Movies!Q$2:Q$3493)</f>
        <v>5813617</v>
      </c>
      <c r="E660" s="24" t="s">
        <v>2580</v>
      </c>
      <c r="F660" s="36">
        <f t="array" ref="F660">XLOOKUP(A660,IMDB_Movies!I$2:I$3493,IMDB_Movies!P$2:P$3493)</f>
        <v>0</v>
      </c>
    </row>
    <row r="661">
      <c r="A661" s="11" t="s">
        <v>2583</v>
      </c>
      <c r="B661" s="35">
        <f t="array" ref="B661">XLOOKUP(A661,IMDB_Movies!I$2:I$3493,IMDB_Movies!Q$2:Q$3493)</f>
        <v>0</v>
      </c>
      <c r="E661" s="11" t="s">
        <v>2583</v>
      </c>
      <c r="F661" s="36">
        <f t="array" ref="F661">XLOOKUP(A661,IMDB_Movies!I$2:I$3493,IMDB_Movies!P$2:P$3493)</f>
        <v>5972900</v>
      </c>
    </row>
    <row r="662">
      <c r="A662" s="16" t="s">
        <v>2587</v>
      </c>
      <c r="B662" s="35">
        <f t="array" ref="B662">XLOOKUP(A662,IMDB_Movies!I$2:I$3493,IMDB_Movies!Q$2:Q$3493)</f>
        <v>0</v>
      </c>
      <c r="E662" s="16" t="s">
        <v>2587</v>
      </c>
      <c r="F662" s="36">
        <f t="array" ref="F662">XLOOKUP(A662,IMDB_Movies!I$2:I$3493,IMDB_Movies!P$2:P$3493)</f>
        <v>11655665</v>
      </c>
    </row>
    <row r="663">
      <c r="A663" s="20" t="s">
        <v>2591</v>
      </c>
      <c r="B663" s="35">
        <f t="array" ref="B663">XLOOKUP(A663,IMDB_Movies!I$2:I$3493,IMDB_Movies!Q$2:Q$3493)</f>
        <v>226328</v>
      </c>
      <c r="E663" s="20" t="s">
        <v>2591</v>
      </c>
      <c r="F663" s="36">
        <f t="array" ref="F663">XLOOKUP(A663,IMDB_Movies!I$2:I$3493,IMDB_Movies!P$2:P$3493)</f>
        <v>0</v>
      </c>
    </row>
    <row r="664">
      <c r="A664" s="32" t="s">
        <v>2594</v>
      </c>
      <c r="B664" s="35">
        <f t="array" ref="B664">XLOOKUP(A664,IMDB_Movies!I$2:I$3493,IMDB_Movies!Q$2:Q$3493)</f>
        <v>7474079</v>
      </c>
      <c r="E664" s="32" t="s">
        <v>2594</v>
      </c>
      <c r="F664" s="36">
        <f t="array" ref="F664">XLOOKUP(A664,IMDB_Movies!I$2:I$3493,IMDB_Movies!P$2:P$3493)</f>
        <v>0</v>
      </c>
    </row>
    <row r="665">
      <c r="A665" s="24" t="s">
        <v>2597</v>
      </c>
      <c r="B665" s="35">
        <f t="array" ref="B665">XLOOKUP(A665,IMDB_Movies!I$2:I$3493,IMDB_Movies!Q$2:Q$3493)</f>
        <v>0</v>
      </c>
      <c r="E665" s="24" t="s">
        <v>2597</v>
      </c>
      <c r="F665" s="36">
        <f t="array" ref="F665">XLOOKUP(A665,IMDB_Movies!I$2:I$3493,IMDB_Movies!P$2:P$3493)</f>
        <v>9257933</v>
      </c>
    </row>
    <row r="666">
      <c r="A666" s="24" t="s">
        <v>2600</v>
      </c>
      <c r="B666" s="35">
        <f t="array" ref="B666">XLOOKUP(A666,IMDB_Movies!I$2:I$3493,IMDB_Movies!Q$2:Q$3493)</f>
        <v>0</v>
      </c>
      <c r="E666" s="24" t="s">
        <v>2600</v>
      </c>
      <c r="F666" s="36">
        <f t="array" ref="F666">XLOOKUP(A666,IMDB_Movies!I$2:I$3493,IMDB_Movies!P$2:P$3493)</f>
        <v>1093039</v>
      </c>
    </row>
    <row r="667">
      <c r="A667" s="32" t="s">
        <v>2603</v>
      </c>
      <c r="B667" s="35">
        <f t="array" ref="B667">XLOOKUP(A667,IMDB_Movies!I$2:I$3493,IMDB_Movies!Q$2:Q$3493)</f>
        <v>50781132</v>
      </c>
      <c r="E667" s="32" t="s">
        <v>2603</v>
      </c>
      <c r="F667" s="36">
        <f t="array" ref="F667">XLOOKUP(A667,IMDB_Movies!I$2:I$3493,IMDB_Movies!P$2:P$3493)</f>
        <v>0</v>
      </c>
    </row>
    <row r="668">
      <c r="A668" s="32" t="s">
        <v>2606</v>
      </c>
      <c r="B668" s="35">
        <f t="array" ref="B668">XLOOKUP(A668,IMDB_Movies!I$2:I$3493,IMDB_Movies!Q$2:Q$3493)</f>
        <v>49649808</v>
      </c>
      <c r="E668" s="32" t="s">
        <v>2606</v>
      </c>
      <c r="F668" s="36">
        <f t="array" ref="F668">XLOOKUP(A668,IMDB_Movies!I$2:I$3493,IMDB_Movies!P$2:P$3493)</f>
        <v>0</v>
      </c>
    </row>
    <row r="669">
      <c r="A669" s="11" t="s">
        <v>2610</v>
      </c>
      <c r="B669" s="35">
        <f t="array" ref="B669">XLOOKUP(A669,IMDB_Movies!I$2:I$3493,IMDB_Movies!Q$2:Q$3493)</f>
        <v>0</v>
      </c>
      <c r="E669" s="11" t="s">
        <v>2610</v>
      </c>
      <c r="F669" s="36">
        <f t="array" ref="F669">XLOOKUP(A669,IMDB_Movies!I$2:I$3493,IMDB_Movies!P$2:P$3493)</f>
        <v>44787599</v>
      </c>
    </row>
    <row r="670">
      <c r="A670" s="11" t="s">
        <v>2613</v>
      </c>
      <c r="B670" s="35">
        <f t="array" ref="B670">XLOOKUP(A670,IMDB_Movies!I$2:I$3493,IMDB_Movies!Q$2:Q$3493)</f>
        <v>0</v>
      </c>
      <c r="E670" s="11" t="s">
        <v>2613</v>
      </c>
      <c r="F670" s="36">
        <f t="array" ref="F670">XLOOKUP(A670,IMDB_Movies!I$2:I$3493,IMDB_Movies!P$2:P$3493)</f>
        <v>21185897</v>
      </c>
    </row>
    <row r="671">
      <c r="A671" s="20" t="s">
        <v>2616</v>
      </c>
      <c r="B671" s="35">
        <f t="array" ref="B671">XLOOKUP(A671,IMDB_Movies!I$2:I$3493,IMDB_Movies!Q$2:Q$3493)</f>
        <v>0</v>
      </c>
      <c r="E671" s="20" t="s">
        <v>2616</v>
      </c>
      <c r="F671" s="36">
        <f t="array" ref="F671">XLOOKUP(A671,IMDB_Movies!I$2:I$3493,IMDB_Movies!P$2:P$3493)</f>
        <v>32808615</v>
      </c>
    </row>
    <row r="672">
      <c r="A672" s="20" t="s">
        <v>2619</v>
      </c>
      <c r="B672" s="35">
        <f t="array" ref="B672">XLOOKUP(A672,IMDB_Movies!I$2:I$3493,IMDB_Movies!Q$2:Q$3493)</f>
        <v>0</v>
      </c>
      <c r="E672" s="20" t="s">
        <v>2619</v>
      </c>
      <c r="F672" s="36">
        <f t="array" ref="F672">XLOOKUP(A672,IMDB_Movies!I$2:I$3493,IMDB_Movies!P$2:P$3493)</f>
        <v>51324422</v>
      </c>
    </row>
    <row r="673">
      <c r="A673" s="24" t="s">
        <v>2621</v>
      </c>
      <c r="B673" s="35">
        <f t="array" ref="B673">XLOOKUP(A673,IMDB_Movies!I$2:I$3493,IMDB_Movies!Q$2:Q$3493)</f>
        <v>0</v>
      </c>
      <c r="E673" s="24" t="s">
        <v>2621</v>
      </c>
      <c r="F673" s="36">
        <f t="array" ref="F673">XLOOKUP(A673,IMDB_Movies!I$2:I$3493,IMDB_Movies!P$2:P$3493)</f>
        <v>153483808</v>
      </c>
    </row>
    <row r="674">
      <c r="A674" s="11" t="s">
        <v>2624</v>
      </c>
      <c r="B674" s="35">
        <f t="array" ref="B674">XLOOKUP(A674,IMDB_Movies!I$2:I$3493,IMDB_Movies!Q$2:Q$3493)</f>
        <v>108858926</v>
      </c>
      <c r="E674" s="11" t="s">
        <v>2624</v>
      </c>
      <c r="F674" s="36">
        <f t="array" ref="F674">XLOOKUP(A674,IMDB_Movies!I$2:I$3493,IMDB_Movies!P$2:P$3493)</f>
        <v>0</v>
      </c>
    </row>
    <row r="675">
      <c r="A675" s="16" t="s">
        <v>2628</v>
      </c>
      <c r="B675" s="35">
        <f t="array" ref="B675">XLOOKUP(A675,IMDB_Movies!I$2:I$3493,IMDB_Movies!Q$2:Q$3493)</f>
        <v>0</v>
      </c>
      <c r="E675" s="16" t="s">
        <v>2628</v>
      </c>
      <c r="F675" s="36">
        <f t="array" ref="F675">XLOOKUP(A675,IMDB_Movies!I$2:I$3493,IMDB_Movies!P$2:P$3493)</f>
        <v>5012990</v>
      </c>
    </row>
    <row r="676">
      <c r="A676" s="11" t="s">
        <v>2631</v>
      </c>
      <c r="B676" s="35">
        <f t="array" ref="B676">XLOOKUP(A676,IMDB_Movies!I$2:I$3493,IMDB_Movies!Q$2:Q$3493)</f>
        <v>0</v>
      </c>
      <c r="E676" s="11" t="s">
        <v>2631</v>
      </c>
      <c r="F676" s="36">
        <f t="array" ref="F676">XLOOKUP(A676,IMDB_Movies!I$2:I$3493,IMDB_Movies!P$2:P$3493)</f>
        <v>55416609</v>
      </c>
    </row>
    <row r="677">
      <c r="A677" s="32" t="s">
        <v>2634</v>
      </c>
      <c r="B677" s="35">
        <f t="array" ref="B677">XLOOKUP(A677,IMDB_Movies!I$2:I$3493,IMDB_Movies!Q$2:Q$3493)</f>
        <v>0</v>
      </c>
      <c r="E677" s="32" t="s">
        <v>2634</v>
      </c>
      <c r="F677" s="36">
        <f t="array" ref="F677">XLOOKUP(A677,IMDB_Movies!I$2:I$3493,IMDB_Movies!P$2:P$3493)</f>
        <v>3786715</v>
      </c>
    </row>
    <row r="678">
      <c r="A678" s="24" t="s">
        <v>2637</v>
      </c>
      <c r="B678" s="35">
        <f t="array" ref="B678">XLOOKUP(A678,IMDB_Movies!I$2:I$3493,IMDB_Movies!Q$2:Q$3493)</f>
        <v>0</v>
      </c>
      <c r="E678" s="24" t="s">
        <v>2637</v>
      </c>
      <c r="F678" s="36">
        <f t="array" ref="F678">XLOOKUP(A678,IMDB_Movies!I$2:I$3493,IMDB_Movies!P$2:P$3493)</f>
        <v>48693523</v>
      </c>
    </row>
    <row r="679">
      <c r="A679" s="20" t="s">
        <v>2641</v>
      </c>
      <c r="B679" s="35">
        <f t="array" ref="B679">XLOOKUP(A679,IMDB_Movies!I$2:I$3493,IMDB_Movies!Q$2:Q$3493)</f>
        <v>13564917</v>
      </c>
      <c r="E679" s="20" t="s">
        <v>2641</v>
      </c>
      <c r="F679" s="36">
        <f t="array" ref="F679">XLOOKUP(A679,IMDB_Movies!I$2:I$3493,IMDB_Movies!P$2:P$3493)</f>
        <v>0</v>
      </c>
    </row>
    <row r="680">
      <c r="A680" s="28" t="s">
        <v>2643</v>
      </c>
      <c r="B680" s="35">
        <f t="array" ref="B680">XLOOKUP(A680,IMDB_Movies!I$2:I$3493,IMDB_Movies!Q$2:Q$3493)</f>
        <v>0</v>
      </c>
      <c r="E680" s="28" t="s">
        <v>2643</v>
      </c>
      <c r="F680" s="36">
        <f t="array" ref="F680">XLOOKUP(A680,IMDB_Movies!I$2:I$3493,IMDB_Movies!P$2:P$3493)</f>
        <v>30014112</v>
      </c>
    </row>
    <row r="681">
      <c r="A681" s="20" t="s">
        <v>2647</v>
      </c>
      <c r="B681" s="35">
        <f t="array" ref="B681">XLOOKUP(A681,IMDB_Movies!I$2:I$3493,IMDB_Movies!Q$2:Q$3493)</f>
        <v>10500000</v>
      </c>
      <c r="E681" s="20" t="s">
        <v>2647</v>
      </c>
      <c r="F681" s="36">
        <f t="array" ref="F681">XLOOKUP(A681,IMDB_Movies!I$2:I$3493,IMDB_Movies!P$2:P$3493)</f>
        <v>0</v>
      </c>
    </row>
    <row r="682">
      <c r="A682" s="24" t="s">
        <v>2650</v>
      </c>
      <c r="B682" s="35">
        <f t="array" ref="B682">XLOOKUP(A682,IMDB_Movies!I$2:I$3493,IMDB_Movies!Q$2:Q$3493)</f>
        <v>0</v>
      </c>
      <c r="E682" s="24" t="s">
        <v>2650</v>
      </c>
      <c r="F682" s="36">
        <f t="array" ref="F682">XLOOKUP(A682,IMDB_Movies!I$2:I$3493,IMDB_Movies!P$2:P$3493)</f>
        <v>3208190</v>
      </c>
    </row>
    <row r="683">
      <c r="A683" s="11" t="s">
        <v>2654</v>
      </c>
      <c r="B683" s="35">
        <f t="array" ref="B683">XLOOKUP(A683,IMDB_Movies!I$2:I$3493,IMDB_Movies!Q$2:Q$3493)</f>
        <v>0</v>
      </c>
      <c r="E683" s="11" t="s">
        <v>2654</v>
      </c>
      <c r="F683" s="36">
        <f t="array" ref="F683">XLOOKUP(A683,IMDB_Movies!I$2:I$3493,IMDB_Movies!P$2:P$3493)</f>
        <v>144613391</v>
      </c>
    </row>
    <row r="684">
      <c r="A684" s="32" t="s">
        <v>2657</v>
      </c>
      <c r="B684" s="35">
        <f t="array" ref="B684">XLOOKUP(A684,IMDB_Movies!I$2:I$3493,IMDB_Movies!Q$2:Q$3493)</f>
        <v>0</v>
      </c>
      <c r="E684" s="32" t="s">
        <v>2657</v>
      </c>
      <c r="F684" s="36">
        <f t="array" ref="F684">XLOOKUP(A684,IMDB_Movies!I$2:I$3493,IMDB_Movies!P$2:P$3493)</f>
        <v>999622</v>
      </c>
    </row>
    <row r="685">
      <c r="A685" s="24" t="s">
        <v>2661</v>
      </c>
      <c r="B685" s="35">
        <f t="array" ref="B685">XLOOKUP(A685,IMDB_Movies!I$2:I$3493,IMDB_Movies!Q$2:Q$3493)</f>
        <v>5876166</v>
      </c>
      <c r="E685" s="24" t="s">
        <v>2661</v>
      </c>
      <c r="F685" s="36">
        <f t="array" ref="F685">XLOOKUP(A685,IMDB_Movies!I$2:I$3493,IMDB_Movies!P$2:P$3493)</f>
        <v>0</v>
      </c>
    </row>
    <row r="686">
      <c r="A686" s="11" t="s">
        <v>2664</v>
      </c>
      <c r="B686" s="35">
        <f t="array" ref="B686">XLOOKUP(A686,IMDB_Movies!I$2:I$3493,IMDB_Movies!Q$2:Q$3493)</f>
        <v>11413624</v>
      </c>
      <c r="E686" s="11" t="s">
        <v>2664</v>
      </c>
      <c r="F686" s="36">
        <f t="array" ref="F686">XLOOKUP(A686,IMDB_Movies!I$2:I$3493,IMDB_Movies!P$2:P$3493)</f>
        <v>0</v>
      </c>
    </row>
    <row r="687">
      <c r="A687" s="28" t="s">
        <v>2668</v>
      </c>
      <c r="B687" s="35">
        <f t="array" ref="B687">XLOOKUP(A687,IMDB_Movies!I$2:I$3493,IMDB_Movies!Q$2:Q$3493)</f>
        <v>31770880</v>
      </c>
      <c r="E687" s="28" t="s">
        <v>2668</v>
      </c>
      <c r="F687" s="36">
        <f t="array" ref="F687">XLOOKUP(A687,IMDB_Movies!I$2:I$3493,IMDB_Movies!P$2:P$3493)</f>
        <v>0</v>
      </c>
    </row>
    <row r="688">
      <c r="A688" s="20" t="s">
        <v>2672</v>
      </c>
      <c r="B688" s="35">
        <f t="array" ref="B688">XLOOKUP(A688,IMDB_Movies!I$2:I$3493,IMDB_Movies!Q$2:Q$3493)</f>
        <v>651422</v>
      </c>
      <c r="E688" s="20" t="s">
        <v>2672</v>
      </c>
      <c r="F688" s="36">
        <f t="array" ref="F688">XLOOKUP(A688,IMDB_Movies!I$2:I$3493,IMDB_Movies!P$2:P$3493)</f>
        <v>0</v>
      </c>
    </row>
    <row r="689">
      <c r="A689" s="11" t="s">
        <v>2676</v>
      </c>
      <c r="B689" s="35">
        <f t="array" ref="B689">XLOOKUP(A689,IMDB_Movies!I$2:I$3493,IMDB_Movies!Q$2:Q$3493)</f>
        <v>2969275</v>
      </c>
      <c r="E689" s="11" t="s">
        <v>2676</v>
      </c>
      <c r="F689" s="36">
        <f t="array" ref="F689">XLOOKUP(A689,IMDB_Movies!I$2:I$3493,IMDB_Movies!P$2:P$3493)</f>
        <v>0</v>
      </c>
    </row>
    <row r="690">
      <c r="A690" s="11" t="s">
        <v>2678</v>
      </c>
      <c r="B690" s="35">
        <f t="array" ref="B690">XLOOKUP(A690,IMDB_Movies!I$2:I$3493,IMDB_Movies!Q$2:Q$3493)</f>
        <v>17954750</v>
      </c>
      <c r="E690" s="11" t="s">
        <v>2678</v>
      </c>
      <c r="F690" s="36">
        <f t="array" ref="F690">XLOOKUP(A690,IMDB_Movies!I$2:I$3493,IMDB_Movies!P$2:P$3493)</f>
        <v>0</v>
      </c>
    </row>
    <row r="691">
      <c r="A691" s="24" t="s">
        <v>2682</v>
      </c>
      <c r="B691" s="35">
        <f t="array" ref="B691">XLOOKUP(A691,IMDB_Movies!I$2:I$3493,IMDB_Movies!Q$2:Q$3493)</f>
        <v>273613</v>
      </c>
      <c r="E691" s="24" t="s">
        <v>2682</v>
      </c>
      <c r="F691" s="36">
        <f t="array" ref="F691">XLOOKUP(A691,IMDB_Movies!I$2:I$3493,IMDB_Movies!P$2:P$3493)</f>
        <v>0</v>
      </c>
    </row>
    <row r="692">
      <c r="A692" s="11" t="s">
        <v>2686</v>
      </c>
      <c r="B692" s="35">
        <f t="array" ref="B692">XLOOKUP(A692,IMDB_Movies!I$2:I$3493,IMDB_Movies!Q$2:Q$3493)</f>
        <v>1604408</v>
      </c>
      <c r="E692" s="11" t="s">
        <v>2686</v>
      </c>
      <c r="F692" s="36">
        <f t="array" ref="F692">XLOOKUP(A692,IMDB_Movies!I$2:I$3493,IMDB_Movies!P$2:P$3493)</f>
        <v>0</v>
      </c>
    </row>
    <row r="693">
      <c r="A693" s="28" t="s">
        <v>2688</v>
      </c>
      <c r="B693" s="35">
        <f t="array" ref="B693">XLOOKUP(A693,IMDB_Movies!I$2:I$3493,IMDB_Movies!Q$2:Q$3493)</f>
        <v>37955679</v>
      </c>
      <c r="E693" s="28" t="s">
        <v>2688</v>
      </c>
      <c r="F693" s="36">
        <f t="array" ref="F693">XLOOKUP(A693,IMDB_Movies!I$2:I$3493,IMDB_Movies!P$2:P$3493)</f>
        <v>0</v>
      </c>
    </row>
    <row r="694">
      <c r="A694" s="24" t="s">
        <v>2690</v>
      </c>
      <c r="B694" s="35">
        <f t="array" ref="B694">XLOOKUP(A694,IMDB_Movies!I$2:I$3493,IMDB_Movies!Q$2:Q$3493)</f>
        <v>0</v>
      </c>
      <c r="E694" s="24" t="s">
        <v>2690</v>
      </c>
      <c r="F694" s="36">
        <f t="array" ref="F694">XLOOKUP(A694,IMDB_Movies!I$2:I$3493,IMDB_Movies!P$2:P$3493)</f>
        <v>106512310</v>
      </c>
    </row>
    <row r="695">
      <c r="A695" s="11" t="s">
        <v>2693</v>
      </c>
      <c r="B695" s="35">
        <f t="array" ref="B695">XLOOKUP(A695,IMDB_Movies!I$2:I$3493,IMDB_Movies!Q$2:Q$3493)</f>
        <v>17390018</v>
      </c>
      <c r="E695" s="11" t="s">
        <v>2693</v>
      </c>
      <c r="F695" s="36">
        <f t="array" ref="F695">XLOOKUP(A695,IMDB_Movies!I$2:I$3493,IMDB_Movies!P$2:P$3493)</f>
        <v>0</v>
      </c>
    </row>
    <row r="696">
      <c r="A696" s="28" t="s">
        <v>2696</v>
      </c>
      <c r="B696" s="35">
        <f t="array" ref="B696">XLOOKUP(A696,IMDB_Movies!I$2:I$3493,IMDB_Movies!Q$2:Q$3493)</f>
        <v>0</v>
      </c>
      <c r="E696" s="28" t="s">
        <v>2696</v>
      </c>
      <c r="F696" s="36">
        <f t="array" ref="F696">XLOOKUP(A696,IMDB_Movies!I$2:I$3493,IMDB_Movies!P$2:P$3493)</f>
        <v>18645546</v>
      </c>
    </row>
    <row r="697">
      <c r="A697" s="11" t="s">
        <v>2698</v>
      </c>
      <c r="B697" s="35">
        <f t="array" ref="B697">XLOOKUP(A697,IMDB_Movies!I$2:I$3493,IMDB_Movies!Q$2:Q$3493)</f>
        <v>0</v>
      </c>
      <c r="E697" s="11" t="s">
        <v>2698</v>
      </c>
      <c r="F697" s="36">
        <f t="array" ref="F697">XLOOKUP(A697,IMDB_Movies!I$2:I$3493,IMDB_Movies!P$2:P$3493)</f>
        <v>46159365</v>
      </c>
    </row>
    <row r="698">
      <c r="A698" s="20" t="s">
        <v>2700</v>
      </c>
      <c r="B698" s="35">
        <f t="array" ref="B698">XLOOKUP(A698,IMDB_Movies!I$2:I$3493,IMDB_Movies!Q$2:Q$3493)</f>
        <v>0</v>
      </c>
      <c r="E698" s="20" t="s">
        <v>2700</v>
      </c>
      <c r="F698" s="36">
        <f t="array" ref="F698">XLOOKUP(A698,IMDB_Movies!I$2:I$3493,IMDB_Movies!P$2:P$3493)</f>
        <v>198032628</v>
      </c>
    </row>
    <row r="699">
      <c r="A699" s="11" t="s">
        <v>2702</v>
      </c>
      <c r="B699" s="35">
        <f t="array" ref="B699">XLOOKUP(A699,IMDB_Movies!I$2:I$3493,IMDB_Movies!Q$2:Q$3493)</f>
        <v>0</v>
      </c>
      <c r="E699" s="11" t="s">
        <v>2702</v>
      </c>
      <c r="F699" s="36">
        <f t="array" ref="F699">XLOOKUP(A699,IMDB_Movies!I$2:I$3493,IMDB_Movies!P$2:P$3493)</f>
        <v>131963328</v>
      </c>
    </row>
    <row r="700">
      <c r="A700" s="24" t="s">
        <v>2705</v>
      </c>
      <c r="B700" s="35">
        <f t="array" ref="B700">XLOOKUP(A700,IMDB_Movies!I$2:I$3493,IMDB_Movies!Q$2:Q$3493)</f>
        <v>0</v>
      </c>
      <c r="E700" s="24" t="s">
        <v>2705</v>
      </c>
      <c r="F700" s="36">
        <f t="array" ref="F700">XLOOKUP(A700,IMDB_Movies!I$2:I$3493,IMDB_Movies!P$2:P$3493)</f>
        <v>25605492</v>
      </c>
    </row>
    <row r="701">
      <c r="A701" s="11" t="s">
        <v>2709</v>
      </c>
      <c r="B701" s="35">
        <f t="array" ref="B701">XLOOKUP(A701,IMDB_Movies!I$2:I$3493,IMDB_Movies!Q$2:Q$3493)</f>
        <v>0</v>
      </c>
      <c r="E701" s="11" t="s">
        <v>2709</v>
      </c>
      <c r="F701" s="36">
        <f t="array" ref="F701">XLOOKUP(A701,IMDB_Movies!I$2:I$3493,IMDB_Movies!P$2:P$3493)</f>
        <v>32811275</v>
      </c>
    </row>
    <row r="702">
      <c r="A702" s="28" t="s">
        <v>2713</v>
      </c>
      <c r="B702" s="35">
        <f t="array" ref="B702">XLOOKUP(A702,IMDB_Movies!I$2:I$3493,IMDB_Movies!Q$2:Q$3493)</f>
        <v>2973655</v>
      </c>
      <c r="E702" s="28" t="s">
        <v>2713</v>
      </c>
      <c r="F702" s="36">
        <f t="array" ref="F702">XLOOKUP(A702,IMDB_Movies!I$2:I$3493,IMDB_Movies!P$2:P$3493)</f>
        <v>0</v>
      </c>
    </row>
    <row r="703">
      <c r="A703" s="11" t="s">
        <v>2718</v>
      </c>
      <c r="B703" s="35">
        <f t="array" ref="B703">XLOOKUP(A703,IMDB_Movies!I$2:I$3493,IMDB_Movies!Q$2:Q$3493)</f>
        <v>45979146</v>
      </c>
      <c r="E703" s="11" t="s">
        <v>2718</v>
      </c>
      <c r="F703" s="36">
        <f t="array" ref="F703">XLOOKUP(A703,IMDB_Movies!I$2:I$3493,IMDB_Movies!P$2:P$3493)</f>
        <v>0</v>
      </c>
    </row>
    <row r="704">
      <c r="A704" s="11" t="s">
        <v>2721</v>
      </c>
      <c r="B704" s="35">
        <f t="array" ref="B704">XLOOKUP(A704,IMDB_Movies!I$2:I$3493,IMDB_Movies!Q$2:Q$3493)</f>
        <v>0</v>
      </c>
      <c r="E704" s="11" t="s">
        <v>2721</v>
      </c>
      <c r="F704" s="36">
        <f t="array" ref="F704">XLOOKUP(A704,IMDB_Movies!I$2:I$3493,IMDB_Movies!P$2:P$3493)</f>
        <v>24412677</v>
      </c>
    </row>
    <row r="705">
      <c r="A705" s="24" t="s">
        <v>2725</v>
      </c>
      <c r="B705" s="35">
        <f t="array" ref="B705">XLOOKUP(A705,IMDB_Movies!I$2:I$3493,IMDB_Movies!Q$2:Q$3493)</f>
        <v>0</v>
      </c>
      <c r="E705" s="24" t="s">
        <v>2725</v>
      </c>
      <c r="F705" s="36">
        <f t="array" ref="F705">XLOOKUP(A705,IMDB_Movies!I$2:I$3493,IMDB_Movies!P$2:P$3493)</f>
        <v>12369573</v>
      </c>
    </row>
    <row r="706">
      <c r="A706" s="24" t="s">
        <v>2728</v>
      </c>
      <c r="B706" s="35">
        <f t="array" ref="B706">XLOOKUP(A706,IMDB_Movies!I$2:I$3493,IMDB_Movies!Q$2:Q$3493)</f>
        <v>0</v>
      </c>
      <c r="E706" s="24" t="s">
        <v>2728</v>
      </c>
      <c r="F706" s="36">
        <f t="array" ref="F706">XLOOKUP(A706,IMDB_Movies!I$2:I$3493,IMDB_Movies!P$2:P$3493)</f>
        <v>2828771</v>
      </c>
    </row>
    <row r="707">
      <c r="A707" s="16" t="s">
        <v>2732</v>
      </c>
      <c r="B707" s="35">
        <f t="array" ref="B707">XLOOKUP(A707,IMDB_Movies!I$2:I$3493,IMDB_Movies!Q$2:Q$3493)</f>
        <v>0</v>
      </c>
      <c r="E707" s="16" t="s">
        <v>2732</v>
      </c>
      <c r="F707" s="36">
        <f t="array" ref="F707">XLOOKUP(A707,IMDB_Movies!I$2:I$3493,IMDB_Movies!P$2:P$3493)</f>
        <v>18043505</v>
      </c>
    </row>
    <row r="708">
      <c r="A708" s="32" t="s">
        <v>2736</v>
      </c>
      <c r="B708" s="35">
        <f t="array" ref="B708">XLOOKUP(A708,IMDB_Movies!I$2:I$3493,IMDB_Movies!Q$2:Q$3493)</f>
        <v>0</v>
      </c>
      <c r="E708" s="32" t="s">
        <v>2736</v>
      </c>
      <c r="F708" s="36">
        <f t="array" ref="F708">XLOOKUP(A708,IMDB_Movies!I$2:I$3493,IMDB_Movies!P$2:P$3493)</f>
        <v>35010106</v>
      </c>
    </row>
    <row r="709">
      <c r="A709" s="32" t="s">
        <v>2740</v>
      </c>
      <c r="B709" s="35">
        <f t="array" ref="B709">XLOOKUP(A709,IMDB_Movies!I$2:I$3493,IMDB_Movies!Q$2:Q$3493)</f>
        <v>0</v>
      </c>
      <c r="E709" s="32" t="s">
        <v>2740</v>
      </c>
      <c r="F709" s="36">
        <f t="array" ref="F709">XLOOKUP(A709,IMDB_Movies!I$2:I$3493,IMDB_Movies!P$2:P$3493)</f>
        <v>22101000</v>
      </c>
    </row>
    <row r="710">
      <c r="A710" s="11" t="s">
        <v>2743</v>
      </c>
      <c r="B710" s="35">
        <f t="array" ref="B710">XLOOKUP(A710,IMDB_Movies!I$2:I$3493,IMDB_Movies!Q$2:Q$3493)</f>
        <v>0</v>
      </c>
      <c r="E710" s="11" t="s">
        <v>2743</v>
      </c>
      <c r="F710" s="36">
        <f t="array" ref="F710">XLOOKUP(A710,IMDB_Movies!I$2:I$3493,IMDB_Movies!P$2:P$3493)</f>
        <v>5000377</v>
      </c>
    </row>
    <row r="711">
      <c r="A711" s="11" t="s">
        <v>2746</v>
      </c>
      <c r="B711" s="35">
        <f t="array" ref="B711">XLOOKUP(A711,IMDB_Movies!I$2:I$3493,IMDB_Movies!Q$2:Q$3493)</f>
        <v>27968963</v>
      </c>
      <c r="E711" s="11" t="s">
        <v>2746</v>
      </c>
      <c r="F711" s="36">
        <f t="array" ref="F711">XLOOKUP(A711,IMDB_Movies!I$2:I$3493,IMDB_Movies!P$2:P$3493)</f>
        <v>0</v>
      </c>
    </row>
    <row r="712">
      <c r="A712" s="11" t="s">
        <v>2750</v>
      </c>
      <c r="B712" s="35">
        <f t="array" ref="B712">XLOOKUP(A712,IMDB_Movies!I$2:I$3493,IMDB_Movies!Q$2:Q$3493)</f>
        <v>39488080</v>
      </c>
      <c r="E712" s="11" t="s">
        <v>2750</v>
      </c>
      <c r="F712" s="36">
        <f t="array" ref="F712">XLOOKUP(A712,IMDB_Movies!I$2:I$3493,IMDB_Movies!P$2:P$3493)</f>
        <v>0</v>
      </c>
    </row>
    <row r="713">
      <c r="A713" s="11" t="s">
        <v>2753</v>
      </c>
      <c r="B713" s="35">
        <f t="array" ref="B713">XLOOKUP(A713,IMDB_Movies!I$2:I$3493,IMDB_Movies!Q$2:Q$3493)</f>
        <v>30348000</v>
      </c>
      <c r="E713" s="11" t="s">
        <v>2753</v>
      </c>
      <c r="F713" s="36">
        <f t="array" ref="F713">XLOOKUP(A713,IMDB_Movies!I$2:I$3493,IMDB_Movies!P$2:P$3493)</f>
        <v>0</v>
      </c>
    </row>
    <row r="714">
      <c r="A714" s="20" t="s">
        <v>2757</v>
      </c>
      <c r="B714" s="35">
        <f t="array" ref="B714">XLOOKUP(A714,IMDB_Movies!I$2:I$3493,IMDB_Movies!Q$2:Q$3493)</f>
        <v>0</v>
      </c>
      <c r="E714" s="20" t="s">
        <v>2757</v>
      </c>
      <c r="F714" s="36">
        <f t="array" ref="F714">XLOOKUP(A714,IMDB_Movies!I$2:I$3493,IMDB_Movies!P$2:P$3493)</f>
        <v>63313048</v>
      </c>
    </row>
    <row r="715">
      <c r="A715" s="20" t="s">
        <v>2761</v>
      </c>
      <c r="B715" s="35">
        <f t="array" ref="B715">XLOOKUP(A715,IMDB_Movies!I$2:I$3493,IMDB_Movies!Q$2:Q$3493)</f>
        <v>0</v>
      </c>
      <c r="E715" s="20" t="s">
        <v>2761</v>
      </c>
      <c r="F715" s="36">
        <f t="array" ref="F715">XLOOKUP(A715,IMDB_Movies!I$2:I$3493,IMDB_Movies!P$2:P$3493)</f>
        <v>10474107</v>
      </c>
    </row>
    <row r="716">
      <c r="A716" s="24" t="s">
        <v>2766</v>
      </c>
      <c r="B716" s="35">
        <f t="array" ref="B716">XLOOKUP(A716,IMDB_Movies!I$2:I$3493,IMDB_Movies!Q$2:Q$3493)</f>
        <v>698312689</v>
      </c>
      <c r="E716" s="24" t="s">
        <v>2766</v>
      </c>
      <c r="F716" s="36">
        <f t="array" ref="F716">XLOOKUP(A716,IMDB_Movies!I$2:I$3493,IMDB_Movies!P$2:P$3493)</f>
        <v>0</v>
      </c>
    </row>
    <row r="717">
      <c r="A717" s="11" t="s">
        <v>2769</v>
      </c>
      <c r="B717" s="35">
        <f t="array" ref="B717">XLOOKUP(A717,IMDB_Movies!I$2:I$3493,IMDB_Movies!Q$2:Q$3493)</f>
        <v>9258013</v>
      </c>
      <c r="E717" s="11" t="s">
        <v>2769</v>
      </c>
      <c r="F717" s="36">
        <f t="array" ref="F717">XLOOKUP(A717,IMDB_Movies!I$2:I$3493,IMDB_Movies!P$2:P$3493)</f>
        <v>0</v>
      </c>
    </row>
    <row r="718">
      <c r="A718" s="16" t="s">
        <v>2773</v>
      </c>
      <c r="B718" s="35">
        <f t="array" ref="B718">XLOOKUP(A718,IMDB_Movies!I$2:I$3493,IMDB_Movies!Q$2:Q$3493)</f>
        <v>0</v>
      </c>
      <c r="E718" s="16" t="s">
        <v>2773</v>
      </c>
      <c r="F718" s="36">
        <f t="array" ref="F718">XLOOKUP(A718,IMDB_Movies!I$2:I$3493,IMDB_Movies!P$2:P$3493)</f>
        <v>1239558</v>
      </c>
    </row>
    <row r="719">
      <c r="A719" s="24" t="s">
        <v>2776</v>
      </c>
      <c r="B719" s="35">
        <f t="array" ref="B719">XLOOKUP(A719,IMDB_Movies!I$2:I$3493,IMDB_Movies!Q$2:Q$3493)</f>
        <v>10043599</v>
      </c>
      <c r="E719" s="24" t="s">
        <v>2776</v>
      </c>
      <c r="F719" s="36">
        <f t="array" ref="F719">XLOOKUP(A719,IMDB_Movies!I$2:I$3493,IMDB_Movies!P$2:P$3493)</f>
        <v>0</v>
      </c>
    </row>
    <row r="720">
      <c r="A720" s="32" t="s">
        <v>2779</v>
      </c>
      <c r="B720" s="35">
        <f t="array" ref="B720">XLOOKUP(A720,IMDB_Movies!I$2:I$3493,IMDB_Movies!Q$2:Q$3493)</f>
        <v>0</v>
      </c>
      <c r="E720" s="32" t="s">
        <v>2779</v>
      </c>
      <c r="F720" s="36">
        <f t="array" ref="F720">XLOOKUP(A720,IMDB_Movies!I$2:I$3493,IMDB_Movies!P$2:P$3493)</f>
        <v>41489425</v>
      </c>
    </row>
    <row r="721">
      <c r="A721" s="32" t="s">
        <v>2783</v>
      </c>
      <c r="B721" s="35">
        <f t="array" ref="B721">XLOOKUP(A721,IMDB_Movies!I$2:I$3493,IMDB_Movies!Q$2:Q$3493)</f>
        <v>1900853</v>
      </c>
      <c r="E721" s="32" t="s">
        <v>2783</v>
      </c>
      <c r="F721" s="36">
        <f t="array" ref="F721">XLOOKUP(A721,IMDB_Movies!I$2:I$3493,IMDB_Movies!P$2:P$3493)</f>
        <v>0</v>
      </c>
    </row>
    <row r="722">
      <c r="A722" s="24" t="s">
        <v>2786</v>
      </c>
      <c r="B722" s="35">
        <f t="array" ref="B722">XLOOKUP(A722,IMDB_Movies!I$2:I$3493,IMDB_Movies!Q$2:Q$3493)</f>
        <v>19736635</v>
      </c>
      <c r="E722" s="24" t="s">
        <v>2786</v>
      </c>
      <c r="F722" s="36">
        <f t="array" ref="F722">XLOOKUP(A722,IMDB_Movies!I$2:I$3493,IMDB_Movies!P$2:P$3493)</f>
        <v>0</v>
      </c>
    </row>
    <row r="723">
      <c r="A723" s="20" t="s">
        <v>2789</v>
      </c>
      <c r="B723" s="35">
        <f t="array" ref="B723">XLOOKUP(A723,IMDB_Movies!I$2:I$3493,IMDB_Movies!Q$2:Q$3493)</f>
        <v>0</v>
      </c>
      <c r="E723" s="20" t="s">
        <v>2789</v>
      </c>
      <c r="F723" s="36">
        <f t="array" ref="F723">XLOOKUP(A723,IMDB_Movies!I$2:I$3493,IMDB_Movies!P$2:P$3493)</f>
        <v>68488329</v>
      </c>
    </row>
    <row r="724">
      <c r="A724" s="28" t="s">
        <v>2792</v>
      </c>
      <c r="B724" s="35">
        <f t="array" ref="B724">XLOOKUP(A724,IMDB_Movies!I$2:I$3493,IMDB_Movies!Q$2:Q$3493)</f>
        <v>0</v>
      </c>
      <c r="E724" s="28" t="s">
        <v>2792</v>
      </c>
      <c r="F724" s="36">
        <f t="array" ref="F724">XLOOKUP(A724,IMDB_Movies!I$2:I$3493,IMDB_Movies!P$2:P$3493)</f>
        <v>19903076</v>
      </c>
    </row>
    <row r="725">
      <c r="A725" s="11" t="s">
        <v>2795</v>
      </c>
      <c r="B725" s="35">
        <f t="array" ref="B725">XLOOKUP(A725,IMDB_Movies!I$2:I$3493,IMDB_Movies!Q$2:Q$3493)</f>
        <v>0</v>
      </c>
      <c r="E725" s="11" t="s">
        <v>2795</v>
      </c>
      <c r="F725" s="36">
        <f t="array" ref="F725">XLOOKUP(A725,IMDB_Movies!I$2:I$3493,IMDB_Movies!P$2:P$3493)</f>
        <v>241395</v>
      </c>
    </row>
    <row r="726">
      <c r="A726" s="20" t="s">
        <v>2798</v>
      </c>
      <c r="B726" s="35">
        <f t="array" ref="B726">XLOOKUP(A726,IMDB_Movies!I$2:I$3493,IMDB_Movies!Q$2:Q$3493)</f>
        <v>0</v>
      </c>
      <c r="E726" s="20" t="s">
        <v>2798</v>
      </c>
      <c r="F726" s="36">
        <f t="array" ref="F726">XLOOKUP(A726,IMDB_Movies!I$2:I$3493,IMDB_Movies!P$2:P$3493)</f>
        <v>2237244</v>
      </c>
    </row>
    <row r="727">
      <c r="A727" s="11" t="s">
        <v>2803</v>
      </c>
      <c r="B727" s="35">
        <f t="array" ref="B727">XLOOKUP(A727,IMDB_Movies!I$2:I$3493,IMDB_Movies!Q$2:Q$3493)</f>
        <v>0</v>
      </c>
      <c r="E727" s="11" t="s">
        <v>2803</v>
      </c>
      <c r="F727" s="36">
        <f t="array" ref="F727">XLOOKUP(A727,IMDB_Movies!I$2:I$3493,IMDB_Movies!P$2:P$3493)</f>
        <v>12700000</v>
      </c>
    </row>
    <row r="728">
      <c r="A728" s="11" t="s">
        <v>2806</v>
      </c>
      <c r="B728" s="35">
        <f t="array" ref="B728">XLOOKUP(A728,IMDB_Movies!I$2:I$3493,IMDB_Movies!Q$2:Q$3493)</f>
        <v>0</v>
      </c>
      <c r="E728" s="11" t="s">
        <v>2806</v>
      </c>
      <c r="F728" s="36">
        <f t="array" ref="F728">XLOOKUP(A728,IMDB_Movies!I$2:I$3493,IMDB_Movies!P$2:P$3493)</f>
        <v>79175854</v>
      </c>
    </row>
    <row r="729">
      <c r="A729" s="11" t="s">
        <v>2810</v>
      </c>
      <c r="B729" s="35">
        <f t="array" ref="B729">XLOOKUP(A729,IMDB_Movies!I$2:I$3493,IMDB_Movies!Q$2:Q$3493)</f>
        <v>21790660</v>
      </c>
      <c r="E729" s="11" t="s">
        <v>2810</v>
      </c>
      <c r="F729" s="36">
        <f t="array" ref="F729">XLOOKUP(A729,IMDB_Movies!I$2:I$3493,IMDB_Movies!P$2:P$3493)</f>
        <v>0</v>
      </c>
    </row>
    <row r="730">
      <c r="A730" s="24" t="s">
        <v>2812</v>
      </c>
      <c r="B730" s="35">
        <f t="array" ref="B730">XLOOKUP(A730,IMDB_Movies!I$2:I$3493,IMDB_Movies!Q$2:Q$3493)</f>
        <v>93153376</v>
      </c>
      <c r="E730" s="24" t="s">
        <v>2812</v>
      </c>
      <c r="F730" s="36">
        <f t="array" ref="F730">XLOOKUP(A730,IMDB_Movies!I$2:I$3493,IMDB_Movies!P$2:P$3493)</f>
        <v>0</v>
      </c>
    </row>
    <row r="731">
      <c r="A731" s="20" t="s">
        <v>2814</v>
      </c>
      <c r="B731" s="35">
        <f t="array" ref="B731">XLOOKUP(A731,IMDB_Movies!I$2:I$3493,IMDB_Movies!Q$2:Q$3493)</f>
        <v>0</v>
      </c>
      <c r="E731" s="20" t="s">
        <v>2814</v>
      </c>
      <c r="F731" s="36">
        <f t="array" ref="F731">XLOOKUP(A731,IMDB_Movies!I$2:I$3493,IMDB_Movies!P$2:P$3493)</f>
        <v>2214255</v>
      </c>
    </row>
    <row r="732">
      <c r="A732" s="32" t="s">
        <v>2816</v>
      </c>
      <c r="B732" s="35">
        <f t="array" ref="B732">XLOOKUP(A732,IMDB_Movies!I$2:I$3493,IMDB_Movies!Q$2:Q$3493)</f>
        <v>0</v>
      </c>
      <c r="E732" s="32" t="s">
        <v>2816</v>
      </c>
      <c r="F732" s="36">
        <f t="array" ref="F732">XLOOKUP(A732,IMDB_Movies!I$2:I$3493,IMDB_Movies!P$2:P$3493)</f>
        <v>10154426</v>
      </c>
    </row>
    <row r="733">
      <c r="A733" s="11" t="s">
        <v>2819</v>
      </c>
      <c r="B733" s="35">
        <f t="array" ref="B733">XLOOKUP(A733,IMDB_Movies!I$2:I$3493,IMDB_Movies!Q$2:Q$3493)</f>
        <v>3649226</v>
      </c>
      <c r="E733" s="11" t="s">
        <v>2819</v>
      </c>
      <c r="F733" s="36">
        <f t="array" ref="F733">XLOOKUP(A733,IMDB_Movies!I$2:I$3493,IMDB_Movies!P$2:P$3493)</f>
        <v>0</v>
      </c>
    </row>
    <row r="734">
      <c r="A734" s="24" t="s">
        <v>2822</v>
      </c>
      <c r="B734" s="35">
        <f t="array" ref="B734">XLOOKUP(A734,IMDB_Movies!I$2:I$3493,IMDB_Movies!Q$2:Q$3493)</f>
        <v>0</v>
      </c>
      <c r="E734" s="24" t="s">
        <v>2822</v>
      </c>
      <c r="F734" s="36">
        <f t="array" ref="F734">XLOOKUP(A734,IMDB_Movies!I$2:I$3493,IMDB_Movies!P$2:P$3493)</f>
        <v>7034272</v>
      </c>
    </row>
    <row r="735">
      <c r="A735" s="24" t="s">
        <v>2826</v>
      </c>
      <c r="B735" s="35">
        <f t="array" ref="B735">XLOOKUP(A735,IMDB_Movies!I$2:I$3493,IMDB_Movies!Q$2:Q$3493)</f>
        <v>19880795</v>
      </c>
      <c r="E735" s="24" t="s">
        <v>2826</v>
      </c>
      <c r="F735" s="36">
        <f t="array" ref="F735">XLOOKUP(A735,IMDB_Movies!I$2:I$3493,IMDB_Movies!P$2:P$3493)</f>
        <v>0</v>
      </c>
    </row>
    <row r="736">
      <c r="A736" s="16" t="s">
        <v>2829</v>
      </c>
      <c r="B736" s="35">
        <f t="array" ref="B736">XLOOKUP(A736,IMDB_Movies!I$2:I$3493,IMDB_Movies!Q$2:Q$3493)</f>
        <v>0</v>
      </c>
      <c r="E736" s="16" t="s">
        <v>2829</v>
      </c>
      <c r="F736" s="36">
        <f t="array" ref="F736">XLOOKUP(A736,IMDB_Movies!I$2:I$3493,IMDB_Movies!P$2:P$3493)</f>
        <v>20300000</v>
      </c>
    </row>
    <row r="737">
      <c r="A737" s="28" t="s">
        <v>2833</v>
      </c>
      <c r="B737" s="35">
        <f t="array" ref="B737">XLOOKUP(A737,IMDB_Movies!I$2:I$3493,IMDB_Movies!Q$2:Q$3493)</f>
        <v>0</v>
      </c>
      <c r="E737" s="28" t="s">
        <v>2833</v>
      </c>
      <c r="F737" s="36">
        <f t="array" ref="F737">XLOOKUP(A737,IMDB_Movies!I$2:I$3493,IMDB_Movies!P$2:P$3493)</f>
        <v>31193053</v>
      </c>
    </row>
    <row r="738">
      <c r="A738" s="32" t="s">
        <v>2836</v>
      </c>
      <c r="B738" s="35">
        <f t="array" ref="B738">XLOOKUP(A738,IMDB_Movies!I$2:I$3493,IMDB_Movies!Q$2:Q$3493)</f>
        <v>2452144</v>
      </c>
      <c r="E738" s="32" t="s">
        <v>2836</v>
      </c>
      <c r="F738" s="36">
        <f t="array" ref="F738">XLOOKUP(A738,IMDB_Movies!I$2:I$3493,IMDB_Movies!P$2:P$3493)</f>
        <v>0</v>
      </c>
    </row>
    <row r="739">
      <c r="A739" s="11" t="s">
        <v>2839</v>
      </c>
      <c r="B739" s="35">
        <f t="array" ref="B739">XLOOKUP(A739,IMDB_Movies!I$2:I$3493,IMDB_Movies!Q$2:Q$3493)</f>
        <v>34314732</v>
      </c>
      <c r="E739" s="11" t="s">
        <v>2839</v>
      </c>
      <c r="F739" s="36">
        <f t="array" ref="F739">XLOOKUP(A739,IMDB_Movies!I$2:I$3493,IMDB_Movies!P$2:P$3493)</f>
        <v>0</v>
      </c>
    </row>
    <row r="740">
      <c r="A740" s="11" t="s">
        <v>2841</v>
      </c>
      <c r="B740" s="35">
        <f t="array" ref="B740">XLOOKUP(A740,IMDB_Movies!I$2:I$3493,IMDB_Movies!Q$2:Q$3493)</f>
        <v>0</v>
      </c>
      <c r="E740" s="11" t="s">
        <v>2841</v>
      </c>
      <c r="F740" s="36">
        <f t="array" ref="F740">XLOOKUP(A740,IMDB_Movies!I$2:I$3493,IMDB_Movies!P$2:P$3493)</f>
        <v>24001218</v>
      </c>
    </row>
    <row r="741">
      <c r="A741" s="11" t="s">
        <v>2845</v>
      </c>
      <c r="B741" s="35">
        <f t="array" ref="B741">XLOOKUP(A741,IMDB_Movies!I$2:I$3493,IMDB_Movies!Q$2:Q$3493)</f>
        <v>0</v>
      </c>
      <c r="E741" s="11" t="s">
        <v>2845</v>
      </c>
      <c r="F741" s="36">
        <f t="array" ref="F741">XLOOKUP(A741,IMDB_Movies!I$2:I$3493,IMDB_Movies!P$2:P$3493)</f>
        <v>13240988</v>
      </c>
    </row>
    <row r="742">
      <c r="A742" s="20" t="s">
        <v>2849</v>
      </c>
      <c r="B742" s="35">
        <f t="array" ref="B742">XLOOKUP(A742,IMDB_Movies!I$2:I$3493,IMDB_Movies!Q$2:Q$3493)</f>
        <v>6750474</v>
      </c>
      <c r="E742" s="20" t="s">
        <v>2849</v>
      </c>
      <c r="F742" s="36">
        <f t="array" ref="F742">XLOOKUP(A742,IMDB_Movies!I$2:I$3493,IMDB_Movies!P$2:P$3493)</f>
        <v>0</v>
      </c>
    </row>
    <row r="743">
      <c r="A743" s="11" t="s">
        <v>2853</v>
      </c>
      <c r="B743" s="35">
        <f t="array" ref="B743">XLOOKUP(A743,IMDB_Movies!I$2:I$3493,IMDB_Movies!Q$2:Q$3493)</f>
        <v>104868170</v>
      </c>
      <c r="E743" s="11" t="s">
        <v>2853</v>
      </c>
      <c r="F743" s="36">
        <f t="array" ref="F743">XLOOKUP(A743,IMDB_Movies!I$2:I$3493,IMDB_Movies!P$2:P$3493)</f>
        <v>0</v>
      </c>
    </row>
    <row r="744">
      <c r="A744" s="11" t="s">
        <v>2857</v>
      </c>
      <c r="B744" s="35">
        <f t="array" ref="B744">XLOOKUP(A744,IMDB_Movies!I$2:I$3493,IMDB_Movies!Q$2:Q$3493)</f>
        <v>21598317</v>
      </c>
      <c r="E744" s="11" t="s">
        <v>2857</v>
      </c>
      <c r="F744" s="36">
        <f t="array" ref="F744">XLOOKUP(A744,IMDB_Movies!I$2:I$3493,IMDB_Movies!P$2:P$3493)</f>
        <v>0</v>
      </c>
    </row>
    <row r="745">
      <c r="A745" s="20" t="s">
        <v>2860</v>
      </c>
      <c r="B745" s="35">
        <f t="array" ref="B745">XLOOKUP(A745,IMDB_Movies!I$2:I$3493,IMDB_Movies!Q$2:Q$3493)</f>
        <v>0</v>
      </c>
      <c r="E745" s="20" t="s">
        <v>2860</v>
      </c>
      <c r="F745" s="36">
        <f t="array" ref="F745">XLOOKUP(A745,IMDB_Movies!I$2:I$3493,IMDB_Movies!P$2:P$3493)</f>
        <v>38192114</v>
      </c>
    </row>
    <row r="746">
      <c r="A746" s="11" t="s">
        <v>2864</v>
      </c>
      <c r="B746" s="35">
        <f t="array" ref="B746">XLOOKUP(A746,IMDB_Movies!I$2:I$3493,IMDB_Movies!Q$2:Q$3493)</f>
        <v>2628615</v>
      </c>
      <c r="E746" s="11" t="s">
        <v>2864</v>
      </c>
      <c r="F746" s="36">
        <f t="array" ref="F746">XLOOKUP(A746,IMDB_Movies!I$2:I$3493,IMDB_Movies!P$2:P$3493)</f>
        <v>0</v>
      </c>
    </row>
    <row r="747">
      <c r="A747" s="11" t="s">
        <v>2866</v>
      </c>
      <c r="B747" s="35">
        <f t="array" ref="B747">XLOOKUP(A747,IMDB_Movies!I$2:I$3493,IMDB_Movies!Q$2:Q$3493)</f>
        <v>0</v>
      </c>
      <c r="E747" s="11" t="s">
        <v>2866</v>
      </c>
      <c r="F747" s="36">
        <f t="array" ref="F747">XLOOKUP(A747,IMDB_Movies!I$2:I$3493,IMDB_Movies!P$2:P$3493)</f>
        <v>27528330</v>
      </c>
    </row>
    <row r="748">
      <c r="A748" s="20" t="s">
        <v>2869</v>
      </c>
      <c r="B748" s="35">
        <f t="array" ref="B748">XLOOKUP(A748,IMDB_Movies!I$2:I$3493,IMDB_Movies!Q$2:Q$3493)</f>
        <v>1404336</v>
      </c>
      <c r="E748" s="20" t="s">
        <v>2869</v>
      </c>
      <c r="F748" s="36">
        <f t="array" ref="F748">XLOOKUP(A748,IMDB_Movies!I$2:I$3493,IMDB_Movies!P$2:P$3493)</f>
        <v>0</v>
      </c>
    </row>
    <row r="749">
      <c r="A749" s="11" t="s">
        <v>2872</v>
      </c>
      <c r="B749" s="35">
        <f t="array" ref="B749">XLOOKUP(A749,IMDB_Movies!I$2:I$3493,IMDB_Movies!Q$2:Q$3493)</f>
        <v>60917086</v>
      </c>
      <c r="E749" s="11" t="s">
        <v>2872</v>
      </c>
      <c r="F749" s="36">
        <f t="array" ref="F749">XLOOKUP(A749,IMDB_Movies!I$2:I$3493,IMDB_Movies!P$2:P$3493)</f>
        <v>0</v>
      </c>
    </row>
    <row r="750">
      <c r="A750" s="11" t="s">
        <v>2875</v>
      </c>
      <c r="B750" s="35">
        <f t="array" ref="B750">XLOOKUP(A750,IMDB_Movies!I$2:I$3493,IMDB_Movies!Q$2:Q$3493)</f>
        <v>1971342</v>
      </c>
      <c r="E750" s="11" t="s">
        <v>2875</v>
      </c>
      <c r="F750" s="36">
        <f t="array" ref="F750">XLOOKUP(A750,IMDB_Movies!I$2:I$3493,IMDB_Movies!P$2:P$3493)</f>
        <v>0</v>
      </c>
    </row>
    <row r="751">
      <c r="A751" s="20" t="s">
        <v>2877</v>
      </c>
      <c r="B751" s="35">
        <f t="array" ref="B751">XLOOKUP(A751,IMDB_Movies!I$2:I$3493,IMDB_Movies!Q$2:Q$3493)</f>
        <v>2894915</v>
      </c>
      <c r="E751" s="20" t="s">
        <v>2877</v>
      </c>
      <c r="F751" s="36">
        <f t="array" ref="F751">XLOOKUP(A751,IMDB_Movies!I$2:I$3493,IMDB_Movies!P$2:P$3493)</f>
        <v>0</v>
      </c>
    </row>
    <row r="752">
      <c r="A752" s="11" t="s">
        <v>2880</v>
      </c>
      <c r="B752" s="35">
        <f t="array" ref="B752">XLOOKUP(A752,IMDB_Movies!I$2:I$3493,IMDB_Movies!Q$2:Q$3493)</f>
        <v>0</v>
      </c>
      <c r="E752" s="11" t="s">
        <v>2880</v>
      </c>
      <c r="F752" s="36">
        <f t="array" ref="F752">XLOOKUP(A752,IMDB_Movies!I$2:I$3493,IMDB_Movies!P$2:P$3493)</f>
        <v>22176108</v>
      </c>
    </row>
    <row r="753">
      <c r="A753" s="11" t="s">
        <v>2884</v>
      </c>
      <c r="B753" s="35">
        <f t="array" ref="B753">XLOOKUP(A753,IMDB_Movies!I$2:I$3493,IMDB_Movies!Q$2:Q$3493)</f>
        <v>909814</v>
      </c>
      <c r="E753" s="11" t="s">
        <v>2884</v>
      </c>
      <c r="F753" s="36">
        <f t="array" ref="F753">XLOOKUP(A753,IMDB_Movies!I$2:I$3493,IMDB_Movies!P$2:P$3493)</f>
        <v>0</v>
      </c>
    </row>
    <row r="754">
      <c r="A754" s="11" t="s">
        <v>2888</v>
      </c>
      <c r="B754" s="35">
        <f t="array" ref="B754">XLOOKUP(A754,IMDB_Movies!I$2:I$3493,IMDB_Movies!Q$2:Q$3493)</f>
        <v>39916</v>
      </c>
      <c r="E754" s="11" t="s">
        <v>2888</v>
      </c>
      <c r="F754" s="36">
        <f t="array" ref="F754">XLOOKUP(A754,IMDB_Movies!I$2:I$3493,IMDB_Movies!P$2:P$3493)</f>
        <v>0</v>
      </c>
    </row>
    <row r="755">
      <c r="A755" s="11" t="s">
        <v>2892</v>
      </c>
      <c r="B755" s="35">
        <f t="array" ref="B755">XLOOKUP(A755,IMDB_Movies!I$2:I$3493,IMDB_Movies!Q$2:Q$3493)</f>
        <v>0</v>
      </c>
      <c r="E755" s="11" t="s">
        <v>2892</v>
      </c>
      <c r="F755" s="36">
        <f t="array" ref="F755">XLOOKUP(A755,IMDB_Movies!I$2:I$3493,IMDB_Movies!P$2:P$3493)</f>
        <v>27453345</v>
      </c>
    </row>
    <row r="756">
      <c r="A756" s="24" t="s">
        <v>2896</v>
      </c>
      <c r="B756" s="35">
        <f t="array" ref="B756">XLOOKUP(A756,IMDB_Movies!I$2:I$3493,IMDB_Movies!Q$2:Q$3493)</f>
        <v>18935723</v>
      </c>
      <c r="E756" s="24" t="s">
        <v>2896</v>
      </c>
      <c r="F756" s="36">
        <f t="array" ref="F756">XLOOKUP(A756,IMDB_Movies!I$2:I$3493,IMDB_Movies!P$2:P$3493)</f>
        <v>0</v>
      </c>
    </row>
    <row r="757">
      <c r="A757" s="24" t="s">
        <v>2901</v>
      </c>
      <c r="B757" s="35">
        <f t="array" ref="B757">XLOOKUP(A757,IMDB_Movies!I$2:I$3493,IMDB_Movies!Q$2:Q$3493)</f>
        <v>0</v>
      </c>
      <c r="E757" s="24" t="s">
        <v>2901</v>
      </c>
      <c r="F757" s="36">
        <f t="array" ref="F757">XLOOKUP(A757,IMDB_Movies!I$2:I$3493,IMDB_Movies!P$2:P$3493)</f>
        <v>20911262</v>
      </c>
    </row>
    <row r="758">
      <c r="A758" s="28" t="s">
        <v>2904</v>
      </c>
      <c r="B758" s="35">
        <f t="array" ref="B758">XLOOKUP(A758,IMDB_Movies!I$2:I$3493,IMDB_Movies!Q$2:Q$3493)</f>
        <v>0</v>
      </c>
      <c r="E758" s="28" t="s">
        <v>2904</v>
      </c>
      <c r="F758" s="36">
        <f t="array" ref="F758">XLOOKUP(A758,IMDB_Movies!I$2:I$3493,IMDB_Movies!P$2:P$3493)</f>
        <v>98614544</v>
      </c>
    </row>
    <row r="759">
      <c r="A759" s="32" t="s">
        <v>2908</v>
      </c>
      <c r="B759" s="35">
        <f t="array" ref="B759">XLOOKUP(A759,IMDB_Movies!I$2:I$3493,IMDB_Movies!Q$2:Q$3493)</f>
        <v>14333738</v>
      </c>
      <c r="E759" s="32" t="s">
        <v>2908</v>
      </c>
      <c r="F759" s="36">
        <f t="array" ref="F759">XLOOKUP(A759,IMDB_Movies!I$2:I$3493,IMDB_Movies!P$2:P$3493)</f>
        <v>0</v>
      </c>
    </row>
    <row r="760">
      <c r="A760" s="24" t="s">
        <v>2911</v>
      </c>
      <c r="B760" s="35">
        <f t="array" ref="B760">XLOOKUP(A760,IMDB_Movies!I$2:I$3493,IMDB_Movies!Q$2:Q$3493)</f>
        <v>65267965</v>
      </c>
      <c r="E760" s="24" t="s">
        <v>2911</v>
      </c>
      <c r="F760" s="36">
        <f t="array" ref="F760">XLOOKUP(A760,IMDB_Movies!I$2:I$3493,IMDB_Movies!P$2:P$3493)</f>
        <v>0</v>
      </c>
    </row>
    <row r="761">
      <c r="A761" s="11" t="s">
        <v>2913</v>
      </c>
      <c r="B761" s="35">
        <f t="array" ref="B761">XLOOKUP(A761,IMDB_Movies!I$2:I$3493,IMDB_Movies!Q$2:Q$3493)</f>
        <v>7035257</v>
      </c>
      <c r="E761" s="11" t="s">
        <v>2913</v>
      </c>
      <c r="F761" s="36">
        <f t="array" ref="F761">XLOOKUP(A761,IMDB_Movies!I$2:I$3493,IMDB_Movies!P$2:P$3493)</f>
        <v>0</v>
      </c>
    </row>
    <row r="762">
      <c r="A762" s="28" t="s">
        <v>2915</v>
      </c>
      <c r="B762" s="35">
        <f t="array" ref="B762">XLOOKUP(A762,IMDB_Movies!I$2:I$3493,IMDB_Movies!Q$2:Q$3493)</f>
        <v>0</v>
      </c>
      <c r="E762" s="28" t="s">
        <v>2915</v>
      </c>
      <c r="F762" s="36">
        <f t="array" ref="F762">XLOOKUP(A762,IMDB_Movies!I$2:I$3493,IMDB_Movies!P$2:P$3493)</f>
        <v>134185206</v>
      </c>
    </row>
    <row r="763">
      <c r="A763" s="24" t="s">
        <v>2919</v>
      </c>
      <c r="B763" s="35">
        <f t="array" ref="B763">XLOOKUP(A763,IMDB_Movies!I$2:I$3493,IMDB_Movies!Q$2:Q$3493)</f>
        <v>3624277</v>
      </c>
      <c r="E763" s="24" t="s">
        <v>2919</v>
      </c>
      <c r="F763" s="36">
        <f t="array" ref="F763">XLOOKUP(A763,IMDB_Movies!I$2:I$3493,IMDB_Movies!P$2:P$3493)</f>
        <v>0</v>
      </c>
    </row>
    <row r="764">
      <c r="A764" s="11" t="s">
        <v>2923</v>
      </c>
      <c r="B764" s="35">
        <f t="array" ref="B764">XLOOKUP(A764,IMDB_Movies!I$2:I$3493,IMDB_Movies!Q$2:Q$3493)</f>
        <v>0</v>
      </c>
      <c r="E764" s="11" t="s">
        <v>2923</v>
      </c>
      <c r="F764" s="36">
        <f t="array" ref="F764">XLOOKUP(A764,IMDB_Movies!I$2:I$3493,IMDB_Movies!P$2:P$3493)</f>
        <v>22931301</v>
      </c>
    </row>
    <row r="765">
      <c r="A765" s="16" t="s">
        <v>2927</v>
      </c>
      <c r="B765" s="35">
        <f t="array" ref="B765">XLOOKUP(A765,IMDB_Movies!I$2:I$3493,IMDB_Movies!Q$2:Q$3493)</f>
        <v>0</v>
      </c>
      <c r="E765" s="16" t="s">
        <v>2927</v>
      </c>
      <c r="F765" s="36">
        <f t="array" ref="F765">XLOOKUP(A765,IMDB_Movies!I$2:I$3493,IMDB_Movies!P$2:P$3493)</f>
        <v>7397469</v>
      </c>
    </row>
    <row r="766">
      <c r="A766" s="20" t="s">
        <v>2930</v>
      </c>
      <c r="B766" s="35">
        <f t="array" ref="B766">XLOOKUP(A766,IMDB_Movies!I$2:I$3493,IMDB_Movies!Q$2:Q$3493)</f>
        <v>0</v>
      </c>
      <c r="E766" s="20" t="s">
        <v>2930</v>
      </c>
      <c r="F766" s="36">
        <f t="array" ref="F766">XLOOKUP(A766,IMDB_Movies!I$2:I$3493,IMDB_Movies!P$2:P$3493)</f>
        <v>9008928</v>
      </c>
    </row>
    <row r="767">
      <c r="A767" s="28" t="s">
        <v>2933</v>
      </c>
      <c r="B767" s="35">
        <f t="array" ref="B767">XLOOKUP(A767,IMDB_Movies!I$2:I$3493,IMDB_Movies!Q$2:Q$3493)</f>
        <v>16726580</v>
      </c>
      <c r="E767" s="28" t="s">
        <v>2933</v>
      </c>
      <c r="F767" s="36">
        <f t="array" ref="F767">XLOOKUP(A767,IMDB_Movies!I$2:I$3493,IMDB_Movies!P$2:P$3493)</f>
        <v>0</v>
      </c>
    </row>
    <row r="768">
      <c r="A768" s="11" t="s">
        <v>2936</v>
      </c>
      <c r="B768" s="35">
        <f t="array" ref="B768">XLOOKUP(A768,IMDB_Movies!I$2:I$3493,IMDB_Movies!Q$2:Q$3493)</f>
        <v>0</v>
      </c>
      <c r="E768" s="11" t="s">
        <v>2936</v>
      </c>
      <c r="F768" s="36">
        <f t="array" ref="F768">XLOOKUP(A768,IMDB_Movies!I$2:I$3493,IMDB_Movies!P$2:P$3493)</f>
        <v>23585416</v>
      </c>
    </row>
    <row r="769">
      <c r="A769" s="24" t="s">
        <v>2938</v>
      </c>
      <c r="B769" s="35">
        <f t="array" ref="B769">XLOOKUP(A769,IMDB_Movies!I$2:I$3493,IMDB_Movies!Q$2:Q$3493)</f>
        <v>0</v>
      </c>
      <c r="E769" s="24" t="s">
        <v>2938</v>
      </c>
      <c r="F769" s="36">
        <f t="array" ref="F769">XLOOKUP(A769,IMDB_Movies!I$2:I$3493,IMDB_Movies!P$2:P$3493)</f>
        <v>9284657</v>
      </c>
    </row>
    <row r="770">
      <c r="A770" s="11" t="s">
        <v>2941</v>
      </c>
      <c r="B770" s="35">
        <f t="array" ref="B770">XLOOKUP(A770,IMDB_Movies!I$2:I$3493,IMDB_Movies!Q$2:Q$3493)</f>
        <v>1333</v>
      </c>
      <c r="E770" s="11" t="s">
        <v>2941</v>
      </c>
      <c r="F770" s="36">
        <f t="array" ref="F770">XLOOKUP(A770,IMDB_Movies!I$2:I$3493,IMDB_Movies!P$2:P$3493)</f>
        <v>0</v>
      </c>
    </row>
    <row r="771">
      <c r="A771" s="16" t="s">
        <v>2944</v>
      </c>
      <c r="B771" s="35">
        <f t="array" ref="B771">XLOOKUP(A771,IMDB_Movies!I$2:I$3493,IMDB_Movies!Q$2:Q$3493)</f>
        <v>0</v>
      </c>
      <c r="E771" s="16" t="s">
        <v>2944</v>
      </c>
      <c r="F771" s="36">
        <f t="array" ref="F771">XLOOKUP(A771,IMDB_Movies!I$2:I$3493,IMDB_Movies!P$2:P$3493)</f>
        <v>329999255</v>
      </c>
    </row>
    <row r="772">
      <c r="A772" s="20" t="s">
        <v>2947</v>
      </c>
      <c r="B772" s="35">
        <f t="array" ref="B772">XLOOKUP(A772,IMDB_Movies!I$2:I$3493,IMDB_Movies!Q$2:Q$3493)</f>
        <v>0</v>
      </c>
      <c r="E772" s="20" t="s">
        <v>2947</v>
      </c>
      <c r="F772" s="36">
        <f t="array" ref="F772">XLOOKUP(A772,IMDB_Movies!I$2:I$3493,IMDB_Movies!P$2:P$3493)</f>
        <v>13515786</v>
      </c>
    </row>
    <row r="773">
      <c r="A773" s="16" t="s">
        <v>2950</v>
      </c>
      <c r="B773" s="35">
        <f t="array" ref="B773">XLOOKUP(A773,IMDB_Movies!I$2:I$3493,IMDB_Movies!Q$2:Q$3493)</f>
        <v>23185810</v>
      </c>
      <c r="E773" s="16" t="s">
        <v>2950</v>
      </c>
      <c r="F773" s="36">
        <f t="array" ref="F773">XLOOKUP(A773,IMDB_Movies!I$2:I$3493,IMDB_Movies!P$2:P$3493)</f>
        <v>0</v>
      </c>
    </row>
    <row r="774">
      <c r="A774" s="11" t="s">
        <v>2953</v>
      </c>
      <c r="B774" s="35">
        <f t="array" ref="B774">XLOOKUP(A774,IMDB_Movies!I$2:I$3493,IMDB_Movies!Q$2:Q$3493)</f>
        <v>20935667</v>
      </c>
      <c r="E774" s="11" t="s">
        <v>2953</v>
      </c>
      <c r="F774" s="36">
        <f t="array" ref="F774">XLOOKUP(A774,IMDB_Movies!I$2:I$3493,IMDB_Movies!P$2:P$3493)</f>
        <v>0</v>
      </c>
    </row>
    <row r="775">
      <c r="A775" s="28" t="s">
        <v>2956</v>
      </c>
      <c r="B775" s="35">
        <f t="array" ref="B775">XLOOKUP(A775,IMDB_Movies!I$2:I$3493,IMDB_Movies!Q$2:Q$3493)</f>
        <v>1297136</v>
      </c>
      <c r="E775" s="28" t="s">
        <v>2956</v>
      </c>
      <c r="F775" s="36">
        <f t="array" ref="F775">XLOOKUP(A775,IMDB_Movies!I$2:I$3493,IMDB_Movies!P$2:P$3493)</f>
        <v>0</v>
      </c>
    </row>
    <row r="776">
      <c r="A776" s="11" t="s">
        <v>2959</v>
      </c>
      <c r="B776" s="35">
        <f t="array" ref="B776">XLOOKUP(A776,IMDB_Movies!I$2:I$3493,IMDB_Movies!Q$2:Q$3493)</f>
        <v>11410555</v>
      </c>
      <c r="E776" s="11" t="s">
        <v>2959</v>
      </c>
      <c r="F776" s="36">
        <f t="array" ref="F776">XLOOKUP(A776,IMDB_Movies!I$2:I$3493,IMDB_Movies!P$2:P$3493)</f>
        <v>0</v>
      </c>
    </row>
    <row r="777">
      <c r="A777" s="20" t="s">
        <v>2963</v>
      </c>
      <c r="B777" s="35">
        <f t="array" ref="B777">XLOOKUP(A777,IMDB_Movies!I$2:I$3493,IMDB_Movies!Q$2:Q$3493)</f>
        <v>18823678</v>
      </c>
      <c r="E777" s="20" t="s">
        <v>2963</v>
      </c>
      <c r="F777" s="36">
        <f t="array" ref="F777">XLOOKUP(A777,IMDB_Movies!I$2:I$3493,IMDB_Movies!P$2:P$3493)</f>
        <v>0</v>
      </c>
    </row>
    <row r="778">
      <c r="A778" s="11" t="s">
        <v>2965</v>
      </c>
      <c r="B778" s="35">
        <f t="array" ref="B778">XLOOKUP(A778,IMDB_Movies!I$2:I$3493,IMDB_Movies!Q$2:Q$3493)</f>
        <v>0</v>
      </c>
      <c r="E778" s="11" t="s">
        <v>2965</v>
      </c>
      <c r="F778" s="36">
        <f t="array" ref="F778">XLOOKUP(A778,IMDB_Movies!I$2:I$3493,IMDB_Movies!P$2:P$3493)</f>
        <v>96248145</v>
      </c>
    </row>
    <row r="779">
      <c r="A779" s="11" t="s">
        <v>2969</v>
      </c>
      <c r="B779" s="35">
        <f t="array" ref="B779">XLOOKUP(A779,IMDB_Movies!I$2:I$3493,IMDB_Movies!Q$2:Q$3493)</f>
        <v>14577793</v>
      </c>
      <c r="E779" s="11" t="s">
        <v>2969</v>
      </c>
      <c r="F779" s="36">
        <f t="array" ref="F779">XLOOKUP(A779,IMDB_Movies!I$2:I$3493,IMDB_Movies!P$2:P$3493)</f>
        <v>0</v>
      </c>
    </row>
    <row r="780">
      <c r="A780" s="11" t="s">
        <v>2972</v>
      </c>
      <c r="B780" s="35">
        <f t="array" ref="B780">XLOOKUP(A780,IMDB_Movies!I$2:I$3493,IMDB_Movies!Q$2:Q$3493)</f>
        <v>11111645</v>
      </c>
      <c r="E780" s="11" t="s">
        <v>2972</v>
      </c>
      <c r="F780" s="36">
        <f t="array" ref="F780">XLOOKUP(A780,IMDB_Movies!I$2:I$3493,IMDB_Movies!P$2:P$3493)</f>
        <v>0</v>
      </c>
    </row>
    <row r="781">
      <c r="A781" s="24" t="s">
        <v>2975</v>
      </c>
      <c r="B781" s="35">
        <f t="array" ref="B781">XLOOKUP(A781,IMDB_Movies!I$2:I$3493,IMDB_Movies!Q$2:Q$3493)</f>
        <v>468168</v>
      </c>
      <c r="E781" s="24" t="s">
        <v>2975</v>
      </c>
      <c r="F781" s="36">
        <f t="array" ref="F781">XLOOKUP(A781,IMDB_Movies!I$2:I$3493,IMDB_Movies!P$2:P$3493)</f>
        <v>0</v>
      </c>
    </row>
    <row r="782">
      <c r="A782" s="11" t="s">
        <v>2979</v>
      </c>
      <c r="B782" s="35">
        <f t="array" ref="B782">XLOOKUP(A782,IMDB_Movies!I$2:I$3493,IMDB_Movies!Q$2:Q$3493)</f>
        <v>0</v>
      </c>
      <c r="E782" s="11" t="s">
        <v>2979</v>
      </c>
      <c r="F782" s="36">
        <f t="array" ref="F782">XLOOKUP(A782,IMDB_Movies!I$2:I$3493,IMDB_Movies!P$2:P$3493)</f>
        <v>2173190</v>
      </c>
    </row>
    <row r="783">
      <c r="A783" s="28" t="s">
        <v>2982</v>
      </c>
      <c r="B783" s="35">
        <f t="array" ref="B783">XLOOKUP(A783,IMDB_Movies!I$2:I$3493,IMDB_Movies!Q$2:Q$3493)</f>
        <v>15111972</v>
      </c>
      <c r="E783" s="28" t="s">
        <v>2982</v>
      </c>
      <c r="F783" s="36">
        <f t="array" ref="F783">XLOOKUP(A783,IMDB_Movies!I$2:I$3493,IMDB_Movies!P$2:P$3493)</f>
        <v>0</v>
      </c>
    </row>
    <row r="784">
      <c r="A784" s="20" t="s">
        <v>2986</v>
      </c>
      <c r="B784" s="35">
        <f t="array" ref="B784">XLOOKUP(A784,IMDB_Movies!I$2:I$3493,IMDB_Movies!Q$2:Q$3493)</f>
        <v>4655153</v>
      </c>
      <c r="E784" s="20" t="s">
        <v>2986</v>
      </c>
      <c r="F784" s="36">
        <f t="array" ref="F784">XLOOKUP(A784,IMDB_Movies!I$2:I$3493,IMDB_Movies!P$2:P$3493)</f>
        <v>0</v>
      </c>
    </row>
    <row r="785">
      <c r="A785" s="20" t="s">
        <v>2989</v>
      </c>
      <c r="B785" s="35">
        <f t="array" ref="B785">XLOOKUP(A785,IMDB_Movies!I$2:I$3493,IMDB_Movies!Q$2:Q$3493)</f>
        <v>120706229</v>
      </c>
      <c r="E785" s="20" t="s">
        <v>2989</v>
      </c>
      <c r="F785" s="36">
        <f t="array" ref="F785">XLOOKUP(A785,IMDB_Movies!I$2:I$3493,IMDB_Movies!P$2:P$3493)</f>
        <v>0</v>
      </c>
    </row>
    <row r="786">
      <c r="A786" s="11" t="s">
        <v>2992</v>
      </c>
      <c r="B786" s="35">
        <f t="array" ref="B786">XLOOKUP(A786,IMDB_Movies!I$2:I$3493,IMDB_Movies!Q$2:Q$3493)</f>
        <v>0</v>
      </c>
      <c r="E786" s="11" t="s">
        <v>2992</v>
      </c>
      <c r="F786" s="36">
        <f t="array" ref="F786">XLOOKUP(A786,IMDB_Movies!I$2:I$3493,IMDB_Movies!P$2:P$3493)</f>
        <v>2774834</v>
      </c>
    </row>
    <row r="787">
      <c r="A787" s="11" t="s">
        <v>2995</v>
      </c>
      <c r="B787" s="35">
        <f t="array" ref="B787">XLOOKUP(A787,IMDB_Movies!I$2:I$3493,IMDB_Movies!Q$2:Q$3493)</f>
        <v>0</v>
      </c>
      <c r="E787" s="11" t="s">
        <v>2995</v>
      </c>
      <c r="F787" s="36">
        <f t="array" ref="F787">XLOOKUP(A787,IMDB_Movies!I$2:I$3493,IMDB_Movies!P$2:P$3493)</f>
        <v>32962333</v>
      </c>
    </row>
    <row r="788">
      <c r="A788" s="24" t="s">
        <v>2998</v>
      </c>
      <c r="B788" s="35">
        <f t="array" ref="B788">XLOOKUP(A788,IMDB_Movies!I$2:I$3493,IMDB_Movies!Q$2:Q$3493)</f>
        <v>0</v>
      </c>
      <c r="E788" s="24" t="s">
        <v>2998</v>
      </c>
      <c r="F788" s="36">
        <f t="array" ref="F788">XLOOKUP(A788,IMDB_Movies!I$2:I$3493,IMDB_Movies!P$2:P$3493)</f>
        <v>267761243</v>
      </c>
    </row>
    <row r="789">
      <c r="A789" s="11" t="s">
        <v>3002</v>
      </c>
      <c r="B789" s="35">
        <f t="array" ref="B789">XLOOKUP(A789,IMDB_Movies!I$2:I$3493,IMDB_Movies!Q$2:Q$3493)</f>
        <v>0</v>
      </c>
      <c r="E789" s="11" t="s">
        <v>3002</v>
      </c>
      <c r="F789" s="36">
        <f t="array" ref="F789">XLOOKUP(A789,IMDB_Movies!I$2:I$3493,IMDB_Movies!P$2:P$3493)</f>
        <v>45969179</v>
      </c>
    </row>
    <row r="790">
      <c r="A790" s="28" t="s">
        <v>3004</v>
      </c>
      <c r="B790" s="35">
        <f t="array" ref="B790">XLOOKUP(A790,IMDB_Movies!I$2:I$3493,IMDB_Movies!Q$2:Q$3493)</f>
        <v>19983606</v>
      </c>
      <c r="E790" s="28" t="s">
        <v>3004</v>
      </c>
      <c r="F790" s="36">
        <f t="array" ref="F790">XLOOKUP(A790,IMDB_Movies!I$2:I$3493,IMDB_Movies!P$2:P$3493)</f>
        <v>0</v>
      </c>
    </row>
    <row r="791">
      <c r="A791" s="11" t="s">
        <v>3009</v>
      </c>
      <c r="B791" s="35">
        <f t="array" ref="B791">XLOOKUP(A791,IMDB_Movies!I$2:I$3493,IMDB_Movies!Q$2:Q$3493)</f>
        <v>0</v>
      </c>
      <c r="E791" s="11" t="s">
        <v>3009</v>
      </c>
      <c r="F791" s="36">
        <f t="array" ref="F791">XLOOKUP(A791,IMDB_Movies!I$2:I$3493,IMDB_Movies!P$2:P$3493)</f>
        <v>14399750</v>
      </c>
    </row>
    <row r="792">
      <c r="A792" s="24" t="s">
        <v>3011</v>
      </c>
      <c r="B792" s="35">
        <f t="array" ref="B792">XLOOKUP(A792,IMDB_Movies!I$2:I$3493,IMDB_Movies!Q$2:Q$3493)</f>
        <v>0</v>
      </c>
      <c r="E792" s="24" t="s">
        <v>3011</v>
      </c>
      <c r="F792" s="36">
        <f t="array" ref="F792">XLOOKUP(A792,IMDB_Movies!I$2:I$3493,IMDB_Movies!P$2:P$3493)</f>
        <v>2323044</v>
      </c>
    </row>
    <row r="793">
      <c r="A793" s="24" t="s">
        <v>3014</v>
      </c>
      <c r="B793" s="35">
        <f t="array" ref="B793">XLOOKUP(A793,IMDB_Movies!I$2:I$3493,IMDB_Movies!Q$2:Q$3493)</f>
        <v>0</v>
      </c>
      <c r="E793" s="24" t="s">
        <v>3014</v>
      </c>
      <c r="F793" s="36">
        <f t="array" ref="F793">XLOOKUP(A793,IMDB_Movies!I$2:I$3493,IMDB_Movies!P$2:P$3493)</f>
        <v>22296514</v>
      </c>
    </row>
    <row r="794">
      <c r="A794" s="16" t="s">
        <v>3019</v>
      </c>
      <c r="B794" s="35">
        <f t="array" ref="B794">XLOOKUP(A794,IMDB_Movies!I$2:I$3493,IMDB_Movies!Q$2:Q$3493)</f>
        <v>0</v>
      </c>
      <c r="E794" s="16" t="s">
        <v>3019</v>
      </c>
      <c r="F794" s="36">
        <f t="array" ref="F794">XLOOKUP(A794,IMDB_Movies!I$2:I$3493,IMDB_Movies!P$2:P$3493)</f>
        <v>65771527</v>
      </c>
    </row>
    <row r="795">
      <c r="A795" s="16" t="s">
        <v>3022</v>
      </c>
      <c r="B795" s="35">
        <f t="array" ref="B795">XLOOKUP(A795,IMDB_Movies!I$2:I$3493,IMDB_Movies!Q$2:Q$3493)</f>
        <v>8674623</v>
      </c>
      <c r="E795" s="16" t="s">
        <v>3022</v>
      </c>
      <c r="F795" s="36">
        <f t="array" ref="F795">XLOOKUP(A795,IMDB_Movies!I$2:I$3493,IMDB_Movies!P$2:P$3493)</f>
        <v>0</v>
      </c>
    </row>
    <row r="796">
      <c r="A796" s="28" t="s">
        <v>3026</v>
      </c>
      <c r="B796" s="35">
        <f t="array" ref="B796">XLOOKUP(A796,IMDB_Movies!I$2:I$3493,IMDB_Movies!Q$2:Q$3493)</f>
        <v>0</v>
      </c>
      <c r="E796" s="28" t="s">
        <v>3026</v>
      </c>
      <c r="F796" s="36">
        <f t="array" ref="F796">XLOOKUP(A796,IMDB_Movies!I$2:I$3493,IMDB_Movies!P$2:P$3493)</f>
        <v>47715416</v>
      </c>
    </row>
    <row r="797">
      <c r="A797" s="16" t="s">
        <v>3029</v>
      </c>
      <c r="B797" s="35">
        <f t="array" ref="B797">XLOOKUP(A797,IMDB_Movies!I$2:I$3493,IMDB_Movies!Q$2:Q$3493)</f>
        <v>13924922</v>
      </c>
      <c r="E797" s="16" t="s">
        <v>3029</v>
      </c>
      <c r="F797" s="36">
        <f t="array" ref="F797">XLOOKUP(A797,IMDB_Movies!I$2:I$3493,IMDB_Movies!P$2:P$3493)</f>
        <v>0</v>
      </c>
    </row>
    <row r="798">
      <c r="A798" s="24" t="s">
        <v>3031</v>
      </c>
      <c r="B798" s="35">
        <f t="array" ref="B798">XLOOKUP(A798,IMDB_Movies!I$2:I$3493,IMDB_Movies!Q$2:Q$3493)</f>
        <v>41472875</v>
      </c>
      <c r="E798" s="24" t="s">
        <v>3031</v>
      </c>
      <c r="F798" s="36">
        <f t="array" ref="F798">XLOOKUP(A798,IMDB_Movies!I$2:I$3493,IMDB_Movies!P$2:P$3493)</f>
        <v>0</v>
      </c>
    </row>
    <row r="799">
      <c r="A799" s="16" t="s">
        <v>3034</v>
      </c>
      <c r="B799" s="35">
        <f t="array" ref="B799">XLOOKUP(A799,IMDB_Movies!I$2:I$3493,IMDB_Movies!Q$2:Q$3493)</f>
        <v>32737712</v>
      </c>
      <c r="E799" s="16" t="s">
        <v>3034</v>
      </c>
      <c r="F799" s="36">
        <f t="array" ref="F799">XLOOKUP(A799,IMDB_Movies!I$2:I$3493,IMDB_Movies!P$2:P$3493)</f>
        <v>0</v>
      </c>
    </row>
    <row r="800">
      <c r="A800" s="32" t="s">
        <v>3038</v>
      </c>
      <c r="B800" s="35">
        <f t="array" ref="B800">XLOOKUP(A800,IMDB_Movies!I$2:I$3493,IMDB_Movies!Q$2:Q$3493)</f>
        <v>0</v>
      </c>
      <c r="E800" s="32" t="s">
        <v>3038</v>
      </c>
      <c r="F800" s="36">
        <f t="array" ref="F800">XLOOKUP(A800,IMDB_Movies!I$2:I$3493,IMDB_Movies!P$2:P$3493)</f>
        <v>9843379</v>
      </c>
    </row>
    <row r="801">
      <c r="A801" s="28" t="s">
        <v>3040</v>
      </c>
      <c r="B801" s="35">
        <f t="array" ref="B801">XLOOKUP(A801,IMDB_Movies!I$2:I$3493,IMDB_Movies!Q$2:Q$3493)</f>
        <v>5959121</v>
      </c>
      <c r="E801" s="28" t="s">
        <v>3040</v>
      </c>
      <c r="F801" s="36">
        <f t="array" ref="F801">XLOOKUP(A801,IMDB_Movies!I$2:I$3493,IMDB_Movies!P$2:P$3493)</f>
        <v>0</v>
      </c>
    </row>
    <row r="802">
      <c r="A802" s="11" t="s">
        <v>3043</v>
      </c>
      <c r="B802" s="35">
        <f t="array" ref="B802">XLOOKUP(A802,IMDB_Movies!I$2:I$3493,IMDB_Movies!Q$2:Q$3493)</f>
        <v>0</v>
      </c>
      <c r="E802" s="11" t="s">
        <v>3043</v>
      </c>
      <c r="F802" s="36">
        <f t="array" ref="F802">XLOOKUP(A802,IMDB_Movies!I$2:I$3493,IMDB_Movies!P$2:P$3493)</f>
        <v>3825820</v>
      </c>
    </row>
    <row r="803">
      <c r="A803" s="11" t="s">
        <v>3047</v>
      </c>
      <c r="B803" s="35">
        <f t="array" ref="B803">XLOOKUP(A803,IMDB_Movies!I$2:I$3493,IMDB_Movies!Q$2:Q$3493)</f>
        <v>35946421</v>
      </c>
      <c r="E803" s="11" t="s">
        <v>3047</v>
      </c>
      <c r="F803" s="36">
        <f t="array" ref="F803">XLOOKUP(A803,IMDB_Movies!I$2:I$3493,IMDB_Movies!P$2:P$3493)</f>
        <v>0</v>
      </c>
    </row>
    <row r="804">
      <c r="A804" s="20" t="s">
        <v>3050</v>
      </c>
      <c r="B804" s="35">
        <f t="array" ref="B804">XLOOKUP(A804,IMDB_Movies!I$2:I$3493,IMDB_Movies!Q$2:Q$3493)</f>
        <v>959412</v>
      </c>
      <c r="E804" s="20" t="s">
        <v>3050</v>
      </c>
      <c r="F804" s="36">
        <f t="array" ref="F804">XLOOKUP(A804,IMDB_Movies!I$2:I$3493,IMDB_Movies!P$2:P$3493)</f>
        <v>0</v>
      </c>
    </row>
    <row r="805">
      <c r="A805" s="24" t="s">
        <v>3054</v>
      </c>
      <c r="B805" s="35">
        <f t="array" ref="B805">XLOOKUP(A805,IMDB_Movies!I$2:I$3493,IMDB_Movies!Q$2:Q$3493)</f>
        <v>3602635</v>
      </c>
      <c r="E805" s="24" t="s">
        <v>3054</v>
      </c>
      <c r="F805" s="36">
        <f t="array" ref="F805">XLOOKUP(A805,IMDB_Movies!I$2:I$3493,IMDB_Movies!P$2:P$3493)</f>
        <v>0</v>
      </c>
    </row>
    <row r="806">
      <c r="A806" s="20" t="s">
        <v>3056</v>
      </c>
      <c r="B806" s="35">
        <f t="array" ref="B806">XLOOKUP(A806,IMDB_Movies!I$2:I$3493,IMDB_Movies!Q$2:Q$3493)</f>
        <v>0</v>
      </c>
      <c r="E806" s="20" t="s">
        <v>3056</v>
      </c>
      <c r="F806" s="36">
        <f t="array" ref="F806">XLOOKUP(A806,IMDB_Movies!I$2:I$3493,IMDB_Movies!P$2:P$3493)</f>
        <v>3292105</v>
      </c>
    </row>
    <row r="807">
      <c r="A807" s="16" t="s">
        <v>3059</v>
      </c>
      <c r="B807" s="35">
        <f t="array" ref="B807">XLOOKUP(A807,IMDB_Movies!I$2:I$3493,IMDB_Movies!Q$2:Q$3493)</f>
        <v>0</v>
      </c>
      <c r="E807" s="16" t="s">
        <v>3059</v>
      </c>
      <c r="F807" s="36">
        <f t="array" ref="F807">XLOOKUP(A807,IMDB_Movies!I$2:I$3493,IMDB_Movies!P$2:P$3493)</f>
        <v>3092822</v>
      </c>
    </row>
    <row r="808">
      <c r="A808" s="11" t="s">
        <v>3061</v>
      </c>
      <c r="B808" s="35">
        <f t="array" ref="B808">XLOOKUP(A808,IMDB_Movies!I$2:I$3493,IMDB_Movies!Q$2:Q$3493)</f>
        <v>0</v>
      </c>
      <c r="E808" s="11" t="s">
        <v>3061</v>
      </c>
      <c r="F808" s="36">
        <f t="array" ref="F808">XLOOKUP(A808,IMDB_Movies!I$2:I$3493,IMDB_Movies!P$2:P$3493)</f>
        <v>48383780</v>
      </c>
    </row>
    <row r="809">
      <c r="A809" s="28" t="s">
        <v>3065</v>
      </c>
      <c r="B809" s="35">
        <f t="array" ref="B809">XLOOKUP(A809,IMDB_Movies!I$2:I$3493,IMDB_Movies!Q$2:Q$3493)</f>
        <v>0</v>
      </c>
      <c r="E809" s="28" t="s">
        <v>3065</v>
      </c>
      <c r="F809" s="36">
        <f t="array" ref="F809">XLOOKUP(A809,IMDB_Movies!I$2:I$3493,IMDB_Movies!P$2:P$3493)</f>
        <v>8350177</v>
      </c>
    </row>
    <row r="810">
      <c r="A810" s="11" t="s">
        <v>3069</v>
      </c>
      <c r="B810" s="35">
        <f t="array" ref="B810">XLOOKUP(A810,IMDB_Movies!I$2:I$3493,IMDB_Movies!Q$2:Q$3493)</f>
        <v>2196204</v>
      </c>
      <c r="E810" s="11" t="s">
        <v>3069</v>
      </c>
      <c r="F810" s="36">
        <f t="array" ref="F810">XLOOKUP(A810,IMDB_Movies!I$2:I$3493,IMDB_Movies!P$2:P$3493)</f>
        <v>0</v>
      </c>
    </row>
    <row r="811">
      <c r="A811" s="24" t="s">
        <v>3072</v>
      </c>
      <c r="B811" s="35">
        <f t="array" ref="B811">XLOOKUP(A811,IMDB_Movies!I$2:I$3493,IMDB_Movies!Q$2:Q$3493)</f>
        <v>14821835</v>
      </c>
      <c r="E811" s="24" t="s">
        <v>3072</v>
      </c>
      <c r="F811" s="36">
        <f t="array" ref="F811">XLOOKUP(A811,IMDB_Movies!I$2:I$3493,IMDB_Movies!P$2:P$3493)</f>
        <v>0</v>
      </c>
    </row>
    <row r="812">
      <c r="A812" s="11" t="s">
        <v>3074</v>
      </c>
      <c r="B812" s="35">
        <f t="array" ref="B812">XLOOKUP(A812,IMDB_Movies!I$2:I$3493,IMDB_Movies!Q$2:Q$3493)</f>
        <v>0</v>
      </c>
      <c r="E812" s="11" t="s">
        <v>3074</v>
      </c>
      <c r="F812" s="36">
        <f t="array" ref="F812">XLOOKUP(A812,IMDB_Movies!I$2:I$3493,IMDB_Movies!P$2:P$3493)</f>
        <v>3331103</v>
      </c>
    </row>
    <row r="813">
      <c r="A813" s="28" t="s">
        <v>3077</v>
      </c>
      <c r="B813" s="35">
        <f t="array" ref="B813">XLOOKUP(A813,IMDB_Movies!I$2:I$3493,IMDB_Movies!Q$2:Q$3493)</f>
        <v>0</v>
      </c>
      <c r="E813" s="28" t="s">
        <v>3077</v>
      </c>
      <c r="F813" s="36">
        <f t="array" ref="F813">XLOOKUP(A813,IMDB_Movies!I$2:I$3493,IMDB_Movies!P$2:P$3493)</f>
        <v>52165546</v>
      </c>
    </row>
    <row r="814">
      <c r="A814" s="11" t="s">
        <v>3079</v>
      </c>
      <c r="B814" s="35">
        <f t="array" ref="B814">XLOOKUP(A814,IMDB_Movies!I$2:I$3493,IMDB_Movies!Q$2:Q$3493)</f>
        <v>3772117</v>
      </c>
      <c r="E814" s="11" t="s">
        <v>3079</v>
      </c>
      <c r="F814" s="36">
        <f t="array" ref="F814">XLOOKUP(A814,IMDB_Movies!I$2:I$3493,IMDB_Movies!P$2:P$3493)</f>
        <v>0</v>
      </c>
    </row>
    <row r="815">
      <c r="A815" s="11" t="s">
        <v>3082</v>
      </c>
      <c r="B815" s="35">
        <f t="array" ref="B815">XLOOKUP(A815,IMDB_Movies!I$2:I$3493,IMDB_Movies!Q$2:Q$3493)</f>
        <v>42633738</v>
      </c>
      <c r="E815" s="11" t="s">
        <v>3082</v>
      </c>
      <c r="F815" s="36">
        <f t="array" ref="F815">XLOOKUP(A815,IMDB_Movies!I$2:I$3493,IMDB_Movies!P$2:P$3493)</f>
        <v>0</v>
      </c>
    </row>
    <row r="816">
      <c r="A816" s="24" t="s">
        <v>3085</v>
      </c>
      <c r="B816" s="35">
        <f t="array" ref="B816">XLOOKUP(A816,IMDB_Movies!I$2:I$3493,IMDB_Movies!Q$2:Q$3493)</f>
        <v>0</v>
      </c>
      <c r="E816" s="24" t="s">
        <v>3085</v>
      </c>
      <c r="F816" s="36">
        <f t="array" ref="F816">XLOOKUP(A816,IMDB_Movies!I$2:I$3493,IMDB_Movies!P$2:P$3493)</f>
        <v>34706988</v>
      </c>
    </row>
    <row r="817">
      <c r="A817" s="24" t="s">
        <v>3087</v>
      </c>
      <c r="B817" s="35">
        <f t="array" ref="B817">XLOOKUP(A817,IMDB_Movies!I$2:I$3493,IMDB_Movies!Q$2:Q$3493)</f>
        <v>0</v>
      </c>
      <c r="E817" s="24" t="s">
        <v>3087</v>
      </c>
      <c r="F817" s="36">
        <f t="array" ref="F817">XLOOKUP(A817,IMDB_Movies!I$2:I$3493,IMDB_Movies!P$2:P$3493)</f>
        <v>50608545</v>
      </c>
    </row>
    <row r="818">
      <c r="A818" s="28" t="s">
        <v>3091</v>
      </c>
      <c r="B818" s="35">
        <f t="array" ref="B818">XLOOKUP(A818,IMDB_Movies!I$2:I$3493,IMDB_Movies!Q$2:Q$3493)</f>
        <v>0</v>
      </c>
      <c r="E818" s="28" t="s">
        <v>3091</v>
      </c>
      <c r="F818" s="36">
        <f t="array" ref="F818">XLOOKUP(A818,IMDB_Movies!I$2:I$3493,IMDB_Movies!P$2:P$3493)</f>
        <v>5927406</v>
      </c>
    </row>
    <row r="819">
      <c r="A819" s="28" t="s">
        <v>3095</v>
      </c>
      <c r="B819" s="35">
        <f t="array" ref="B819">XLOOKUP(A819,IMDB_Movies!I$2:I$3493,IMDB_Movies!Q$2:Q$3493)</f>
        <v>0</v>
      </c>
      <c r="E819" s="28" t="s">
        <v>3095</v>
      </c>
      <c r="F819" s="36">
        <f t="array" ref="F819">XLOOKUP(A819,IMDB_Movies!I$2:I$3493,IMDB_Movies!P$2:P$3493)</f>
        <v>27887943</v>
      </c>
    </row>
    <row r="820">
      <c r="A820" s="11" t="s">
        <v>3098</v>
      </c>
      <c r="B820" s="35">
        <f t="array" ref="B820">XLOOKUP(A820,IMDB_Movies!I$2:I$3493,IMDB_Movies!Q$2:Q$3493)</f>
        <v>0</v>
      </c>
      <c r="E820" s="11" t="s">
        <v>3098</v>
      </c>
      <c r="F820" s="36">
        <f t="array" ref="F820">XLOOKUP(A820,IMDB_Movies!I$2:I$3493,IMDB_Movies!P$2:P$3493)</f>
        <v>252000000</v>
      </c>
    </row>
    <row r="821">
      <c r="A821" s="20" t="s">
        <v>3103</v>
      </c>
      <c r="B821" s="35">
        <f t="array" ref="B821">XLOOKUP(A821,IMDB_Movies!I$2:I$3493,IMDB_Movies!Q$2:Q$3493)</f>
        <v>0</v>
      </c>
      <c r="E821" s="20" t="s">
        <v>3103</v>
      </c>
      <c r="F821" s="36">
        <f t="array" ref="F821">XLOOKUP(A821,IMDB_Movies!I$2:I$3493,IMDB_Movies!P$2:P$3493)</f>
        <v>17567440</v>
      </c>
    </row>
    <row r="822">
      <c r="A822" s="20" t="s">
        <v>3105</v>
      </c>
      <c r="B822" s="35">
        <f t="array" ref="B822">XLOOKUP(A822,IMDB_Movies!I$2:I$3493,IMDB_Movies!Q$2:Q$3493)</f>
        <v>1140525</v>
      </c>
      <c r="E822" s="20" t="s">
        <v>3105</v>
      </c>
      <c r="F822" s="36">
        <f t="array" ref="F822">XLOOKUP(A822,IMDB_Movies!I$2:I$3493,IMDB_Movies!P$2:P$3493)</f>
        <v>0</v>
      </c>
    </row>
    <row r="823">
      <c r="A823" s="20" t="s">
        <v>3108</v>
      </c>
      <c r="B823" s="35">
        <f t="array" ref="B823">XLOOKUP(A823,IMDB_Movies!I$2:I$3493,IMDB_Movies!Q$2:Q$3493)</f>
        <v>0</v>
      </c>
      <c r="E823" s="20" t="s">
        <v>3108</v>
      </c>
      <c r="F823" s="36">
        <f t="array" ref="F823">XLOOKUP(A823,IMDB_Movies!I$2:I$3493,IMDB_Movies!P$2:P$3493)</f>
        <v>20651422</v>
      </c>
    </row>
    <row r="824">
      <c r="A824" s="11" t="s">
        <v>3112</v>
      </c>
      <c r="B824" s="35">
        <f t="array" ref="B824">XLOOKUP(A824,IMDB_Movies!I$2:I$3493,IMDB_Movies!Q$2:Q$3493)</f>
        <v>0</v>
      </c>
      <c r="E824" s="11" t="s">
        <v>3112</v>
      </c>
      <c r="F824" s="36">
        <f t="array" ref="F824">XLOOKUP(A824,IMDB_Movies!I$2:I$3493,IMDB_Movies!P$2:P$3493)</f>
        <v>18143332</v>
      </c>
    </row>
    <row r="825">
      <c r="A825" s="11" t="s">
        <v>3115</v>
      </c>
      <c r="B825" s="35">
        <f t="array" ref="B825">XLOOKUP(A825,IMDB_Movies!I$2:I$3493,IMDB_Movies!Q$2:Q$3493)</f>
        <v>61430</v>
      </c>
      <c r="E825" s="11" t="s">
        <v>3115</v>
      </c>
      <c r="F825" s="36">
        <f t="array" ref="F825">XLOOKUP(A825,IMDB_Movies!I$2:I$3493,IMDB_Movies!P$2:P$3493)</f>
        <v>0</v>
      </c>
    </row>
    <row r="826">
      <c r="A826" s="24" t="s">
        <v>3117</v>
      </c>
      <c r="B826" s="35">
        <f t="array" ref="B826">XLOOKUP(A826,IMDB_Movies!I$2:I$3493,IMDB_Movies!Q$2:Q$3493)</f>
        <v>0</v>
      </c>
      <c r="E826" s="24" t="s">
        <v>3117</v>
      </c>
      <c r="F826" s="36">
        <f t="array" ref="F826">XLOOKUP(A826,IMDB_Movies!I$2:I$3493,IMDB_Movies!P$2:P$3493)</f>
        <v>46806312</v>
      </c>
    </row>
    <row r="827">
      <c r="A827" s="11" t="s">
        <v>3122</v>
      </c>
      <c r="B827" s="35">
        <f t="array" ref="B827">XLOOKUP(A827,IMDB_Movies!I$2:I$3493,IMDB_Movies!Q$2:Q$3493)</f>
        <v>49300000</v>
      </c>
      <c r="E827" s="11" t="s">
        <v>3122</v>
      </c>
      <c r="F827" s="36">
        <f t="array" ref="F827">XLOOKUP(A827,IMDB_Movies!I$2:I$3493,IMDB_Movies!P$2:P$3493)</f>
        <v>0</v>
      </c>
    </row>
    <row r="828">
      <c r="A828" s="28" t="s">
        <v>3125</v>
      </c>
      <c r="B828" s="35">
        <f t="array" ref="B828">XLOOKUP(A828,IMDB_Movies!I$2:I$3493,IMDB_Movies!Q$2:Q$3493)</f>
        <v>8363615</v>
      </c>
      <c r="E828" s="28" t="s">
        <v>3125</v>
      </c>
      <c r="F828" s="36">
        <f t="array" ref="F828">XLOOKUP(A828,IMDB_Movies!I$2:I$3493,IMDB_Movies!P$2:P$3493)</f>
        <v>0</v>
      </c>
    </row>
    <row r="829">
      <c r="A829" s="11" t="s">
        <v>3127</v>
      </c>
      <c r="B829" s="35">
        <f t="array" ref="B829">XLOOKUP(A829,IMDB_Movies!I$2:I$3493,IMDB_Movies!Q$2:Q$3493)</f>
        <v>0</v>
      </c>
      <c r="E829" s="11" t="s">
        <v>3127</v>
      </c>
      <c r="F829" s="36">
        <f t="array" ref="F829">XLOOKUP(A829,IMDB_Movies!I$2:I$3493,IMDB_Movies!P$2:P$3493)</f>
        <v>123947053</v>
      </c>
    </row>
    <row r="830">
      <c r="A830" s="24" t="s">
        <v>3130</v>
      </c>
      <c r="B830" s="35">
        <f t="array" ref="B830">XLOOKUP(A830,IMDB_Movies!I$2:I$3493,IMDB_Movies!Q$2:Q$3493)</f>
        <v>0</v>
      </c>
      <c r="E830" s="24" t="s">
        <v>3130</v>
      </c>
      <c r="F830" s="36">
        <f t="array" ref="F830">XLOOKUP(A830,IMDB_Movies!I$2:I$3493,IMDB_Movies!P$2:P$3493)</f>
        <v>97637474</v>
      </c>
    </row>
    <row r="831">
      <c r="A831" s="11" t="s">
        <v>3135</v>
      </c>
      <c r="B831" s="35">
        <f t="array" ref="B831">XLOOKUP(A831,IMDB_Movies!I$2:I$3493,IMDB_Movies!Q$2:Q$3493)</f>
        <v>0</v>
      </c>
      <c r="E831" s="11" t="s">
        <v>3135</v>
      </c>
      <c r="F831" s="36">
        <f t="array" ref="F831">XLOOKUP(A831,IMDB_Movies!I$2:I$3493,IMDB_Movies!P$2:P$3493)</f>
        <v>9901126</v>
      </c>
    </row>
    <row r="832">
      <c r="A832" s="32" t="s">
        <v>3137</v>
      </c>
      <c r="B832" s="35">
        <f t="array" ref="B832">XLOOKUP(A832,IMDB_Movies!I$2:I$3493,IMDB_Movies!Q$2:Q$3493)</f>
        <v>0</v>
      </c>
      <c r="E832" s="32" t="s">
        <v>3137</v>
      </c>
      <c r="F832" s="36">
        <f t="array" ref="F832">XLOOKUP(A832,IMDB_Movies!I$2:I$3493,IMDB_Movies!P$2:P$3493)</f>
        <v>21747570</v>
      </c>
    </row>
    <row r="833">
      <c r="A833" s="24" t="s">
        <v>3141</v>
      </c>
      <c r="B833" s="35">
        <f t="array" ref="B833">XLOOKUP(A833,IMDB_Movies!I$2:I$3493,IMDB_Movies!Q$2:Q$3493)</f>
        <v>10964434</v>
      </c>
      <c r="E833" s="24" t="s">
        <v>3141</v>
      </c>
      <c r="F833" s="36">
        <f t="array" ref="F833">XLOOKUP(A833,IMDB_Movies!I$2:I$3493,IMDB_Movies!P$2:P$3493)</f>
        <v>0</v>
      </c>
    </row>
    <row r="834">
      <c r="A834" s="24" t="s">
        <v>3144</v>
      </c>
      <c r="B834" s="35">
        <f t="array" ref="B834">XLOOKUP(A834,IMDB_Movies!I$2:I$3493,IMDB_Movies!Q$2:Q$3493)</f>
        <v>42500000</v>
      </c>
      <c r="E834" s="24" t="s">
        <v>3144</v>
      </c>
      <c r="F834" s="36">
        <f t="array" ref="F834">XLOOKUP(A834,IMDB_Movies!I$2:I$3493,IMDB_Movies!P$2:P$3493)</f>
        <v>0</v>
      </c>
    </row>
    <row r="835">
      <c r="A835" s="16" t="s">
        <v>3146</v>
      </c>
      <c r="B835" s="35">
        <f t="array" ref="B835">XLOOKUP(A835,IMDB_Movies!I$2:I$3493,IMDB_Movies!Q$2:Q$3493)</f>
        <v>0</v>
      </c>
      <c r="E835" s="16" t="s">
        <v>3146</v>
      </c>
      <c r="F835" s="36">
        <f t="array" ref="F835">XLOOKUP(A835,IMDB_Movies!I$2:I$3493,IMDB_Movies!P$2:P$3493)</f>
        <v>7168445</v>
      </c>
    </row>
    <row r="836">
      <c r="A836" s="16" t="s">
        <v>3150</v>
      </c>
      <c r="B836" s="35">
        <f t="array" ref="B836">XLOOKUP(A836,IMDB_Movies!I$2:I$3493,IMDB_Movies!Q$2:Q$3493)</f>
        <v>18569728</v>
      </c>
      <c r="E836" s="16" t="s">
        <v>3150</v>
      </c>
      <c r="F836" s="36">
        <f t="array" ref="F836">XLOOKUP(A836,IMDB_Movies!I$2:I$3493,IMDB_Movies!P$2:P$3493)</f>
        <v>0</v>
      </c>
    </row>
    <row r="837">
      <c r="A837" s="32" t="s">
        <v>3152</v>
      </c>
      <c r="B837" s="35">
        <f t="array" ref="B837">XLOOKUP(A837,IMDB_Movies!I$2:I$3493,IMDB_Movies!Q$2:Q$3493)</f>
        <v>29125385</v>
      </c>
      <c r="E837" s="32" t="s">
        <v>3152</v>
      </c>
      <c r="F837" s="36">
        <f t="array" ref="F837">XLOOKUP(A837,IMDB_Movies!I$2:I$3493,IMDB_Movies!P$2:P$3493)</f>
        <v>0</v>
      </c>
    </row>
    <row r="838">
      <c r="A838" s="16" t="s">
        <v>3156</v>
      </c>
      <c r="B838" s="35">
        <f t="array" ref="B838">XLOOKUP(A838,IMDB_Movies!I$2:I$3493,IMDB_Movies!Q$2:Q$3493)</f>
        <v>0</v>
      </c>
      <c r="E838" s="16" t="s">
        <v>3156</v>
      </c>
      <c r="F838" s="36">
        <f t="array" ref="F838">XLOOKUP(A838,IMDB_Movies!I$2:I$3493,IMDB_Movies!P$2:P$3493)</f>
        <v>47676582</v>
      </c>
    </row>
    <row r="839">
      <c r="A839" s="20" t="s">
        <v>3159</v>
      </c>
      <c r="B839" s="35">
        <f t="array" ref="B839">XLOOKUP(A839,IMDB_Movies!I$2:I$3493,IMDB_Movies!Q$2:Q$3493)</f>
        <v>0</v>
      </c>
      <c r="E839" s="20" t="s">
        <v>3159</v>
      </c>
      <c r="F839" s="36">
        <f t="array" ref="F839">XLOOKUP(A839,IMDB_Movies!I$2:I$3493,IMDB_Movies!P$2:P$3493)</f>
        <v>20700247</v>
      </c>
    </row>
    <row r="840">
      <c r="A840" s="28" t="s">
        <v>3162</v>
      </c>
      <c r="B840" s="35">
        <f t="array" ref="B840">XLOOKUP(A840,IMDB_Movies!I$2:I$3493,IMDB_Movies!Q$2:Q$3493)</f>
        <v>24673965</v>
      </c>
      <c r="E840" s="28" t="s">
        <v>3162</v>
      </c>
      <c r="F840" s="36">
        <f t="array" ref="F840">XLOOKUP(A840,IMDB_Movies!I$2:I$3493,IMDB_Movies!P$2:P$3493)</f>
        <v>0</v>
      </c>
    </row>
    <row r="841">
      <c r="A841" s="11" t="s">
        <v>3164</v>
      </c>
      <c r="B841" s="35">
        <f t="array" ref="B841">XLOOKUP(A841,IMDB_Movies!I$2:I$3493,IMDB_Movies!Q$2:Q$3493)</f>
        <v>0</v>
      </c>
      <c r="E841" s="11" t="s">
        <v>3164</v>
      </c>
      <c r="F841" s="36">
        <f t="array" ref="F841">XLOOKUP(A841,IMDB_Movies!I$2:I$3493,IMDB_Movies!P$2:P$3493)</f>
        <v>76203320</v>
      </c>
    </row>
    <row r="842">
      <c r="A842" s="24" t="s">
        <v>3169</v>
      </c>
      <c r="B842" s="35">
        <f t="array" ref="B842">XLOOKUP(A842,IMDB_Movies!I$2:I$3493,IMDB_Movies!Q$2:Q$3493)</f>
        <v>0</v>
      </c>
      <c r="E842" s="24" t="s">
        <v>3169</v>
      </c>
      <c r="F842" s="36">
        <f t="array" ref="F842">XLOOKUP(A842,IMDB_Movies!I$2:I$3493,IMDB_Movies!P$2:P$3493)</f>
        <v>37650000</v>
      </c>
    </row>
    <row r="843">
      <c r="A843" s="20" t="s">
        <v>3173</v>
      </c>
      <c r="B843" s="35">
        <f t="array" ref="B843">XLOOKUP(A843,IMDB_Movies!I$2:I$3493,IMDB_Movies!Q$2:Q$3493)</f>
        <v>2446488</v>
      </c>
      <c r="E843" s="20" t="s">
        <v>3173</v>
      </c>
      <c r="F843" s="36">
        <f t="array" ref="F843">XLOOKUP(A843,IMDB_Movies!I$2:I$3493,IMDB_Movies!P$2:P$3493)</f>
        <v>0</v>
      </c>
    </row>
    <row r="844">
      <c r="A844" s="16" t="s">
        <v>3177</v>
      </c>
      <c r="B844" s="35">
        <f t="array" ref="B844">XLOOKUP(A844,IMDB_Movies!I$2:I$3493,IMDB_Movies!Q$2:Q$3493)</f>
        <v>0</v>
      </c>
      <c r="E844" s="16" t="s">
        <v>3177</v>
      </c>
      <c r="F844" s="36">
        <f t="array" ref="F844">XLOOKUP(A844,IMDB_Movies!I$2:I$3493,IMDB_Movies!P$2:P$3493)</f>
        <v>75724075</v>
      </c>
    </row>
    <row r="845">
      <c r="A845" s="24" t="s">
        <v>3179</v>
      </c>
      <c r="B845" s="35">
        <f t="array" ref="B845">XLOOKUP(A845,IMDB_Movies!I$2:I$3493,IMDB_Movies!Q$2:Q$3493)</f>
        <v>0</v>
      </c>
      <c r="E845" s="24" t="s">
        <v>3179</v>
      </c>
      <c r="F845" s="36">
        <f t="array" ref="F845">XLOOKUP(A845,IMDB_Movies!I$2:I$3493,IMDB_Movies!P$2:P$3493)</f>
        <v>12515793</v>
      </c>
    </row>
    <row r="846">
      <c r="A846" s="28" t="s">
        <v>3183</v>
      </c>
      <c r="B846" s="35">
        <f t="array" ref="B846">XLOOKUP(A846,IMDB_Movies!I$2:I$3493,IMDB_Movies!Q$2:Q$3493)</f>
        <v>0</v>
      </c>
      <c r="E846" s="28" t="s">
        <v>3183</v>
      </c>
      <c r="F846" s="36">
        <f t="array" ref="F846">XLOOKUP(A846,IMDB_Movies!I$2:I$3493,IMDB_Movies!P$2:P$3493)</f>
        <v>119019489</v>
      </c>
    </row>
    <row r="847">
      <c r="A847" s="16" t="s">
        <v>3187</v>
      </c>
      <c r="B847" s="35">
        <f t="array" ref="B847">XLOOKUP(A847,IMDB_Movies!I$2:I$3493,IMDB_Movies!Q$2:Q$3493)</f>
        <v>0</v>
      </c>
      <c r="E847" s="16" t="s">
        <v>3187</v>
      </c>
      <c r="F847" s="36">
        <f t="array" ref="F847">XLOOKUP(A847,IMDB_Movies!I$2:I$3493,IMDB_Movies!P$2:P$3493)</f>
        <v>4300302</v>
      </c>
    </row>
    <row r="848">
      <c r="A848" s="24" t="s">
        <v>3189</v>
      </c>
      <c r="B848" s="35">
        <f t="array" ref="B848">XLOOKUP(A848,IMDB_Movies!I$2:I$3493,IMDB_Movies!Q$2:Q$3493)</f>
        <v>0</v>
      </c>
      <c r="E848" s="24" t="s">
        <v>3189</v>
      </c>
      <c r="F848" s="36">
        <f t="array" ref="F848">XLOOKUP(A848,IMDB_Movies!I$2:I$3493,IMDB_Movies!P$2:P$3493)</f>
        <v>6153600</v>
      </c>
    </row>
    <row r="849">
      <c r="A849" s="32" t="s">
        <v>3193</v>
      </c>
      <c r="B849" s="35">
        <f t="array" ref="B849">XLOOKUP(A849,IMDB_Movies!I$2:I$3493,IMDB_Movies!Q$2:Q$3493)</f>
        <v>0</v>
      </c>
      <c r="E849" s="32" t="s">
        <v>3193</v>
      </c>
      <c r="F849" s="36">
        <f t="array" ref="F849">XLOOKUP(A849,IMDB_Movies!I$2:I$3493,IMDB_Movies!P$2:P$3493)</f>
        <v>17226474</v>
      </c>
    </row>
    <row r="850">
      <c r="A850" s="16" t="s">
        <v>3197</v>
      </c>
      <c r="B850" s="35">
        <f t="array" ref="B850">XLOOKUP(A850,IMDB_Movies!I$2:I$3493,IMDB_Movies!Q$2:Q$3493)</f>
        <v>0</v>
      </c>
      <c r="E850" s="16" t="s">
        <v>3197</v>
      </c>
      <c r="F850" s="36">
        <f t="array" ref="F850">XLOOKUP(A850,IMDB_Movies!I$2:I$3493,IMDB_Movies!P$2:P$3493)</f>
        <v>61423650</v>
      </c>
    </row>
    <row r="851">
      <c r="A851" s="20" t="s">
        <v>3200</v>
      </c>
      <c r="B851" s="35">
        <f t="array" ref="B851">XLOOKUP(A851,IMDB_Movies!I$2:I$3493,IMDB_Movies!Q$2:Q$3493)</f>
        <v>0</v>
      </c>
      <c r="E851" s="20" t="s">
        <v>3200</v>
      </c>
      <c r="F851" s="36">
        <f t="array" ref="F851">XLOOKUP(A851,IMDB_Movies!I$2:I$3493,IMDB_Movies!P$2:P$3493)</f>
        <v>14551000</v>
      </c>
    </row>
    <row r="852">
      <c r="A852" s="28" t="s">
        <v>3204</v>
      </c>
      <c r="B852" s="35">
        <f t="array" ref="B852">XLOOKUP(A852,IMDB_Movies!I$2:I$3493,IMDB_Movies!Q$2:Q$3493)</f>
        <v>0</v>
      </c>
      <c r="E852" s="28" t="s">
        <v>3204</v>
      </c>
      <c r="F852" s="36">
        <f t="array" ref="F852">XLOOKUP(A852,IMDB_Movies!I$2:I$3493,IMDB_Movies!P$2:P$3493)</f>
        <v>3614488</v>
      </c>
    </row>
    <row r="853">
      <c r="A853" s="24" t="s">
        <v>3208</v>
      </c>
      <c r="B853" s="35">
        <f t="array" ref="B853">XLOOKUP(A853,IMDB_Movies!I$2:I$3493,IMDB_Movies!Q$2:Q$3493)</f>
        <v>1820357</v>
      </c>
      <c r="E853" s="24" t="s">
        <v>3208</v>
      </c>
      <c r="F853" s="36">
        <f t="array" ref="F853">XLOOKUP(A853,IMDB_Movies!I$2:I$3493,IMDB_Movies!P$2:P$3493)</f>
        <v>0</v>
      </c>
    </row>
    <row r="854">
      <c r="A854" s="24" t="s">
        <v>3211</v>
      </c>
      <c r="B854" s="35">
        <f t="array" ref="B854">XLOOKUP(A854,IMDB_Movies!I$2:I$3493,IMDB_Movies!Q$2:Q$3493)</f>
        <v>0</v>
      </c>
      <c r="E854" s="24" t="s">
        <v>3211</v>
      </c>
      <c r="F854" s="36">
        <f t="array" ref="F854">XLOOKUP(A854,IMDB_Movies!I$2:I$3493,IMDB_Movies!P$2:P$3493)</f>
        <v>36121934</v>
      </c>
    </row>
    <row r="855">
      <c r="A855" s="16" t="s">
        <v>3213</v>
      </c>
      <c r="B855" s="35">
        <f t="array" ref="B855">XLOOKUP(A855,IMDB_Movies!I$2:I$3493,IMDB_Movies!Q$2:Q$3493)</f>
        <v>0</v>
      </c>
      <c r="E855" s="16" t="s">
        <v>3213</v>
      </c>
      <c r="F855" s="36">
        <f t="array" ref="F855">XLOOKUP(A855,IMDB_Movies!I$2:I$3493,IMDB_Movies!P$2:P$3493)</f>
        <v>43906114</v>
      </c>
    </row>
    <row r="856">
      <c r="A856" s="28" t="s">
        <v>3216</v>
      </c>
      <c r="B856" s="35">
        <f t="array" ref="B856">XLOOKUP(A856,IMDB_Movies!I$2:I$3493,IMDB_Movies!Q$2:Q$3493)</f>
        <v>46644185</v>
      </c>
      <c r="E856" s="28" t="s">
        <v>3216</v>
      </c>
      <c r="F856" s="36">
        <f t="array" ref="F856">XLOOKUP(A856,IMDB_Movies!I$2:I$3493,IMDB_Movies!P$2:P$3493)</f>
        <v>0</v>
      </c>
    </row>
    <row r="857">
      <c r="A857" s="28" t="s">
        <v>3219</v>
      </c>
      <c r="B857" s="35">
        <f t="array" ref="B857">XLOOKUP(A857,IMDB_Movies!I$2:I$3493,IMDB_Movies!Q$2:Q$3493)</f>
        <v>12336018</v>
      </c>
      <c r="E857" s="28" t="s">
        <v>3219</v>
      </c>
      <c r="F857" s="36">
        <f t="array" ref="F857">XLOOKUP(A857,IMDB_Movies!I$2:I$3493,IMDB_Movies!P$2:P$3493)</f>
        <v>0</v>
      </c>
    </row>
    <row r="858">
      <c r="A858" s="11" t="s">
        <v>3222</v>
      </c>
      <c r="B858" s="35">
        <f t="array" ref="B858">XLOOKUP(A858,IMDB_Movies!I$2:I$3493,IMDB_Movies!Q$2:Q$3493)</f>
        <v>32401069</v>
      </c>
      <c r="E858" s="11" t="s">
        <v>3222</v>
      </c>
      <c r="F858" s="36">
        <f t="array" ref="F858">XLOOKUP(A858,IMDB_Movies!I$2:I$3493,IMDB_Movies!P$2:P$3493)</f>
        <v>0</v>
      </c>
    </row>
    <row r="859">
      <c r="A859" s="24" t="s">
        <v>3227</v>
      </c>
      <c r="B859" s="35">
        <f t="array" ref="B859">XLOOKUP(A859,IMDB_Movies!I$2:I$3493,IMDB_Movies!Q$2:Q$3493)</f>
        <v>0</v>
      </c>
      <c r="E859" s="24" t="s">
        <v>3227</v>
      </c>
      <c r="F859" s="36">
        <f t="array" ref="F859">XLOOKUP(A859,IMDB_Movies!I$2:I$3493,IMDB_Movies!P$2:P$3493)</f>
        <v>13696761</v>
      </c>
    </row>
    <row r="860">
      <c r="A860" s="11" t="s">
        <v>3231</v>
      </c>
      <c r="B860" s="35">
        <f t="array" ref="B860">XLOOKUP(A860,IMDB_Movies!I$2:I$3493,IMDB_Movies!Q$2:Q$3493)</f>
        <v>3780041</v>
      </c>
      <c r="E860" s="11" t="s">
        <v>3231</v>
      </c>
      <c r="F860" s="36">
        <f t="array" ref="F860">XLOOKUP(A860,IMDB_Movies!I$2:I$3493,IMDB_Movies!P$2:P$3493)</f>
        <v>0</v>
      </c>
    </row>
    <row r="861">
      <c r="A861" s="28" t="s">
        <v>3235</v>
      </c>
      <c r="B861" s="35">
        <f t="array" ref="B861">XLOOKUP(A861,IMDB_Movies!I$2:I$3493,IMDB_Movies!Q$2:Q$3493)</f>
        <v>24862498</v>
      </c>
      <c r="E861" s="28" t="s">
        <v>3235</v>
      </c>
      <c r="F861" s="36">
        <f t="array" ref="F861">XLOOKUP(A861,IMDB_Movies!I$2:I$3493,IMDB_Movies!P$2:P$3493)</f>
        <v>0</v>
      </c>
    </row>
    <row r="862">
      <c r="A862" s="24" t="s">
        <v>3239</v>
      </c>
      <c r="B862" s="35">
        <f t="array" ref="B862">XLOOKUP(A862,IMDB_Movies!I$2:I$3493,IMDB_Movies!Q$2:Q$3493)</f>
        <v>0</v>
      </c>
      <c r="E862" s="24" t="s">
        <v>3239</v>
      </c>
      <c r="F862" s="36">
        <f t="array" ref="F862">XLOOKUP(A862,IMDB_Movies!I$2:I$3493,IMDB_Movies!P$2:P$3493)</f>
        <v>22800000</v>
      </c>
    </row>
    <row r="863">
      <c r="A863" s="11" t="s">
        <v>3243</v>
      </c>
      <c r="B863" s="35">
        <f t="array" ref="B863">XLOOKUP(A863,IMDB_Movies!I$2:I$3493,IMDB_Movies!Q$2:Q$3493)</f>
        <v>2981550</v>
      </c>
      <c r="E863" s="11" t="s">
        <v>3243</v>
      </c>
      <c r="F863" s="36">
        <f t="array" ref="F863">XLOOKUP(A863,IMDB_Movies!I$2:I$3493,IMDB_Movies!P$2:P$3493)</f>
        <v>0</v>
      </c>
    </row>
    <row r="864">
      <c r="A864" s="28" t="s">
        <v>3247</v>
      </c>
      <c r="B864" s="35">
        <f t="array" ref="B864">XLOOKUP(A864,IMDB_Movies!I$2:I$3493,IMDB_Movies!Q$2:Q$3493)</f>
        <v>0</v>
      </c>
      <c r="E864" s="28" t="s">
        <v>3247</v>
      </c>
      <c r="F864" s="36">
        <f t="array" ref="F864">XLOOKUP(A864,IMDB_Movies!I$2:I$3493,IMDB_Movies!P$2:P$3493)</f>
        <v>61807667</v>
      </c>
    </row>
    <row r="865">
      <c r="A865" s="20" t="s">
        <v>3251</v>
      </c>
      <c r="B865" s="35">
        <f t="array" ref="B865">XLOOKUP(A865,IMDB_Movies!I$2:I$3493,IMDB_Movies!Q$2:Q$3493)</f>
        <v>8124411</v>
      </c>
      <c r="E865" s="20" t="s">
        <v>3251</v>
      </c>
      <c r="F865" s="36">
        <f t="array" ref="F865">XLOOKUP(A865,IMDB_Movies!I$2:I$3493,IMDB_Movies!P$2:P$3493)</f>
        <v>0</v>
      </c>
    </row>
    <row r="866">
      <c r="A866" s="24" t="s">
        <v>3254</v>
      </c>
      <c r="B866" s="35">
        <f t="array" ref="B866">XLOOKUP(A866,IMDB_Movies!I$2:I$3493,IMDB_Movies!Q$2:Q$3493)</f>
        <v>0</v>
      </c>
      <c r="E866" s="24" t="s">
        <v>3254</v>
      </c>
      <c r="F866" s="36">
        <f t="array" ref="F866">XLOOKUP(A866,IMDB_Movies!I$2:I$3493,IMDB_Movies!P$2:P$3493)</f>
        <v>23745923</v>
      </c>
    </row>
    <row r="867">
      <c r="A867" s="20" t="s">
        <v>3258</v>
      </c>
      <c r="B867" s="35">
        <f t="array" ref="B867">XLOOKUP(A867,IMDB_Movies!I$2:I$3493,IMDB_Movies!Q$2:Q$3493)</f>
        <v>0</v>
      </c>
      <c r="E867" s="20" t="s">
        <v>3258</v>
      </c>
      <c r="F867" s="36">
        <f t="array" ref="F867">XLOOKUP(A867,IMDB_Movies!I$2:I$3493,IMDB_Movies!P$2:P$3493)</f>
        <v>113067808</v>
      </c>
    </row>
    <row r="868">
      <c r="A868" s="28" t="s">
        <v>3262</v>
      </c>
      <c r="B868" s="35">
        <f t="array" ref="B868">XLOOKUP(A868,IMDB_Movies!I$2:I$3493,IMDB_Movies!Q$2:Q$3493)</f>
        <v>0</v>
      </c>
      <c r="E868" s="28" t="s">
        <v>3262</v>
      </c>
      <c r="F868" s="36">
        <f t="array" ref="F868">XLOOKUP(A868,IMDB_Movies!I$2:I$3493,IMDB_Movies!P$2:P$3493)</f>
        <v>83243478</v>
      </c>
    </row>
    <row r="869">
      <c r="A869" s="24" t="s">
        <v>3266</v>
      </c>
      <c r="B869" s="35">
        <f t="array" ref="B869">XLOOKUP(A869,IMDB_Movies!I$2:I$3493,IMDB_Movies!Q$2:Q$3493)</f>
        <v>366222</v>
      </c>
      <c r="E869" s="24" t="s">
        <v>3266</v>
      </c>
      <c r="F869" s="36">
        <f t="array" ref="F869">XLOOKUP(A869,IMDB_Movies!I$2:I$3493,IMDB_Movies!P$2:P$3493)</f>
        <v>0</v>
      </c>
    </row>
    <row r="870">
      <c r="A870" s="11" t="s">
        <v>3269</v>
      </c>
      <c r="B870" s="35">
        <f t="array" ref="B870">XLOOKUP(A870,IMDB_Movies!I$2:I$3493,IMDB_Movies!Q$2:Q$3493)</f>
        <v>36870545</v>
      </c>
      <c r="E870" s="11" t="s">
        <v>3269</v>
      </c>
      <c r="F870" s="36">
        <f t="array" ref="F870">XLOOKUP(A870,IMDB_Movies!I$2:I$3493,IMDB_Movies!P$2:P$3493)</f>
        <v>0</v>
      </c>
    </row>
    <row r="871">
      <c r="A871" s="28" t="s">
        <v>3273</v>
      </c>
      <c r="B871" s="35">
        <f t="array" ref="B871">XLOOKUP(A871,IMDB_Movies!I$2:I$3493,IMDB_Movies!Q$2:Q$3493)</f>
        <v>52305212</v>
      </c>
      <c r="E871" s="28" t="s">
        <v>3273</v>
      </c>
      <c r="F871" s="36">
        <f t="array" ref="F871">XLOOKUP(A871,IMDB_Movies!I$2:I$3493,IMDB_Movies!P$2:P$3493)</f>
        <v>0</v>
      </c>
    </row>
    <row r="872">
      <c r="A872" s="20" t="s">
        <v>3276</v>
      </c>
      <c r="B872" s="35">
        <f t="array" ref="B872">XLOOKUP(A872,IMDB_Movies!I$2:I$3493,IMDB_Movies!Q$2:Q$3493)</f>
        <v>0</v>
      </c>
      <c r="E872" s="20" t="s">
        <v>3276</v>
      </c>
      <c r="F872" s="36">
        <f t="array" ref="F872">XLOOKUP(A872,IMDB_Movies!I$2:I$3493,IMDB_Movies!P$2:P$3493)</f>
        <v>31134898</v>
      </c>
    </row>
    <row r="873">
      <c r="A873" s="28" t="s">
        <v>3279</v>
      </c>
      <c r="B873" s="35">
        <f t="array" ref="B873">XLOOKUP(A873,IMDB_Movies!I$2:I$3493,IMDB_Movies!Q$2:Q$3493)</f>
        <v>37376626</v>
      </c>
      <c r="E873" s="28" t="s">
        <v>3279</v>
      </c>
      <c r="F873" s="36">
        <f t="array" ref="F873">XLOOKUP(A873,IMDB_Movies!I$2:I$3493,IMDB_Movies!P$2:P$3493)</f>
        <v>0</v>
      </c>
    </row>
    <row r="874">
      <c r="A874" s="20" t="s">
        <v>3281</v>
      </c>
      <c r="B874" s="35">
        <f t="array" ref="B874">XLOOKUP(A874,IMDB_Movies!I$2:I$3493,IMDB_Movies!Q$2:Q$3493)</f>
        <v>0</v>
      </c>
      <c r="E874" s="20" t="s">
        <v>3281</v>
      </c>
      <c r="F874" s="36">
        <f t="array" ref="F874">XLOOKUP(A874,IMDB_Movies!I$2:I$3493,IMDB_Movies!P$2:P$3493)</f>
        <v>88001286</v>
      </c>
    </row>
    <row r="875">
      <c r="A875" s="20" t="s">
        <v>3285</v>
      </c>
      <c r="B875" s="35">
        <f t="array" ref="B875">XLOOKUP(A875,IMDB_Movies!I$2:I$3493,IMDB_Movies!Q$2:Q$3493)</f>
        <v>0</v>
      </c>
      <c r="E875" s="20" t="s">
        <v>3285</v>
      </c>
      <c r="F875" s="36">
        <f t="array" ref="F875">XLOOKUP(A875,IMDB_Movies!I$2:I$3493,IMDB_Movies!P$2:P$3493)</f>
        <v>61793915</v>
      </c>
    </row>
    <row r="876">
      <c r="A876" s="24" t="s">
        <v>3290</v>
      </c>
      <c r="B876" s="35">
        <f t="array" ref="B876">XLOOKUP(A876,IMDB_Movies!I$2:I$3493,IMDB_Movies!Q$2:Q$3493)</f>
        <v>0</v>
      </c>
      <c r="E876" s="24" t="s">
        <v>3290</v>
      </c>
      <c r="F876" s="36">
        <f t="array" ref="F876">XLOOKUP(A876,IMDB_Movies!I$2:I$3493,IMDB_Movies!P$2:P$3493)</f>
        <v>22021740</v>
      </c>
    </row>
    <row r="877">
      <c r="A877" s="11" t="s">
        <v>3294</v>
      </c>
      <c r="B877" s="35">
        <f t="array" ref="B877">XLOOKUP(A877,IMDB_Movies!I$2:I$3493,IMDB_Movies!Q$2:Q$3493)</f>
        <v>0</v>
      </c>
      <c r="E877" s="11" t="s">
        <v>3294</v>
      </c>
      <c r="F877" s="36">
        <f t="array" ref="F877">XLOOKUP(A877,IMDB_Movies!I$2:I$3493,IMDB_Movies!P$2:P$3493)</f>
        <v>513940</v>
      </c>
    </row>
    <row r="878">
      <c r="A878" s="11" t="s">
        <v>3298</v>
      </c>
      <c r="B878" s="35">
        <f t="array" ref="B878">XLOOKUP(A878,IMDB_Movies!I$2:I$3493,IMDB_Movies!Q$2:Q$3493)</f>
        <v>389009</v>
      </c>
      <c r="E878" s="11" t="s">
        <v>3298</v>
      </c>
      <c r="F878" s="36">
        <f t="array" ref="F878">XLOOKUP(A878,IMDB_Movies!I$2:I$3493,IMDB_Movies!P$2:P$3493)</f>
        <v>0</v>
      </c>
    </row>
    <row r="879">
      <c r="A879" s="28" t="s">
        <v>3302</v>
      </c>
      <c r="B879" s="35">
        <f t="array" ref="B879">XLOOKUP(A879,IMDB_Movies!I$2:I$3493,IMDB_Movies!Q$2:Q$3493)</f>
        <v>0</v>
      </c>
      <c r="E879" s="28" t="s">
        <v>3302</v>
      </c>
      <c r="F879" s="36">
        <f t="array" ref="F879">XLOOKUP(A879,IMDB_Movies!I$2:I$3493,IMDB_Movies!P$2:P$3493)</f>
        <v>99007828</v>
      </c>
    </row>
    <row r="880">
      <c r="A880" s="20" t="s">
        <v>3306</v>
      </c>
      <c r="B880" s="35">
        <f t="array" ref="B880">XLOOKUP(A880,IMDB_Movies!I$2:I$3493,IMDB_Movies!Q$2:Q$3493)</f>
        <v>0</v>
      </c>
      <c r="E880" s="20" t="s">
        <v>3306</v>
      </c>
      <c r="F880" s="36">
        <f t="array" ref="F880">XLOOKUP(A880,IMDB_Movies!I$2:I$3493,IMDB_Movies!P$2:P$3493)</f>
        <v>22360069</v>
      </c>
    </row>
    <row r="881">
      <c r="A881" s="11" t="s">
        <v>3309</v>
      </c>
      <c r="B881" s="35">
        <f t="array" ref="B881">XLOOKUP(A881,IMDB_Movies!I$2:I$3493,IMDB_Movies!Q$2:Q$3493)</f>
        <v>0</v>
      </c>
      <c r="E881" s="11" t="s">
        <v>3309</v>
      </c>
      <c r="F881" s="36">
        <f t="array" ref="F881">XLOOKUP(A881,IMDB_Movies!I$2:I$3493,IMDB_Movies!P$2:P$3493)</f>
        <v>9278980</v>
      </c>
    </row>
    <row r="882">
      <c r="A882" s="11" t="s">
        <v>3312</v>
      </c>
      <c r="B882" s="35">
        <f t="array" ref="B882">XLOOKUP(A882,IMDB_Movies!I$2:I$3493,IMDB_Movies!Q$2:Q$3493)</f>
        <v>0</v>
      </c>
      <c r="E882" s="11" t="s">
        <v>3312</v>
      </c>
      <c r="F882" s="36">
        <f t="array" ref="F882">XLOOKUP(A882,IMDB_Movies!I$2:I$3493,IMDB_Movies!P$2:P$3493)</f>
        <v>747724</v>
      </c>
    </row>
    <row r="883">
      <c r="A883" s="20" t="s">
        <v>3316</v>
      </c>
      <c r="B883" s="35">
        <f t="array" ref="B883">XLOOKUP(A883,IMDB_Movies!I$2:I$3493,IMDB_Movies!Q$2:Q$3493)</f>
        <v>0</v>
      </c>
      <c r="E883" s="20" t="s">
        <v>3316</v>
      </c>
      <c r="F883" s="36">
        <f t="array" ref="F883">XLOOKUP(A883,IMDB_Movies!I$2:I$3493,IMDB_Movies!P$2:P$3493)</f>
        <v>1885134</v>
      </c>
    </row>
    <row r="884">
      <c r="A884" s="11" t="s">
        <v>3319</v>
      </c>
      <c r="B884" s="35">
        <f t="array" ref="B884">XLOOKUP(A884,IMDB_Movies!I$2:I$3493,IMDB_Movies!Q$2:Q$3493)</f>
        <v>19886035</v>
      </c>
      <c r="E884" s="11" t="s">
        <v>3319</v>
      </c>
      <c r="F884" s="36">
        <f t="array" ref="F884">XLOOKUP(A884,IMDB_Movies!I$2:I$3493,IMDB_Movies!P$2:P$3493)</f>
        <v>0</v>
      </c>
    </row>
    <row r="885">
      <c r="A885" s="24" t="s">
        <v>3324</v>
      </c>
      <c r="B885" s="35">
        <f t="array" ref="B885">XLOOKUP(A885,IMDB_Movies!I$2:I$3493,IMDB_Movies!Q$2:Q$3493)</f>
        <v>0</v>
      </c>
      <c r="E885" s="24" t="s">
        <v>3324</v>
      </c>
      <c r="F885" s="36">
        <f t="array" ref="F885">XLOOKUP(A885,IMDB_Movies!I$2:I$3493,IMDB_Movies!P$2:P$3493)</f>
        <v>23000000</v>
      </c>
    </row>
    <row r="886">
      <c r="A886" s="20" t="s">
        <v>3327</v>
      </c>
      <c r="B886" s="35">
        <f t="array" ref="B886">XLOOKUP(A886,IMDB_Movies!I$2:I$3493,IMDB_Movies!Q$2:Q$3493)</f>
        <v>37948000</v>
      </c>
      <c r="E886" s="20" t="s">
        <v>3327</v>
      </c>
      <c r="F886" s="36">
        <f t="array" ref="F886">XLOOKUP(A886,IMDB_Movies!I$2:I$3493,IMDB_Movies!P$2:P$3493)</f>
        <v>0</v>
      </c>
    </row>
    <row r="887">
      <c r="A887" s="20" t="s">
        <v>3329</v>
      </c>
      <c r="B887" s="35">
        <f t="array" ref="B887">XLOOKUP(A887,IMDB_Movies!I$2:I$3493,IMDB_Movies!Q$2:Q$3493)</f>
        <v>0</v>
      </c>
      <c r="E887" s="20" t="s">
        <v>3329</v>
      </c>
      <c r="F887" s="36">
        <f t="array" ref="F887">XLOOKUP(A887,IMDB_Movies!I$2:I$3493,IMDB_Movies!P$2:P$3493)</f>
        <v>19138847</v>
      </c>
    </row>
    <row r="888">
      <c r="A888" s="28" t="s">
        <v>3333</v>
      </c>
      <c r="B888" s="35">
        <f t="array" ref="B888">XLOOKUP(A888,IMDB_Movies!I$2:I$3493,IMDB_Movies!Q$2:Q$3493)</f>
        <v>0</v>
      </c>
      <c r="E888" s="28" t="s">
        <v>3333</v>
      </c>
      <c r="F888" s="36">
        <f t="array" ref="F888">XLOOKUP(A888,IMDB_Movies!I$2:I$3493,IMDB_Movies!P$2:P$3493)</f>
        <v>237233</v>
      </c>
    </row>
    <row r="889">
      <c r="A889" s="11" t="s">
        <v>3336</v>
      </c>
      <c r="B889" s="35">
        <f t="array" ref="B889">XLOOKUP(A889,IMDB_Movies!I$2:I$3493,IMDB_Movies!Q$2:Q$3493)</f>
        <v>702671</v>
      </c>
      <c r="E889" s="11" t="s">
        <v>3336</v>
      </c>
      <c r="F889" s="36">
        <f t="array" ref="F889">XLOOKUP(A889,IMDB_Movies!I$2:I$3493,IMDB_Movies!P$2:P$3493)</f>
        <v>0</v>
      </c>
    </row>
    <row r="890">
      <c r="A890" s="20" t="s">
        <v>3340</v>
      </c>
      <c r="B890" s="35">
        <f t="array" ref="B890">XLOOKUP(A890,IMDB_Movies!I$2:I$3493,IMDB_Movies!Q$2:Q$3493)</f>
        <v>0</v>
      </c>
      <c r="E890" s="20" t="s">
        <v>3340</v>
      </c>
      <c r="F890" s="36">
        <f t="array" ref="F890">XLOOKUP(A890,IMDB_Movies!I$2:I$3493,IMDB_Movies!P$2:P$3493)</f>
        <v>10116191</v>
      </c>
    </row>
    <row r="891">
      <c r="A891" s="24" t="s">
        <v>3343</v>
      </c>
      <c r="B891" s="35">
        <f t="array" ref="B891">XLOOKUP(A891,IMDB_Movies!I$2:I$3493,IMDB_Movies!Q$2:Q$3493)</f>
        <v>13461796</v>
      </c>
      <c r="E891" s="24" t="s">
        <v>3343</v>
      </c>
      <c r="F891" s="36">
        <f t="array" ref="F891">XLOOKUP(A891,IMDB_Movies!I$2:I$3493,IMDB_Movies!P$2:P$3493)</f>
        <v>0</v>
      </c>
    </row>
    <row r="892">
      <c r="A892" s="11" t="s">
        <v>3345</v>
      </c>
      <c r="B892" s="35">
        <f t="array" ref="B892">XLOOKUP(A892,IMDB_Movies!I$2:I$3493,IMDB_Movies!Q$2:Q$3493)</f>
        <v>0</v>
      </c>
      <c r="E892" s="11" t="s">
        <v>3345</v>
      </c>
      <c r="F892" s="36">
        <f t="array" ref="F892">XLOOKUP(A892,IMDB_Movies!I$2:I$3493,IMDB_Movies!P$2:P$3493)</f>
        <v>17823573</v>
      </c>
    </row>
    <row r="893">
      <c r="A893" s="20" t="s">
        <v>3348</v>
      </c>
      <c r="B893" s="35">
        <f t="array" ref="B893">XLOOKUP(A893,IMDB_Movies!I$2:I$3493,IMDB_Movies!Q$2:Q$3493)</f>
        <v>7713686</v>
      </c>
      <c r="E893" s="20" t="s">
        <v>3348</v>
      </c>
      <c r="F893" s="36">
        <f t="array" ref="F893">XLOOKUP(A893,IMDB_Movies!I$2:I$3493,IMDB_Movies!P$2:P$3493)</f>
        <v>0</v>
      </c>
    </row>
    <row r="894">
      <c r="A894" s="32" t="s">
        <v>3351</v>
      </c>
      <c r="B894" s="35">
        <f t="array" ref="B894">XLOOKUP(A894,IMDB_Movies!I$2:I$3493,IMDB_Movies!Q$2:Q$3493)</f>
        <v>56403089</v>
      </c>
      <c r="E894" s="32" t="s">
        <v>3351</v>
      </c>
      <c r="F894" s="36">
        <f t="array" ref="F894">XLOOKUP(A894,IMDB_Movies!I$2:I$3493,IMDB_Movies!P$2:P$3493)</f>
        <v>0</v>
      </c>
    </row>
    <row r="895">
      <c r="A895" s="20" t="s">
        <v>3355</v>
      </c>
      <c r="B895" s="35">
        <f t="array" ref="B895">XLOOKUP(A895,IMDB_Movies!I$2:I$3493,IMDB_Movies!Q$2:Q$3493)</f>
        <v>2001718</v>
      </c>
      <c r="E895" s="20" t="s">
        <v>3355</v>
      </c>
      <c r="F895" s="36">
        <f t="array" ref="F895">XLOOKUP(A895,IMDB_Movies!I$2:I$3493,IMDB_Movies!P$2:P$3493)</f>
        <v>0</v>
      </c>
    </row>
    <row r="896">
      <c r="A896" s="20" t="s">
        <v>3357</v>
      </c>
      <c r="B896" s="35">
        <f t="array" ref="B896">XLOOKUP(A896,IMDB_Movies!I$2:I$3493,IMDB_Movies!Q$2:Q$3493)</f>
        <v>0</v>
      </c>
      <c r="E896" s="20" t="s">
        <v>3357</v>
      </c>
      <c r="F896" s="36">
        <f t="array" ref="F896">XLOOKUP(A896,IMDB_Movies!I$2:I$3493,IMDB_Movies!P$2:P$3493)</f>
        <v>27061228</v>
      </c>
    </row>
    <row r="897">
      <c r="A897" s="11" t="s">
        <v>3361</v>
      </c>
      <c r="B897" s="35">
        <f t="array" ref="B897">XLOOKUP(A897,IMDB_Movies!I$2:I$3493,IMDB_Movies!Q$2:Q$3493)</f>
        <v>9245330</v>
      </c>
      <c r="E897" s="11" t="s">
        <v>3361</v>
      </c>
      <c r="F897" s="36">
        <f t="array" ref="F897">XLOOKUP(A897,IMDB_Movies!I$2:I$3493,IMDB_Movies!P$2:P$3493)</f>
        <v>0</v>
      </c>
    </row>
    <row r="898">
      <c r="A898" s="20" t="s">
        <v>3364</v>
      </c>
      <c r="B898" s="35">
        <f t="array" ref="B898">XLOOKUP(A898,IMDB_Movies!I$2:I$3493,IMDB_Movies!Q$2:Q$3493)</f>
        <v>360000</v>
      </c>
      <c r="E898" s="20" t="s">
        <v>3364</v>
      </c>
      <c r="F898" s="36">
        <f t="array" ref="F898">XLOOKUP(A898,IMDB_Movies!I$2:I$3493,IMDB_Movies!P$2:P$3493)</f>
        <v>0</v>
      </c>
    </row>
    <row r="899">
      <c r="A899" s="11" t="s">
        <v>3368</v>
      </c>
      <c r="B899" s="35">
        <f t="array" ref="B899">XLOOKUP(A899,IMDB_Movies!I$2:I$3493,IMDB_Movies!Q$2:Q$3493)</f>
        <v>0</v>
      </c>
      <c r="E899" s="11" t="s">
        <v>3368</v>
      </c>
      <c r="F899" s="36">
        <f t="array" ref="F899">XLOOKUP(A899,IMDB_Movies!I$2:I$3493,IMDB_Movies!P$2:P$3493)</f>
        <v>30269340</v>
      </c>
    </row>
    <row r="900">
      <c r="A900" s="11" t="s">
        <v>3370</v>
      </c>
      <c r="B900" s="35">
        <f t="array" ref="B900">XLOOKUP(A900,IMDB_Movies!I$2:I$3493,IMDB_Movies!Q$2:Q$3493)</f>
        <v>0</v>
      </c>
      <c r="E900" s="11" t="s">
        <v>3370</v>
      </c>
      <c r="F900" s="36">
        <f t="array" ref="F900">XLOOKUP(A900,IMDB_Movies!I$2:I$3493,IMDB_Movies!P$2:P$3493)</f>
        <v>12668906</v>
      </c>
    </row>
    <row r="901">
      <c r="A901" s="24" t="s">
        <v>3375</v>
      </c>
      <c r="B901" s="35">
        <f t="array" ref="B901">XLOOKUP(A901,IMDB_Movies!I$2:I$3493,IMDB_Movies!Q$2:Q$3493)</f>
        <v>14684317</v>
      </c>
      <c r="E901" s="24" t="s">
        <v>3375</v>
      </c>
      <c r="F901" s="36">
        <f t="array" ref="F901">XLOOKUP(A901,IMDB_Movies!I$2:I$3493,IMDB_Movies!P$2:P$3493)</f>
        <v>0</v>
      </c>
    </row>
    <row r="902">
      <c r="A902" s="20" t="s">
        <v>3377</v>
      </c>
      <c r="B902" s="35">
        <f t="array" ref="B902">XLOOKUP(A902,IMDB_Movies!I$2:I$3493,IMDB_Movies!Q$2:Q$3493)</f>
        <v>0</v>
      </c>
      <c r="E902" s="20" t="s">
        <v>3377</v>
      </c>
      <c r="F902" s="36">
        <f t="array" ref="F902">XLOOKUP(A902,IMDB_Movies!I$2:I$3493,IMDB_Movies!P$2:P$3493)</f>
        <v>231124059</v>
      </c>
    </row>
    <row r="903">
      <c r="A903" s="11" t="s">
        <v>3380</v>
      </c>
      <c r="B903" s="35">
        <f t="array" ref="B903">XLOOKUP(A903,IMDB_Movies!I$2:I$3493,IMDB_Movies!Q$2:Q$3493)</f>
        <v>0</v>
      </c>
      <c r="E903" s="11" t="s">
        <v>3380</v>
      </c>
      <c r="F903" s="36">
        <f t="array" ref="F903">XLOOKUP(A903,IMDB_Movies!I$2:I$3493,IMDB_Movies!P$2:P$3493)</f>
        <v>5998709</v>
      </c>
    </row>
    <row r="904">
      <c r="A904" s="16" t="s">
        <v>3384</v>
      </c>
      <c r="B904" s="35">
        <f t="array" ref="B904">XLOOKUP(A904,IMDB_Movies!I$2:I$3493,IMDB_Movies!Q$2:Q$3493)</f>
        <v>1918374</v>
      </c>
      <c r="E904" s="16" t="s">
        <v>3384</v>
      </c>
      <c r="F904" s="36">
        <f t="array" ref="F904">XLOOKUP(A904,IMDB_Movies!I$2:I$3493,IMDB_Movies!P$2:P$3493)</f>
        <v>0</v>
      </c>
    </row>
    <row r="905">
      <c r="A905" s="11" t="s">
        <v>3387</v>
      </c>
      <c r="B905" s="35">
        <f t="array" ref="B905">XLOOKUP(A905,IMDB_Movies!I$2:I$3493,IMDB_Movies!Q$2:Q$3493)</f>
        <v>25872105</v>
      </c>
      <c r="E905" s="11" t="s">
        <v>3387</v>
      </c>
      <c r="F905" s="36">
        <f t="array" ref="F905">XLOOKUP(A905,IMDB_Movies!I$2:I$3493,IMDB_Movies!P$2:P$3493)</f>
        <v>0</v>
      </c>
    </row>
    <row r="906">
      <c r="A906" s="11" t="s">
        <v>3392</v>
      </c>
      <c r="B906" s="35">
        <f t="array" ref="B906">XLOOKUP(A906,IMDB_Movies!I$2:I$3493,IMDB_Movies!Q$2:Q$3493)</f>
        <v>0</v>
      </c>
      <c r="E906" s="11" t="s">
        <v>3392</v>
      </c>
      <c r="F906" s="36">
        <f t="array" ref="F906">XLOOKUP(A906,IMDB_Movies!I$2:I$3493,IMDB_Movies!P$2:P$3493)</f>
        <v>11571351</v>
      </c>
    </row>
    <row r="907">
      <c r="A907" s="28" t="s">
        <v>3394</v>
      </c>
      <c r="B907" s="35">
        <f t="array" ref="B907">XLOOKUP(A907,IMDB_Movies!I$2:I$3493,IMDB_Movies!Q$2:Q$3493)</f>
        <v>0</v>
      </c>
      <c r="E907" s="28" t="s">
        <v>3394</v>
      </c>
      <c r="F907" s="36">
        <f t="array" ref="F907">XLOOKUP(A907,IMDB_Movies!I$2:I$3493,IMDB_Movies!P$2:P$3493)</f>
        <v>161781728</v>
      </c>
    </row>
    <row r="908">
      <c r="A908" s="20" t="s">
        <v>3396</v>
      </c>
      <c r="B908" s="35">
        <f t="array" ref="B908">XLOOKUP(A908,IMDB_Movies!I$2:I$3493,IMDB_Movies!Q$2:Q$3493)</f>
        <v>0</v>
      </c>
      <c r="E908" s="20" t="s">
        <v>3396</v>
      </c>
      <c r="F908" s="36">
        <f t="array" ref="F908">XLOOKUP(A908,IMDB_Movies!I$2:I$3493,IMDB_Movies!P$2:P$3493)</f>
        <v>31094903</v>
      </c>
    </row>
    <row r="909">
      <c r="A909" s="11" t="s">
        <v>3399</v>
      </c>
      <c r="B909" s="35">
        <f t="array" ref="B909">XLOOKUP(A909,IMDB_Movies!I$2:I$3493,IMDB_Movies!Q$2:Q$3493)</f>
        <v>0</v>
      </c>
      <c r="E909" s="11" t="s">
        <v>3399</v>
      </c>
      <c r="F909" s="36">
        <f t="array" ref="F909">XLOOKUP(A909,IMDB_Movies!I$2:I$3493,IMDB_Movies!P$2:P$3493)</f>
        <v>26624000</v>
      </c>
    </row>
    <row r="910">
      <c r="A910" s="11" t="s">
        <v>3402</v>
      </c>
      <c r="B910" s="35">
        <f t="array" ref="B910">XLOOKUP(A910,IMDB_Movies!I$2:I$3493,IMDB_Movies!Q$2:Q$3493)</f>
        <v>22523765</v>
      </c>
      <c r="E910" s="11" t="s">
        <v>3402</v>
      </c>
      <c r="F910" s="36">
        <f t="array" ref="F910">XLOOKUP(A910,IMDB_Movies!I$2:I$3493,IMDB_Movies!P$2:P$3493)</f>
        <v>0</v>
      </c>
    </row>
    <row r="911">
      <c r="A911" s="20" t="s">
        <v>3405</v>
      </c>
      <c r="B911" s="35">
        <f t="array" ref="B911">XLOOKUP(A911,IMDB_Movies!I$2:I$3493,IMDB_Movies!Q$2:Q$3493)</f>
        <v>16969037</v>
      </c>
      <c r="E911" s="20" t="s">
        <v>3405</v>
      </c>
      <c r="F911" s="36">
        <f t="array" ref="F911">XLOOKUP(A911,IMDB_Movies!I$2:I$3493,IMDB_Movies!P$2:P$3493)</f>
        <v>0</v>
      </c>
    </row>
    <row r="912">
      <c r="A912" s="24" t="s">
        <v>3409</v>
      </c>
      <c r="B912" s="35">
        <f t="array" ref="B912">XLOOKUP(A912,IMDB_Movies!I$2:I$3493,IMDB_Movies!Q$2:Q$3493)</f>
        <v>7228760</v>
      </c>
      <c r="E912" s="24" t="s">
        <v>3409</v>
      </c>
      <c r="F912" s="36">
        <f t="array" ref="F912">XLOOKUP(A912,IMDB_Movies!I$2:I$3493,IMDB_Movies!P$2:P$3493)</f>
        <v>0</v>
      </c>
    </row>
    <row r="913">
      <c r="A913" s="20" t="s">
        <v>3412</v>
      </c>
      <c r="B913" s="35">
        <f t="array" ref="B913">XLOOKUP(A913,IMDB_Movies!I$2:I$3493,IMDB_Movies!Q$2:Q$3493)</f>
        <v>18058441</v>
      </c>
      <c r="E913" s="20" t="s">
        <v>3412</v>
      </c>
      <c r="F913" s="36">
        <f t="array" ref="F913">XLOOKUP(A913,IMDB_Movies!I$2:I$3493,IMDB_Movies!P$2:P$3493)</f>
        <v>0</v>
      </c>
    </row>
    <row r="914">
      <c r="A914" s="11" t="s">
        <v>3415</v>
      </c>
      <c r="B914" s="35">
        <f t="array" ref="B914">XLOOKUP(A914,IMDB_Movies!I$2:I$3493,IMDB_Movies!Q$2:Q$3493)</f>
        <v>0</v>
      </c>
      <c r="E914" s="11" t="s">
        <v>3415</v>
      </c>
      <c r="F914" s="36">
        <f t="array" ref="F914">XLOOKUP(A914,IMDB_Movies!I$2:I$3493,IMDB_Movies!P$2:P$3493)</f>
        <v>502177271</v>
      </c>
    </row>
    <row r="915">
      <c r="A915" s="28" t="s">
        <v>3418</v>
      </c>
      <c r="B915" s="35">
        <f t="array" ref="B915">XLOOKUP(A915,IMDB_Movies!I$2:I$3493,IMDB_Movies!Q$2:Q$3493)</f>
        <v>32945076</v>
      </c>
      <c r="E915" s="28" t="s">
        <v>3418</v>
      </c>
      <c r="F915" s="36">
        <f t="array" ref="F915">XLOOKUP(A915,IMDB_Movies!I$2:I$3493,IMDB_Movies!P$2:P$3493)</f>
        <v>0</v>
      </c>
    </row>
    <row r="916">
      <c r="A916" s="24" t="s">
        <v>3421</v>
      </c>
      <c r="B916" s="35">
        <f t="array" ref="B916">XLOOKUP(A916,IMDB_Movies!I$2:I$3493,IMDB_Movies!Q$2:Q$3493)</f>
        <v>6790560</v>
      </c>
      <c r="E916" s="24" t="s">
        <v>3421</v>
      </c>
      <c r="F916" s="36">
        <f t="array" ref="F916">XLOOKUP(A916,IMDB_Movies!I$2:I$3493,IMDB_Movies!P$2:P$3493)</f>
        <v>0</v>
      </c>
    </row>
    <row r="917">
      <c r="A917" s="24" t="s">
        <v>3424</v>
      </c>
      <c r="B917" s="35">
        <f t="array" ref="B917">XLOOKUP(A917,IMDB_Movies!I$2:I$3493,IMDB_Movies!Q$2:Q$3493)</f>
        <v>0</v>
      </c>
      <c r="E917" s="24" t="s">
        <v>3424</v>
      </c>
      <c r="F917" s="36">
        <f t="array" ref="F917">XLOOKUP(A917,IMDB_Movies!I$2:I$3493,IMDB_Movies!P$2:P$3493)</f>
        <v>57231524</v>
      </c>
    </row>
    <row r="918">
      <c r="A918" s="20" t="s">
        <v>3429</v>
      </c>
      <c r="B918" s="35">
        <f t="array" ref="B918">XLOOKUP(A918,IMDB_Movies!I$2:I$3493,IMDB_Movies!Q$2:Q$3493)</f>
        <v>0</v>
      </c>
      <c r="E918" s="20" t="s">
        <v>3429</v>
      </c>
      <c r="F918" s="36">
        <f t="array" ref="F918">XLOOKUP(A918,IMDB_Movies!I$2:I$3493,IMDB_Movies!P$2:P$3493)</f>
        <v>21550000</v>
      </c>
    </row>
    <row r="919">
      <c r="A919" s="28" t="s">
        <v>3431</v>
      </c>
      <c r="B919" s="35">
        <f t="array" ref="B919">XLOOKUP(A919,IMDB_Movies!I$2:I$3493,IMDB_Movies!Q$2:Q$3493)</f>
        <v>0</v>
      </c>
      <c r="E919" s="28" t="s">
        <v>3431</v>
      </c>
      <c r="F919" s="36">
        <f t="array" ref="F919">XLOOKUP(A919,IMDB_Movies!I$2:I$3493,IMDB_Movies!P$2:P$3493)</f>
        <v>23343413</v>
      </c>
    </row>
    <row r="920">
      <c r="A920" s="16" t="s">
        <v>3435</v>
      </c>
      <c r="B920" s="35">
        <f t="array" ref="B920">XLOOKUP(A920,IMDB_Movies!I$2:I$3493,IMDB_Movies!Q$2:Q$3493)</f>
        <v>0</v>
      </c>
      <c r="E920" s="16" t="s">
        <v>3435</v>
      </c>
      <c r="F920" s="36">
        <f t="array" ref="F920">XLOOKUP(A920,IMDB_Movies!I$2:I$3493,IMDB_Movies!P$2:P$3493)</f>
        <v>264487</v>
      </c>
    </row>
    <row r="921">
      <c r="A921" s="20" t="s">
        <v>3438</v>
      </c>
      <c r="B921" s="35">
        <f t="array" ref="B921">XLOOKUP(A921,IMDB_Movies!I$2:I$3493,IMDB_Movies!Q$2:Q$3493)</f>
        <v>0</v>
      </c>
      <c r="E921" s="20" t="s">
        <v>3438</v>
      </c>
      <c r="F921" s="36">
        <f t="array" ref="F921">XLOOKUP(A921,IMDB_Movies!I$2:I$3493,IMDB_Movies!P$2:P$3493)</f>
        <v>45607673</v>
      </c>
    </row>
    <row r="922">
      <c r="A922" s="11" t="s">
        <v>3443</v>
      </c>
      <c r="B922" s="35">
        <f t="array" ref="B922">XLOOKUP(A922,IMDB_Movies!I$2:I$3493,IMDB_Movies!Q$2:Q$3493)</f>
        <v>20593594</v>
      </c>
      <c r="E922" s="11" t="s">
        <v>3443</v>
      </c>
      <c r="F922" s="36">
        <f t="array" ref="F922">XLOOKUP(A922,IMDB_Movies!I$2:I$3493,IMDB_Movies!P$2:P$3493)</f>
        <v>0</v>
      </c>
    </row>
    <row r="923">
      <c r="A923" s="16" t="s">
        <v>3446</v>
      </c>
      <c r="B923" s="35">
        <f t="array" ref="B923">XLOOKUP(A923,IMDB_Movies!I$2:I$3493,IMDB_Movies!Q$2:Q$3493)</f>
        <v>17624564</v>
      </c>
      <c r="E923" s="16" t="s">
        <v>3446</v>
      </c>
      <c r="F923" s="36">
        <f t="array" ref="F923">XLOOKUP(A923,IMDB_Movies!I$2:I$3493,IMDB_Movies!P$2:P$3493)</f>
        <v>0</v>
      </c>
    </row>
    <row r="924">
      <c r="A924" s="11" t="s">
        <v>3450</v>
      </c>
      <c r="B924" s="35">
        <f t="array" ref="B924">XLOOKUP(A924,IMDB_Movies!I$2:I$3493,IMDB_Movies!Q$2:Q$3493)</f>
        <v>23368755</v>
      </c>
      <c r="E924" s="11" t="s">
        <v>3450</v>
      </c>
      <c r="F924" s="36">
        <f t="array" ref="F924">XLOOKUP(A924,IMDB_Movies!I$2:I$3493,IMDB_Movies!P$2:P$3493)</f>
        <v>0</v>
      </c>
    </row>
    <row r="925">
      <c r="A925" s="11" t="s">
        <v>3452</v>
      </c>
      <c r="B925" s="35">
        <f t="array" ref="B925">XLOOKUP(A925,IMDB_Movies!I$2:I$3493,IMDB_Movies!Q$2:Q$3493)</f>
        <v>0</v>
      </c>
      <c r="E925" s="11" t="s">
        <v>3452</v>
      </c>
      <c r="F925" s="36">
        <f t="array" ref="F925">XLOOKUP(A925,IMDB_Movies!I$2:I$3493,IMDB_Movies!P$2:P$3493)</f>
        <v>13257500</v>
      </c>
    </row>
    <row r="926">
      <c r="A926" s="28" t="s">
        <v>3455</v>
      </c>
      <c r="B926" s="35">
        <f t="array" ref="B926">XLOOKUP(A926,IMDB_Movies!I$2:I$3493,IMDB_Movies!Q$2:Q$3493)</f>
        <v>1425912</v>
      </c>
      <c r="E926" s="28" t="s">
        <v>3455</v>
      </c>
      <c r="F926" s="36">
        <f t="array" ref="F926">XLOOKUP(A926,IMDB_Movies!I$2:I$3493,IMDB_Movies!P$2:P$3493)</f>
        <v>0</v>
      </c>
    </row>
    <row r="927">
      <c r="A927" s="24" t="s">
        <v>3459</v>
      </c>
      <c r="B927" s="35">
        <f t="array" ref="B927">XLOOKUP(A927,IMDB_Movies!I$2:I$3493,IMDB_Movies!Q$2:Q$3493)</f>
        <v>25280070</v>
      </c>
      <c r="E927" s="24" t="s">
        <v>3459</v>
      </c>
      <c r="F927" s="36">
        <f t="array" ref="F927">XLOOKUP(A927,IMDB_Movies!I$2:I$3493,IMDB_Movies!P$2:P$3493)</f>
        <v>0</v>
      </c>
    </row>
    <row r="928">
      <c r="A928" s="11" t="s">
        <v>3462</v>
      </c>
      <c r="B928" s="35">
        <f t="array" ref="B928">XLOOKUP(A928,IMDB_Movies!I$2:I$3493,IMDB_Movies!Q$2:Q$3493)</f>
        <v>10683354</v>
      </c>
      <c r="E928" s="11" t="s">
        <v>3462</v>
      </c>
      <c r="F928" s="36">
        <f t="array" ref="F928">XLOOKUP(A928,IMDB_Movies!I$2:I$3493,IMDB_Movies!P$2:P$3493)</f>
        <v>0</v>
      </c>
    </row>
    <row r="929">
      <c r="A929" s="20" t="s">
        <v>3465</v>
      </c>
      <c r="B929" s="35">
        <f t="array" ref="B929">XLOOKUP(A929,IMDB_Movies!I$2:I$3493,IMDB_Movies!Q$2:Q$3493)</f>
        <v>4715640</v>
      </c>
      <c r="E929" s="20" t="s">
        <v>3465</v>
      </c>
      <c r="F929" s="36">
        <f t="array" ref="F929">XLOOKUP(A929,IMDB_Movies!I$2:I$3493,IMDB_Movies!P$2:P$3493)</f>
        <v>0</v>
      </c>
    </row>
    <row r="930">
      <c r="A930" s="28" t="s">
        <v>3468</v>
      </c>
      <c r="B930" s="35">
        <f t="array" ref="B930">XLOOKUP(A930,IMDB_Movies!I$2:I$3493,IMDB_Movies!Q$2:Q$3493)</f>
        <v>0</v>
      </c>
      <c r="E930" s="28" t="s">
        <v>3468</v>
      </c>
      <c r="F930" s="36">
        <f t="array" ref="F930">XLOOKUP(A930,IMDB_Movies!I$2:I$3493,IMDB_Movies!P$2:P$3493)</f>
        <v>55014842</v>
      </c>
    </row>
    <row r="931">
      <c r="A931" s="11" t="s">
        <v>3471</v>
      </c>
      <c r="B931" s="35">
        <f t="array" ref="B931">XLOOKUP(A931,IMDB_Movies!I$2:I$3493,IMDB_Movies!Q$2:Q$3493)</f>
        <v>0</v>
      </c>
      <c r="E931" s="11" t="s">
        <v>3471</v>
      </c>
      <c r="F931" s="36">
        <f t="array" ref="F931">XLOOKUP(A931,IMDB_Movies!I$2:I$3493,IMDB_Movies!P$2:P$3493)</f>
        <v>7200000</v>
      </c>
    </row>
    <row r="932">
      <c r="A932" s="11" t="s">
        <v>3474</v>
      </c>
      <c r="B932" s="35">
        <f t="array" ref="B932">XLOOKUP(A932,IMDB_Movies!I$2:I$3493,IMDB_Movies!Q$2:Q$3493)</f>
        <v>0</v>
      </c>
      <c r="E932" s="11" t="s">
        <v>3474</v>
      </c>
      <c r="F932" s="36">
        <f t="array" ref="F932">XLOOKUP(A932,IMDB_Movies!I$2:I$3493,IMDB_Movies!P$2:P$3493)</f>
        <v>52360285</v>
      </c>
    </row>
    <row r="933">
      <c r="A933" s="11" t="s">
        <v>3478</v>
      </c>
      <c r="B933" s="35">
        <f t="array" ref="B933">XLOOKUP(A933,IMDB_Movies!I$2:I$3493,IMDB_Movies!Q$2:Q$3493)</f>
        <v>0</v>
      </c>
      <c r="E933" s="11" t="s">
        <v>3478</v>
      </c>
      <c r="F933" s="36">
        <f t="array" ref="F933">XLOOKUP(A933,IMDB_Movies!I$2:I$3493,IMDB_Movies!P$2:P$3493)</f>
        <v>17721635</v>
      </c>
    </row>
    <row r="934">
      <c r="A934" s="20" t="s">
        <v>3482</v>
      </c>
      <c r="B934" s="35">
        <f t="array" ref="B934">XLOOKUP(A934,IMDB_Movies!I$2:I$3493,IMDB_Movies!Q$2:Q$3493)</f>
        <v>4043793</v>
      </c>
      <c r="E934" s="20" t="s">
        <v>3482</v>
      </c>
      <c r="F934" s="36">
        <f t="array" ref="F934">XLOOKUP(A934,IMDB_Movies!I$2:I$3493,IMDB_Movies!P$2:P$3493)</f>
        <v>0</v>
      </c>
    </row>
    <row r="935">
      <c r="A935" s="11" t="s">
        <v>3486</v>
      </c>
      <c r="B935" s="35">
        <f t="array" ref="B935">XLOOKUP(A935,IMDB_Movies!I$2:I$3493,IMDB_Movies!Q$2:Q$3493)</f>
        <v>6546921</v>
      </c>
      <c r="E935" s="11" t="s">
        <v>3486</v>
      </c>
      <c r="F935" s="36">
        <f t="array" ref="F935">XLOOKUP(A935,IMDB_Movies!I$2:I$3493,IMDB_Movies!P$2:P$3493)</f>
        <v>0</v>
      </c>
    </row>
    <row r="936">
      <c r="A936" s="11" t="s">
        <v>3490</v>
      </c>
      <c r="B936" s="35">
        <f t="array" ref="B936">XLOOKUP(A936,IMDB_Movies!I$2:I$3493,IMDB_Movies!Q$2:Q$3493)</f>
        <v>0</v>
      </c>
      <c r="E936" s="11" t="s">
        <v>3490</v>
      </c>
      <c r="F936" s="36">
        <f t="array" ref="F936">XLOOKUP(A936,IMDB_Movies!I$2:I$3493,IMDB_Movies!P$2:P$3493)</f>
        <v>100175871</v>
      </c>
    </row>
    <row r="937">
      <c r="A937" s="20" t="s">
        <v>3493</v>
      </c>
      <c r="B937" s="35">
        <f t="array" ref="B937">XLOOKUP(A937,IMDB_Movies!I$2:I$3493,IMDB_Movies!Q$2:Q$3493)</f>
        <v>0</v>
      </c>
      <c r="E937" s="20" t="s">
        <v>3493</v>
      </c>
      <c r="F937" s="36">
        <f t="array" ref="F937">XLOOKUP(A937,IMDB_Movies!I$2:I$3493,IMDB_Movies!P$2:P$3493)</f>
        <v>18386128</v>
      </c>
    </row>
    <row r="938">
      <c r="A938" s="24" t="s">
        <v>3496</v>
      </c>
      <c r="B938" s="35">
        <f t="array" ref="B938">XLOOKUP(A938,IMDB_Movies!I$2:I$3493,IMDB_Movies!Q$2:Q$3493)</f>
        <v>13069116</v>
      </c>
      <c r="E938" s="24" t="s">
        <v>3496</v>
      </c>
      <c r="F938" s="36">
        <f t="array" ref="F938">XLOOKUP(A938,IMDB_Movies!I$2:I$3493,IMDB_Movies!P$2:P$3493)</f>
        <v>0</v>
      </c>
    </row>
    <row r="939">
      <c r="A939" s="11" t="s">
        <v>3500</v>
      </c>
      <c r="B939" s="35">
        <f t="array" ref="B939">XLOOKUP(A939,IMDB_Movies!I$2:I$3493,IMDB_Movies!Q$2:Q$3493)</f>
        <v>9552250</v>
      </c>
      <c r="E939" s="11" t="s">
        <v>3500</v>
      </c>
      <c r="F939" s="36">
        <f t="array" ref="F939">XLOOKUP(A939,IMDB_Movies!I$2:I$3493,IMDB_Movies!P$2:P$3493)</f>
        <v>0</v>
      </c>
    </row>
    <row r="940">
      <c r="A940" s="11" t="s">
        <v>3505</v>
      </c>
      <c r="B940" s="35">
        <f t="array" ref="B940">XLOOKUP(A940,IMDB_Movies!I$2:I$3493,IMDB_Movies!Q$2:Q$3493)</f>
        <v>0</v>
      </c>
      <c r="E940" s="11" t="s">
        <v>3505</v>
      </c>
      <c r="F940" s="36">
        <f t="array" ref="F940">XLOOKUP(A940,IMDB_Movies!I$2:I$3493,IMDB_Movies!P$2:P$3493)</f>
        <v>14421271</v>
      </c>
    </row>
    <row r="941">
      <c r="A941" s="32" t="s">
        <v>3507</v>
      </c>
      <c r="B941" s="35">
        <f t="array" ref="B941">XLOOKUP(A941,IMDB_Movies!I$2:I$3493,IMDB_Movies!Q$2:Q$3493)</f>
        <v>27818516</v>
      </c>
      <c r="E941" s="32" t="s">
        <v>3507</v>
      </c>
      <c r="F941" s="36">
        <f t="array" ref="F941">XLOOKUP(A941,IMDB_Movies!I$2:I$3493,IMDB_Movies!P$2:P$3493)</f>
        <v>0</v>
      </c>
    </row>
    <row r="942">
      <c r="A942" s="11" t="s">
        <v>3511</v>
      </c>
      <c r="B942" s="35">
        <f t="array" ref="B942">XLOOKUP(A942,IMDB_Movies!I$2:I$3493,IMDB_Movies!Q$2:Q$3493)</f>
        <v>4923575</v>
      </c>
      <c r="E942" s="11" t="s">
        <v>3511</v>
      </c>
      <c r="F942" s="36">
        <f t="array" ref="F942">XLOOKUP(A942,IMDB_Movies!I$2:I$3493,IMDB_Movies!P$2:P$3493)</f>
        <v>0</v>
      </c>
    </row>
    <row r="943">
      <c r="A943" s="20" t="s">
        <v>3513</v>
      </c>
      <c r="B943" s="35">
        <f t="array" ref="B943">XLOOKUP(A943,IMDB_Movies!I$2:I$3493,IMDB_Movies!Q$2:Q$3493)</f>
        <v>6238280</v>
      </c>
      <c r="E943" s="20" t="s">
        <v>3513</v>
      </c>
      <c r="F943" s="36">
        <f t="array" ref="F943">XLOOKUP(A943,IMDB_Movies!I$2:I$3493,IMDB_Movies!P$2:P$3493)</f>
        <v>0</v>
      </c>
    </row>
    <row r="944">
      <c r="A944" s="11" t="s">
        <v>3516</v>
      </c>
      <c r="B944" s="35">
        <f t="array" ref="B944">XLOOKUP(A944,IMDB_Movies!I$2:I$3493,IMDB_Movies!Q$2:Q$3493)</f>
        <v>0</v>
      </c>
      <c r="E944" s="11" t="s">
        <v>3516</v>
      </c>
      <c r="F944" s="36">
        <f t="array" ref="F944">XLOOKUP(A944,IMDB_Movies!I$2:I$3493,IMDB_Movies!P$2:P$3493)</f>
        <v>47008303</v>
      </c>
    </row>
    <row r="945">
      <c r="A945" s="11" t="s">
        <v>3518</v>
      </c>
      <c r="B945" s="35">
        <f t="array" ref="B945">XLOOKUP(A945,IMDB_Movies!I$2:I$3493,IMDB_Movies!Q$2:Q$3493)</f>
        <v>0</v>
      </c>
      <c r="E945" s="11" t="s">
        <v>3518</v>
      </c>
      <c r="F945" s="36">
        <f t="array" ref="F945">XLOOKUP(A945,IMDB_Movies!I$2:I$3493,IMDB_Movies!P$2:P$3493)</f>
        <v>84670866</v>
      </c>
    </row>
    <row r="946">
      <c r="A946" s="11" t="s">
        <v>3520</v>
      </c>
      <c r="B946" s="35">
        <f t="array" ref="B946">XLOOKUP(A946,IMDB_Movies!I$2:I$3493,IMDB_Movies!Q$2:Q$3493)</f>
        <v>23990820</v>
      </c>
      <c r="E946" s="11" t="s">
        <v>3520</v>
      </c>
      <c r="F946" s="36">
        <f t="array" ref="F946">XLOOKUP(A946,IMDB_Movies!I$2:I$3493,IMDB_Movies!P$2:P$3493)</f>
        <v>0</v>
      </c>
    </row>
    <row r="947">
      <c r="A947" s="11" t="s">
        <v>3524</v>
      </c>
      <c r="B947" s="35">
        <f t="array" ref="B947">XLOOKUP(A947,IMDB_Movies!I$2:I$3493,IMDB_Movies!Q$2:Q$3493)</f>
        <v>50108179</v>
      </c>
      <c r="E947" s="11" t="s">
        <v>3524</v>
      </c>
      <c r="F947" s="36">
        <f t="array" ref="F947">XLOOKUP(A947,IMDB_Movies!I$2:I$3493,IMDB_Movies!P$2:P$3493)</f>
        <v>0</v>
      </c>
    </row>
    <row r="948">
      <c r="A948" s="11" t="s">
        <v>3527</v>
      </c>
      <c r="B948" s="35">
        <f t="array" ref="B948">XLOOKUP(A948,IMDB_Movies!I$2:I$3493,IMDB_Movies!Q$2:Q$3493)</f>
        <v>33383410</v>
      </c>
      <c r="E948" s="11" t="s">
        <v>3527</v>
      </c>
      <c r="F948" s="36">
        <f t="array" ref="F948">XLOOKUP(A948,IMDB_Movies!I$2:I$3493,IMDB_Movies!P$2:P$3493)</f>
        <v>0</v>
      </c>
    </row>
    <row r="949">
      <c r="A949" s="24" t="s">
        <v>3531</v>
      </c>
      <c r="B949" s="35">
        <f t="array" ref="B949">XLOOKUP(A949,IMDB_Movies!I$2:I$3493,IMDB_Movies!Q$2:Q$3493)</f>
        <v>8752225</v>
      </c>
      <c r="E949" s="24" t="s">
        <v>3531</v>
      </c>
      <c r="F949" s="36">
        <f t="array" ref="F949">XLOOKUP(A949,IMDB_Movies!I$2:I$3493,IMDB_Movies!P$2:P$3493)</f>
        <v>0</v>
      </c>
    </row>
    <row r="950">
      <c r="A950" s="20" t="s">
        <v>3533</v>
      </c>
      <c r="B950" s="35">
        <f t="array" ref="B950">XLOOKUP(A950,IMDB_Movies!I$2:I$3493,IMDB_Movies!Q$2:Q$3493)</f>
        <v>0</v>
      </c>
      <c r="E950" s="20" t="s">
        <v>3533</v>
      </c>
      <c r="F950" s="36">
        <f t="array" ref="F950">XLOOKUP(A950,IMDB_Movies!I$2:I$3493,IMDB_Movies!P$2:P$3493)</f>
        <v>38400000</v>
      </c>
    </row>
    <row r="951">
      <c r="A951" s="24" t="s">
        <v>3536</v>
      </c>
      <c r="B951" s="35">
        <f t="array" ref="B951">XLOOKUP(A951,IMDB_Movies!I$2:I$3493,IMDB_Movies!Q$2:Q$3493)</f>
        <v>77823100</v>
      </c>
      <c r="E951" s="24" t="s">
        <v>3536</v>
      </c>
      <c r="F951" s="36">
        <f t="array" ref="F951">XLOOKUP(A951,IMDB_Movies!I$2:I$3493,IMDB_Movies!P$2:P$3493)</f>
        <v>0</v>
      </c>
    </row>
    <row r="952">
      <c r="A952" s="28" t="s">
        <v>3539</v>
      </c>
      <c r="B952" s="35">
        <f t="array" ref="B952">XLOOKUP(A952,IMDB_Movies!I$2:I$3493,IMDB_Movies!Q$2:Q$3493)</f>
        <v>6928760</v>
      </c>
      <c r="E952" s="28" t="s">
        <v>3539</v>
      </c>
      <c r="F952" s="36">
        <f t="array" ref="F952">XLOOKUP(A952,IMDB_Movies!I$2:I$3493,IMDB_Movies!P$2:P$3493)</f>
        <v>0</v>
      </c>
    </row>
    <row r="953">
      <c r="A953" s="20" t="s">
        <v>3543</v>
      </c>
      <c r="B953" s="35">
        <f t="array" ref="B953">XLOOKUP(A953,IMDB_Movies!I$2:I$3493,IMDB_Movies!Q$2:Q$3493)</f>
        <v>1717323</v>
      </c>
      <c r="E953" s="20" t="s">
        <v>3543</v>
      </c>
      <c r="F953" s="36">
        <f t="array" ref="F953">XLOOKUP(A953,IMDB_Movies!I$2:I$3493,IMDB_Movies!P$2:P$3493)</f>
        <v>0</v>
      </c>
    </row>
    <row r="954">
      <c r="A954" s="16" t="s">
        <v>3546</v>
      </c>
      <c r="B954" s="35">
        <f t="array" ref="B954">XLOOKUP(A954,IMDB_Movies!I$2:I$3493,IMDB_Movies!Q$2:Q$3493)</f>
        <v>0</v>
      </c>
      <c r="E954" s="16" t="s">
        <v>3546</v>
      </c>
      <c r="F954" s="36">
        <f t="array" ref="F954">XLOOKUP(A954,IMDB_Movies!I$2:I$3493,IMDB_Movies!P$2:P$3493)</f>
        <v>264706375</v>
      </c>
    </row>
    <row r="955">
      <c r="A955" s="24" t="s">
        <v>3550</v>
      </c>
      <c r="B955" s="35">
        <f t="array" ref="B955">XLOOKUP(A955,IMDB_Movies!I$2:I$3493,IMDB_Movies!Q$2:Q$3493)</f>
        <v>17726628</v>
      </c>
      <c r="E955" s="24" t="s">
        <v>3550</v>
      </c>
      <c r="F955" s="36">
        <f t="array" ref="F955">XLOOKUP(A955,IMDB_Movies!I$2:I$3493,IMDB_Movies!P$2:P$3493)</f>
        <v>0</v>
      </c>
    </row>
    <row r="956">
      <c r="A956" s="20" t="s">
        <v>3553</v>
      </c>
      <c r="B956" s="35">
        <f t="array" ref="B956">XLOOKUP(A956,IMDB_Movies!I$2:I$3493,IMDB_Movies!Q$2:Q$3493)</f>
        <v>0</v>
      </c>
      <c r="E956" s="20" t="s">
        <v>3553</v>
      </c>
      <c r="F956" s="36">
        <f t="array" ref="F956">XLOOKUP(A956,IMDB_Movies!I$2:I$3493,IMDB_Movies!P$2:P$3493)</f>
        <v>40293200</v>
      </c>
    </row>
    <row r="957">
      <c r="A957" s="28" t="s">
        <v>3556</v>
      </c>
      <c r="B957" s="35">
        <f t="array" ref="B957">XLOOKUP(A957,IMDB_Movies!I$2:I$3493,IMDB_Movies!Q$2:Q$3493)</f>
        <v>9401355</v>
      </c>
      <c r="E957" s="28" t="s">
        <v>3556</v>
      </c>
      <c r="F957" s="36">
        <f t="array" ref="F957">XLOOKUP(A957,IMDB_Movies!I$2:I$3493,IMDB_Movies!P$2:P$3493)</f>
        <v>0</v>
      </c>
    </row>
    <row r="958">
      <c r="A958" s="28" t="s">
        <v>3558</v>
      </c>
      <c r="B958" s="35">
        <f t="array" ref="B958">XLOOKUP(A958,IMDB_Movies!I$2:I$3493,IMDB_Movies!Q$2:Q$3493)</f>
        <v>16356539</v>
      </c>
      <c r="E958" s="28" t="s">
        <v>3558</v>
      </c>
      <c r="F958" s="36">
        <f t="array" ref="F958">XLOOKUP(A958,IMDB_Movies!I$2:I$3493,IMDB_Movies!P$2:P$3493)</f>
        <v>0</v>
      </c>
    </row>
    <row r="959">
      <c r="A959" s="20" t="s">
        <v>3562</v>
      </c>
      <c r="B959" s="35">
        <f t="array" ref="B959">XLOOKUP(A959,IMDB_Movies!I$2:I$3493,IMDB_Movies!Q$2:Q$3493)</f>
        <v>0</v>
      </c>
      <c r="E959" s="20" t="s">
        <v>3562</v>
      </c>
      <c r="F959" s="36">
        <f t="array" ref="F959">XLOOKUP(A959,IMDB_Movies!I$2:I$3493,IMDB_Movies!P$2:P$3493)</f>
        <v>5734486</v>
      </c>
    </row>
    <row r="960">
      <c r="A960" s="24" t="s">
        <v>3565</v>
      </c>
      <c r="B960" s="35">
        <f t="array" ref="B960">XLOOKUP(A960,IMDB_Movies!I$2:I$3493,IMDB_Movies!Q$2:Q$3493)</f>
        <v>0</v>
      </c>
      <c r="E960" s="24" t="s">
        <v>3565</v>
      </c>
      <c r="F960" s="36">
        <f t="array" ref="F960">XLOOKUP(A960,IMDB_Movies!I$2:I$3493,IMDB_Movies!P$2:P$3493)</f>
        <v>1483540</v>
      </c>
    </row>
    <row r="961">
      <c r="A961" s="11" t="s">
        <v>3568</v>
      </c>
      <c r="B961" s="35">
        <f t="array" ref="B961">XLOOKUP(A961,IMDB_Movies!I$2:I$3493,IMDB_Movies!Q$2:Q$3493)</f>
        <v>2674927</v>
      </c>
      <c r="E961" s="11" t="s">
        <v>3568</v>
      </c>
      <c r="F961" s="36">
        <f t="array" ref="F961">XLOOKUP(A961,IMDB_Movies!I$2:I$3493,IMDB_Movies!P$2:P$3493)</f>
        <v>0</v>
      </c>
    </row>
    <row r="962">
      <c r="A962" s="11" t="s">
        <v>3572</v>
      </c>
      <c r="B962" s="35">
        <f t="array" ref="B962">XLOOKUP(A962,IMDB_Movies!I$2:I$3493,IMDB_Movies!Q$2:Q$3493)</f>
        <v>0</v>
      </c>
      <c r="E962" s="11" t="s">
        <v>3572</v>
      </c>
      <c r="F962" s="36">
        <f t="array" ref="F962">XLOOKUP(A962,IMDB_Movies!I$2:I$3493,IMDB_Movies!P$2:P$3493)</f>
        <v>5917210</v>
      </c>
    </row>
    <row r="963">
      <c r="A963" s="32" t="s">
        <v>3576</v>
      </c>
      <c r="B963" s="35">
        <f t="array" ref="B963">XLOOKUP(A963,IMDB_Movies!I$2:I$3493,IMDB_Movies!Q$2:Q$3493)</f>
        <v>0</v>
      </c>
      <c r="E963" s="32" t="s">
        <v>3576</v>
      </c>
      <c r="F963" s="36">
        <f t="array" ref="F963">XLOOKUP(A963,IMDB_Movies!I$2:I$3493,IMDB_Movies!P$2:P$3493)</f>
        <v>47666629</v>
      </c>
    </row>
    <row r="964">
      <c r="A964" s="20" t="s">
        <v>3578</v>
      </c>
      <c r="B964" s="35">
        <f t="array" ref="B964">XLOOKUP(A964,IMDB_Movies!I$2:I$3493,IMDB_Movies!Q$2:Q$3493)</f>
        <v>0</v>
      </c>
      <c r="E964" s="20" t="s">
        <v>3578</v>
      </c>
      <c r="F964" s="36">
        <f t="array" ref="F964">XLOOKUP(A964,IMDB_Movies!I$2:I$3493,IMDB_Movies!P$2:P$3493)</f>
        <v>132011114</v>
      </c>
    </row>
    <row r="965">
      <c r="A965" s="11" t="s">
        <v>3580</v>
      </c>
      <c r="B965" s="35">
        <f t="array" ref="B965">XLOOKUP(A965,IMDB_Movies!I$2:I$3493,IMDB_Movies!Q$2:Q$3493)</f>
        <v>14051289</v>
      </c>
      <c r="E965" s="11" t="s">
        <v>3580</v>
      </c>
      <c r="F965" s="36">
        <f t="array" ref="F965">XLOOKUP(A965,IMDB_Movies!I$2:I$3493,IMDB_Movies!P$2:P$3493)</f>
        <v>0</v>
      </c>
    </row>
    <row r="966">
      <c r="A966" s="11" t="s">
        <v>3584</v>
      </c>
      <c r="B966" s="35">
        <f t="array" ref="B966">XLOOKUP(A966,IMDB_Movies!I$2:I$3493,IMDB_Movies!Q$2:Q$3493)</f>
        <v>0</v>
      </c>
      <c r="E966" s="11" t="s">
        <v>3584</v>
      </c>
      <c r="F966" s="36">
        <f t="array" ref="F966">XLOOKUP(A966,IMDB_Movies!I$2:I$3493,IMDB_Movies!P$2:P$3493)</f>
        <v>825638</v>
      </c>
    </row>
    <row r="967">
      <c r="A967" s="24" t="s">
        <v>3588</v>
      </c>
      <c r="B967" s="35">
        <f t="array" ref="B967">XLOOKUP(A967,IMDB_Movies!I$2:I$3493,IMDB_Movies!Q$2:Q$3493)</f>
        <v>0</v>
      </c>
      <c r="E967" s="24" t="s">
        <v>3588</v>
      </c>
      <c r="F967" s="36">
        <f t="array" ref="F967">XLOOKUP(A967,IMDB_Movies!I$2:I$3493,IMDB_Movies!P$2:P$3493)</f>
        <v>36600000</v>
      </c>
    </row>
    <row r="968">
      <c r="A968" s="20" t="s">
        <v>3592</v>
      </c>
      <c r="B968" s="35">
        <f t="array" ref="B968">XLOOKUP(A968,IMDB_Movies!I$2:I$3493,IMDB_Movies!Q$2:Q$3493)</f>
        <v>0</v>
      </c>
      <c r="E968" s="20" t="s">
        <v>3592</v>
      </c>
      <c r="F968" s="36">
        <f t="array" ref="F968">XLOOKUP(A968,IMDB_Movies!I$2:I$3493,IMDB_Movies!P$2:P$3493)</f>
        <v>21457409</v>
      </c>
    </row>
    <row r="969">
      <c r="A969" s="11" t="s">
        <v>3594</v>
      </c>
      <c r="B969" s="35">
        <f t="array" ref="B969">XLOOKUP(A969,IMDB_Movies!I$2:I$3493,IMDB_Movies!Q$2:Q$3493)</f>
        <v>0</v>
      </c>
      <c r="E969" s="11" t="s">
        <v>3594</v>
      </c>
      <c r="F969" s="36">
        <f t="array" ref="F969">XLOOKUP(A969,IMDB_Movies!I$2:I$3493,IMDB_Movies!P$2:P$3493)</f>
        <v>35910583</v>
      </c>
    </row>
    <row r="970">
      <c r="A970" s="16" t="s">
        <v>3598</v>
      </c>
      <c r="B970" s="35">
        <f t="array" ref="B970">XLOOKUP(A970,IMDB_Movies!I$2:I$3493,IMDB_Movies!Q$2:Q$3493)</f>
        <v>6004550</v>
      </c>
      <c r="E970" s="16" t="s">
        <v>3598</v>
      </c>
      <c r="F970" s="36">
        <f t="array" ref="F970">XLOOKUP(A970,IMDB_Movies!I$2:I$3493,IMDB_Movies!P$2:P$3493)</f>
        <v>0</v>
      </c>
    </row>
    <row r="971">
      <c r="A971" s="11" t="s">
        <v>3601</v>
      </c>
      <c r="B971" s="35">
        <f t="array" ref="B971">XLOOKUP(A971,IMDB_Movies!I$2:I$3493,IMDB_Movies!Q$2:Q$3493)</f>
        <v>11824630</v>
      </c>
      <c r="E971" s="11" t="s">
        <v>3601</v>
      </c>
      <c r="F971" s="36">
        <f t="array" ref="F971">XLOOKUP(A971,IMDB_Movies!I$2:I$3493,IMDB_Movies!P$2:P$3493)</f>
        <v>0</v>
      </c>
    </row>
    <row r="972">
      <c r="A972" s="11" t="s">
        <v>3605</v>
      </c>
      <c r="B972" s="35">
        <f t="array" ref="B972">XLOOKUP(A972,IMDB_Movies!I$2:I$3493,IMDB_Movies!Q$2:Q$3493)</f>
        <v>38735525</v>
      </c>
      <c r="E972" s="11" t="s">
        <v>3605</v>
      </c>
      <c r="F972" s="36">
        <f t="array" ref="F972">XLOOKUP(A972,IMDB_Movies!I$2:I$3493,IMDB_Movies!P$2:P$3493)</f>
        <v>0</v>
      </c>
    </row>
    <row r="973">
      <c r="A973" s="32" t="s">
        <v>3609</v>
      </c>
      <c r="B973" s="35">
        <f t="array" ref="B973">XLOOKUP(A973,IMDB_Movies!I$2:I$3493,IMDB_Movies!Q$2:Q$3493)</f>
        <v>2499804112</v>
      </c>
      <c r="E973" s="32" t="s">
        <v>3609</v>
      </c>
      <c r="F973" s="36">
        <f t="array" ref="F973">XLOOKUP(A973,IMDB_Movies!I$2:I$3493,IMDB_Movies!P$2:P$3493)</f>
        <v>0</v>
      </c>
    </row>
    <row r="974">
      <c r="A974" s="11" t="s">
        <v>3613</v>
      </c>
      <c r="B974" s="35">
        <f t="array" ref="B974">XLOOKUP(A974,IMDB_Movies!I$2:I$3493,IMDB_Movies!Q$2:Q$3493)</f>
        <v>0</v>
      </c>
      <c r="E974" s="11" t="s">
        <v>3613</v>
      </c>
      <c r="F974" s="36">
        <f t="array" ref="F974">XLOOKUP(A974,IMDB_Movies!I$2:I$3493,IMDB_Movies!P$2:P$3493)</f>
        <v>143630478</v>
      </c>
    </row>
    <row r="975">
      <c r="A975" s="20" t="s">
        <v>3615</v>
      </c>
      <c r="B975" s="35">
        <f t="array" ref="B975">XLOOKUP(A975,IMDB_Movies!I$2:I$3493,IMDB_Movies!Q$2:Q$3493)</f>
        <v>0</v>
      </c>
      <c r="E975" s="20" t="s">
        <v>3615</v>
      </c>
      <c r="F975" s="36">
        <f t="array" ref="F975">XLOOKUP(A975,IMDB_Movies!I$2:I$3493,IMDB_Movies!P$2:P$3493)</f>
        <v>32266306</v>
      </c>
    </row>
    <row r="976">
      <c r="A976" s="24" t="s">
        <v>3617</v>
      </c>
      <c r="B976" s="35">
        <f t="array" ref="B976">XLOOKUP(A976,IMDB_Movies!I$2:I$3493,IMDB_Movies!Q$2:Q$3493)</f>
        <v>0</v>
      </c>
      <c r="E976" s="24" t="s">
        <v>3617</v>
      </c>
      <c r="F976" s="36">
        <f t="array" ref="F976">XLOOKUP(A976,IMDB_Movies!I$2:I$3493,IMDB_Movies!P$2:P$3493)</f>
        <v>80011740</v>
      </c>
    </row>
    <row r="977">
      <c r="A977" s="20" t="s">
        <v>3620</v>
      </c>
      <c r="B977" s="35">
        <f t="array" ref="B977">XLOOKUP(A977,IMDB_Movies!I$2:I$3493,IMDB_Movies!Q$2:Q$3493)</f>
        <v>8650382</v>
      </c>
      <c r="E977" s="20" t="s">
        <v>3620</v>
      </c>
      <c r="F977" s="36">
        <f t="array" ref="F977">XLOOKUP(A977,IMDB_Movies!I$2:I$3493,IMDB_Movies!P$2:P$3493)</f>
        <v>0</v>
      </c>
    </row>
    <row r="978">
      <c r="A978" s="20" t="s">
        <v>3623</v>
      </c>
      <c r="B978" s="35">
        <f t="array" ref="B978">XLOOKUP(A978,IMDB_Movies!I$2:I$3493,IMDB_Movies!Q$2:Q$3493)</f>
        <v>18851301</v>
      </c>
      <c r="E978" s="20" t="s">
        <v>3623</v>
      </c>
      <c r="F978" s="36">
        <f t="array" ref="F978">XLOOKUP(A978,IMDB_Movies!I$2:I$3493,IMDB_Movies!P$2:P$3493)</f>
        <v>0</v>
      </c>
    </row>
    <row r="979">
      <c r="A979" s="32" t="s">
        <v>3627</v>
      </c>
      <c r="B979" s="35">
        <f t="array" ref="B979">XLOOKUP(A979,IMDB_Movies!I$2:I$3493,IMDB_Movies!Q$2:Q$3493)</f>
        <v>44203958</v>
      </c>
      <c r="E979" s="32" t="s">
        <v>3627</v>
      </c>
      <c r="F979" s="36">
        <f t="array" ref="F979">XLOOKUP(A979,IMDB_Movies!I$2:I$3493,IMDB_Movies!P$2:P$3493)</f>
        <v>0</v>
      </c>
    </row>
    <row r="980">
      <c r="A980" s="20" t="s">
        <v>3630</v>
      </c>
      <c r="B980" s="35">
        <f t="array" ref="B980">XLOOKUP(A980,IMDB_Movies!I$2:I$3493,IMDB_Movies!Q$2:Q$3493)</f>
        <v>16603219</v>
      </c>
      <c r="E980" s="20" t="s">
        <v>3630</v>
      </c>
      <c r="F980" s="36">
        <f t="array" ref="F980">XLOOKUP(A980,IMDB_Movies!I$2:I$3493,IMDB_Movies!P$2:P$3493)</f>
        <v>0</v>
      </c>
    </row>
    <row r="981">
      <c r="A981" s="11" t="s">
        <v>3633</v>
      </c>
      <c r="B981" s="35">
        <f t="array" ref="B981">XLOOKUP(A981,IMDB_Movies!I$2:I$3493,IMDB_Movies!Q$2:Q$3493)</f>
        <v>0</v>
      </c>
      <c r="E981" s="11" t="s">
        <v>3633</v>
      </c>
      <c r="F981" s="36">
        <f t="array" ref="F981">XLOOKUP(A981,IMDB_Movies!I$2:I$3493,IMDB_Movies!P$2:P$3493)</f>
        <v>8699684</v>
      </c>
    </row>
    <row r="982">
      <c r="A982" s="24" t="s">
        <v>3636</v>
      </c>
      <c r="B982" s="35">
        <f t="array" ref="B982">XLOOKUP(A982,IMDB_Movies!I$2:I$3493,IMDB_Movies!Q$2:Q$3493)</f>
        <v>19865246</v>
      </c>
      <c r="E982" s="24" t="s">
        <v>3636</v>
      </c>
      <c r="F982" s="36">
        <f t="array" ref="F982">XLOOKUP(A982,IMDB_Movies!I$2:I$3493,IMDB_Movies!P$2:P$3493)</f>
        <v>0</v>
      </c>
    </row>
    <row r="983">
      <c r="A983" s="20" t="s">
        <v>3638</v>
      </c>
      <c r="B983" s="35">
        <f t="array" ref="B983">XLOOKUP(A983,IMDB_Movies!I$2:I$3493,IMDB_Movies!Q$2:Q$3493)</f>
        <v>0</v>
      </c>
      <c r="E983" s="20" t="s">
        <v>3638</v>
      </c>
      <c r="F983" s="36">
        <f t="array" ref="F983">XLOOKUP(A983,IMDB_Movies!I$2:I$3493,IMDB_Movies!P$2:P$3493)</f>
        <v>30127620</v>
      </c>
    </row>
    <row r="984">
      <c r="A984" s="24" t="s">
        <v>3641</v>
      </c>
      <c r="B984" s="35">
        <f t="array" ref="B984">XLOOKUP(A984,IMDB_Movies!I$2:I$3493,IMDB_Movies!Q$2:Q$3493)</f>
        <v>36460586</v>
      </c>
      <c r="E984" s="24" t="s">
        <v>3641</v>
      </c>
      <c r="F984" s="36">
        <f t="array" ref="F984">XLOOKUP(A984,IMDB_Movies!I$2:I$3493,IMDB_Movies!P$2:P$3493)</f>
        <v>0</v>
      </c>
    </row>
    <row r="985">
      <c r="A985" s="32" t="s">
        <v>3644</v>
      </c>
      <c r="B985" s="35">
        <f t="array" ref="B985">XLOOKUP(A985,IMDB_Movies!I$2:I$3493,IMDB_Movies!Q$2:Q$3493)</f>
        <v>0</v>
      </c>
      <c r="E985" s="32" t="s">
        <v>3644</v>
      </c>
      <c r="F985" s="36">
        <f t="array" ref="F985">XLOOKUP(A985,IMDB_Movies!I$2:I$3493,IMDB_Movies!P$2:P$3493)</f>
        <v>65900000</v>
      </c>
    </row>
    <row r="986">
      <c r="A986" s="11" t="s">
        <v>3646</v>
      </c>
      <c r="B986" s="35">
        <f t="array" ref="B986">XLOOKUP(A986,IMDB_Movies!I$2:I$3493,IMDB_Movies!Q$2:Q$3493)</f>
        <v>0</v>
      </c>
      <c r="E986" s="11" t="s">
        <v>3646</v>
      </c>
      <c r="F986" s="36">
        <f t="array" ref="F986">XLOOKUP(A986,IMDB_Movies!I$2:I$3493,IMDB_Movies!P$2:P$3493)</f>
        <v>48057348</v>
      </c>
    </row>
    <row r="987">
      <c r="A987" s="16" t="s">
        <v>3649</v>
      </c>
      <c r="B987" s="35">
        <f t="array" ref="B987">XLOOKUP(A987,IMDB_Movies!I$2:I$3493,IMDB_Movies!Q$2:Q$3493)</f>
        <v>1178017</v>
      </c>
      <c r="E987" s="16" t="s">
        <v>3649</v>
      </c>
      <c r="F987" s="36">
        <f t="array" ref="F987">XLOOKUP(A987,IMDB_Movies!I$2:I$3493,IMDB_Movies!P$2:P$3493)</f>
        <v>0</v>
      </c>
    </row>
    <row r="988">
      <c r="A988" s="24" t="s">
        <v>3653</v>
      </c>
      <c r="B988" s="35">
        <f t="array" ref="B988">XLOOKUP(A988,IMDB_Movies!I$2:I$3493,IMDB_Movies!Q$2:Q$3493)</f>
        <v>55464883</v>
      </c>
      <c r="E988" s="24" t="s">
        <v>3653</v>
      </c>
      <c r="F988" s="36">
        <f t="array" ref="F988">XLOOKUP(A988,IMDB_Movies!I$2:I$3493,IMDB_Movies!P$2:P$3493)</f>
        <v>0</v>
      </c>
    </row>
    <row r="989">
      <c r="A989" s="20" t="s">
        <v>3655</v>
      </c>
      <c r="B989" s="35">
        <f t="array" ref="B989">XLOOKUP(A989,IMDB_Movies!I$2:I$3493,IMDB_Movies!Q$2:Q$3493)</f>
        <v>0</v>
      </c>
      <c r="E989" s="20" t="s">
        <v>3655</v>
      </c>
      <c r="F989" s="36">
        <f t="array" ref="F989">XLOOKUP(A989,IMDB_Movies!I$2:I$3493,IMDB_Movies!P$2:P$3493)</f>
        <v>77334374</v>
      </c>
    </row>
    <row r="990">
      <c r="A990" s="28" t="s">
        <v>3657</v>
      </c>
      <c r="B990" s="35">
        <f t="array" ref="B990">XLOOKUP(A990,IMDB_Movies!I$2:I$3493,IMDB_Movies!Q$2:Q$3493)</f>
        <v>0</v>
      </c>
      <c r="E990" s="28" t="s">
        <v>3657</v>
      </c>
      <c r="F990" s="36">
        <f t="array" ref="F990">XLOOKUP(A990,IMDB_Movies!I$2:I$3493,IMDB_Movies!P$2:P$3493)</f>
        <v>13955614</v>
      </c>
    </row>
    <row r="991">
      <c r="A991" s="16" t="s">
        <v>3659</v>
      </c>
      <c r="B991" s="35">
        <f t="array" ref="B991">XLOOKUP(A991,IMDB_Movies!I$2:I$3493,IMDB_Movies!Q$2:Q$3493)</f>
        <v>0</v>
      </c>
      <c r="E991" s="16" t="s">
        <v>3659</v>
      </c>
      <c r="F991" s="36">
        <f t="array" ref="F991">XLOOKUP(A991,IMDB_Movies!I$2:I$3493,IMDB_Movies!P$2:P$3493)</f>
        <v>8031620</v>
      </c>
    </row>
    <row r="992">
      <c r="A992" s="11" t="s">
        <v>3661</v>
      </c>
      <c r="B992" s="35">
        <f t="array" ref="B992">XLOOKUP(A992,IMDB_Movies!I$2:I$3493,IMDB_Movies!Q$2:Q$3493)</f>
        <v>3400000</v>
      </c>
      <c r="E992" s="11" t="s">
        <v>3661</v>
      </c>
      <c r="F992" s="36">
        <f t="array" ref="F992">XLOOKUP(A992,IMDB_Movies!I$2:I$3493,IMDB_Movies!P$2:P$3493)</f>
        <v>0</v>
      </c>
    </row>
    <row r="993">
      <c r="A993" s="24" t="s">
        <v>3665</v>
      </c>
      <c r="B993" s="35">
        <f t="array" ref="B993">XLOOKUP(A993,IMDB_Movies!I$2:I$3493,IMDB_Movies!Q$2:Q$3493)</f>
        <v>0</v>
      </c>
      <c r="E993" s="24" t="s">
        <v>3665</v>
      </c>
      <c r="F993" s="36">
        <f t="array" ref="F993">XLOOKUP(A993,IMDB_Movies!I$2:I$3493,IMDB_Movies!P$2:P$3493)</f>
        <v>27469602</v>
      </c>
    </row>
    <row r="994">
      <c r="A994" s="32" t="s">
        <v>3669</v>
      </c>
      <c r="B994" s="35">
        <f t="array" ref="B994">XLOOKUP(A994,IMDB_Movies!I$2:I$3493,IMDB_Movies!Q$2:Q$3493)</f>
        <v>21926608</v>
      </c>
      <c r="E994" s="32" t="s">
        <v>3669</v>
      </c>
      <c r="F994" s="36">
        <f t="array" ref="F994">XLOOKUP(A994,IMDB_Movies!I$2:I$3493,IMDB_Movies!P$2:P$3493)</f>
        <v>0</v>
      </c>
    </row>
    <row r="995">
      <c r="A995" s="24" t="s">
        <v>3672</v>
      </c>
      <c r="B995" s="35">
        <f t="array" ref="B995">XLOOKUP(A995,IMDB_Movies!I$2:I$3493,IMDB_Movies!Q$2:Q$3493)</f>
        <v>5118665</v>
      </c>
      <c r="E995" s="24" t="s">
        <v>3672</v>
      </c>
      <c r="F995" s="36">
        <f t="array" ref="F995">XLOOKUP(A995,IMDB_Movies!I$2:I$3493,IMDB_Movies!P$2:P$3493)</f>
        <v>0</v>
      </c>
    </row>
    <row r="996">
      <c r="A996" s="20" t="s">
        <v>3676</v>
      </c>
      <c r="B996" s="35">
        <f t="array" ref="B996">XLOOKUP(A996,IMDB_Movies!I$2:I$3493,IMDB_Movies!Q$2:Q$3493)</f>
        <v>0</v>
      </c>
      <c r="E996" s="20" t="s">
        <v>3676</v>
      </c>
      <c r="F996" s="36">
        <f t="array" ref="F996">XLOOKUP(A996,IMDB_Movies!I$2:I$3493,IMDB_Movies!P$2:P$3493)</f>
        <v>37541683</v>
      </c>
    </row>
    <row r="997">
      <c r="A997" s="32" t="s">
        <v>3680</v>
      </c>
      <c r="B997" s="35">
        <f t="array" ref="B997">XLOOKUP(A997,IMDB_Movies!I$2:I$3493,IMDB_Movies!Q$2:Q$3493)</f>
        <v>0</v>
      </c>
      <c r="E997" s="32" t="s">
        <v>3680</v>
      </c>
      <c r="F997" s="36">
        <f t="array" ref="F997">XLOOKUP(A997,IMDB_Movies!I$2:I$3493,IMDB_Movies!P$2:P$3493)</f>
        <v>54200000</v>
      </c>
    </row>
    <row r="998">
      <c r="A998" s="11" t="s">
        <v>3684</v>
      </c>
      <c r="B998" s="35">
        <f t="array" ref="B998">XLOOKUP(A998,IMDB_Movies!I$2:I$3493,IMDB_Movies!Q$2:Q$3493)</f>
        <v>9988165</v>
      </c>
      <c r="E998" s="11" t="s">
        <v>3684</v>
      </c>
      <c r="F998" s="36">
        <f t="array" ref="F998">XLOOKUP(A998,IMDB_Movies!I$2:I$3493,IMDB_Movies!P$2:P$3493)</f>
        <v>0</v>
      </c>
    </row>
    <row r="999">
      <c r="A999" s="16" t="s">
        <v>3689</v>
      </c>
      <c r="B999" s="35">
        <f t="array" ref="B999">XLOOKUP(A999,IMDB_Movies!I$2:I$3493,IMDB_Movies!Q$2:Q$3493)</f>
        <v>0</v>
      </c>
      <c r="E999" s="16" t="s">
        <v>3689</v>
      </c>
      <c r="F999" s="36">
        <f t="array" ref="F999">XLOOKUP(A999,IMDB_Movies!I$2:I$3493,IMDB_Movies!P$2:P$3493)</f>
        <v>64518155</v>
      </c>
    </row>
    <row r="1000">
      <c r="A1000" s="20" t="s">
        <v>3693</v>
      </c>
      <c r="B1000" s="35">
        <f t="array" ref="B1000">XLOOKUP(A1000,IMDB_Movies!I$2:I$3493,IMDB_Movies!Q$2:Q$3493)</f>
        <v>10703427</v>
      </c>
      <c r="E1000" s="20" t="s">
        <v>3693</v>
      </c>
      <c r="F1000" s="36">
        <f t="array" ref="F1000">XLOOKUP(A1000,IMDB_Movies!I$2:I$3493,IMDB_Movies!P$2:P$3493)</f>
        <v>0</v>
      </c>
    </row>
    <row r="1001">
      <c r="A1001" s="11" t="s">
        <v>3695</v>
      </c>
      <c r="B1001" s="35">
        <f t="array" ref="B1001">XLOOKUP(A1001,IMDB_Movies!I$2:I$3493,IMDB_Movies!Q$2:Q$3493)</f>
        <v>0</v>
      </c>
      <c r="E1001" s="11" t="s">
        <v>3695</v>
      </c>
      <c r="F1001" s="36">
        <f t="array" ref="F1001">XLOOKUP(A1001,IMDB_Movies!I$2:I$3493,IMDB_Movies!P$2:P$3493)</f>
        <v>29948113</v>
      </c>
    </row>
    <row r="1002">
      <c r="A1002" s="11" t="s">
        <v>3697</v>
      </c>
      <c r="B1002" s="35">
        <f t="array" ref="B1002">XLOOKUP(A1002,IMDB_Movies!I$2:I$3493,IMDB_Movies!Q$2:Q$3493)</f>
        <v>0</v>
      </c>
      <c r="E1002" s="11" t="s">
        <v>3697</v>
      </c>
      <c r="F1002" s="36">
        <f t="array" ref="F1002">XLOOKUP(A1002,IMDB_Movies!I$2:I$3493,IMDB_Movies!P$2:P$3493)</f>
        <v>103620822</v>
      </c>
    </row>
    <row r="1003">
      <c r="A1003" s="28" t="s">
        <v>3702</v>
      </c>
      <c r="B1003" s="35">
        <f t="array" ref="B1003">XLOOKUP(A1003,IMDB_Movies!I$2:I$3493,IMDB_Movies!Q$2:Q$3493)</f>
        <v>14979620</v>
      </c>
      <c r="E1003" s="28" t="s">
        <v>3702</v>
      </c>
      <c r="F1003" s="36">
        <f t="array" ref="F1003">XLOOKUP(A1003,IMDB_Movies!I$2:I$3493,IMDB_Movies!P$2:P$3493)</f>
        <v>0</v>
      </c>
    </row>
    <row r="1004">
      <c r="A1004" s="20" t="s">
        <v>3705</v>
      </c>
      <c r="B1004" s="35">
        <f t="array" ref="B1004">XLOOKUP(A1004,IMDB_Movies!I$2:I$3493,IMDB_Movies!Q$2:Q$3493)</f>
        <v>0</v>
      </c>
      <c r="E1004" s="20" t="s">
        <v>3705</v>
      </c>
      <c r="F1004" s="36">
        <f t="array" ref="F1004">XLOOKUP(A1004,IMDB_Movies!I$2:I$3493,IMDB_Movies!P$2:P$3493)</f>
        <v>9792000</v>
      </c>
    </row>
    <row r="1005">
      <c r="A1005" s="11" t="s">
        <v>3709</v>
      </c>
      <c r="B1005" s="35">
        <f t="array" ref="B1005">XLOOKUP(A1005,IMDB_Movies!I$2:I$3493,IMDB_Movies!Q$2:Q$3493)</f>
        <v>0</v>
      </c>
      <c r="E1005" s="11" t="s">
        <v>3709</v>
      </c>
      <c r="F1005" s="36">
        <f t="array" ref="F1005">XLOOKUP(A1005,IMDB_Movies!I$2:I$3493,IMDB_Movies!P$2:P$3493)</f>
        <v>7544812</v>
      </c>
    </row>
    <row r="1006">
      <c r="A1006" s="20" t="s">
        <v>3712</v>
      </c>
      <c r="B1006" s="35">
        <f t="array" ref="B1006">XLOOKUP(A1006,IMDB_Movies!I$2:I$3493,IMDB_Movies!Q$2:Q$3493)</f>
        <v>45393665</v>
      </c>
      <c r="E1006" s="20" t="s">
        <v>3712</v>
      </c>
      <c r="F1006" s="36">
        <f t="array" ref="F1006">XLOOKUP(A1006,IMDB_Movies!I$2:I$3493,IMDB_Movies!P$2:P$3493)</f>
        <v>0</v>
      </c>
    </row>
    <row r="1007">
      <c r="A1007" s="11" t="s">
        <v>3714</v>
      </c>
      <c r="B1007" s="35">
        <f t="array" ref="B1007">XLOOKUP(A1007,IMDB_Movies!I$2:I$3493,IMDB_Movies!Q$2:Q$3493)</f>
        <v>0</v>
      </c>
      <c r="E1007" s="11" t="s">
        <v>3714</v>
      </c>
      <c r="F1007" s="36">
        <f t="array" ref="F1007">XLOOKUP(A1007,IMDB_Movies!I$2:I$3493,IMDB_Movies!P$2:P$3493)</f>
        <v>19995817</v>
      </c>
    </row>
    <row r="1008">
      <c r="A1008" s="24" t="s">
        <v>3717</v>
      </c>
      <c r="B1008" s="35">
        <f t="array" ref="B1008">XLOOKUP(A1008,IMDB_Movies!I$2:I$3493,IMDB_Movies!Q$2:Q$3493)</f>
        <v>0</v>
      </c>
      <c r="E1008" s="24" t="s">
        <v>3717</v>
      </c>
      <c r="F1008" s="36">
        <f t="array" ref="F1008">XLOOKUP(A1008,IMDB_Movies!I$2:I$3493,IMDB_Movies!P$2:P$3493)</f>
        <v>38950483</v>
      </c>
    </row>
    <row r="1009">
      <c r="A1009" s="20" t="s">
        <v>3721</v>
      </c>
      <c r="B1009" s="35">
        <f t="array" ref="B1009">XLOOKUP(A1009,IMDB_Movies!I$2:I$3493,IMDB_Movies!Q$2:Q$3493)</f>
        <v>2994995</v>
      </c>
      <c r="E1009" s="20" t="s">
        <v>3721</v>
      </c>
      <c r="F1009" s="36">
        <f t="array" ref="F1009">XLOOKUP(A1009,IMDB_Movies!I$2:I$3493,IMDB_Movies!P$2:P$3493)</f>
        <v>0</v>
      </c>
    </row>
    <row r="1010">
      <c r="A1010" s="11" t="s">
        <v>3725</v>
      </c>
      <c r="B1010" s="35">
        <f t="array" ref="B1010">XLOOKUP(A1010,IMDB_Movies!I$2:I$3493,IMDB_Movies!Q$2:Q$3493)</f>
        <v>11139998</v>
      </c>
      <c r="E1010" s="11" t="s">
        <v>3725</v>
      </c>
      <c r="F1010" s="36">
        <f t="array" ref="F1010">XLOOKUP(A1010,IMDB_Movies!I$2:I$3493,IMDB_Movies!P$2:P$3493)</f>
        <v>0</v>
      </c>
    </row>
    <row r="1011">
      <c r="A1011" s="11" t="s">
        <v>3728</v>
      </c>
      <c r="B1011" s="35">
        <f t="array" ref="B1011">XLOOKUP(A1011,IMDB_Movies!I$2:I$3493,IMDB_Movies!Q$2:Q$3493)</f>
        <v>0</v>
      </c>
      <c r="E1011" s="11" t="s">
        <v>3728</v>
      </c>
      <c r="F1011" s="36">
        <f t="array" ref="F1011">XLOOKUP(A1011,IMDB_Movies!I$2:I$3493,IMDB_Movies!P$2:P$3493)</f>
        <v>45255243</v>
      </c>
    </row>
    <row r="1012">
      <c r="A1012" s="16" t="s">
        <v>3732</v>
      </c>
      <c r="B1012" s="35">
        <f t="array" ref="B1012">XLOOKUP(A1012,IMDB_Movies!I$2:I$3493,IMDB_Movies!Q$2:Q$3493)</f>
        <v>9810821</v>
      </c>
      <c r="E1012" s="16" t="s">
        <v>3732</v>
      </c>
      <c r="F1012" s="36">
        <f t="array" ref="F1012">XLOOKUP(A1012,IMDB_Movies!I$2:I$3493,IMDB_Movies!P$2:P$3493)</f>
        <v>0</v>
      </c>
    </row>
    <row r="1013">
      <c r="A1013" s="11" t="s">
        <v>3734</v>
      </c>
      <c r="B1013" s="35">
        <f t="array" ref="B1013">XLOOKUP(A1013,IMDB_Movies!I$2:I$3493,IMDB_Movies!Q$2:Q$3493)</f>
        <v>0</v>
      </c>
      <c r="E1013" s="11" t="s">
        <v>3734</v>
      </c>
      <c r="F1013" s="36">
        <f t="array" ref="F1013">XLOOKUP(A1013,IMDB_Movies!I$2:I$3493,IMDB_Movies!P$2:P$3493)</f>
        <v>161796233</v>
      </c>
    </row>
    <row r="1014">
      <c r="A1014" s="11" t="s">
        <v>3738</v>
      </c>
      <c r="B1014" s="35">
        <f t="array" ref="B1014">XLOOKUP(A1014,IMDB_Movies!I$2:I$3493,IMDB_Movies!Q$2:Q$3493)</f>
        <v>6789304</v>
      </c>
      <c r="E1014" s="11" t="s">
        <v>3738</v>
      </c>
      <c r="F1014" s="36">
        <f t="array" ref="F1014">XLOOKUP(A1014,IMDB_Movies!I$2:I$3493,IMDB_Movies!P$2:P$3493)</f>
        <v>0</v>
      </c>
    </row>
    <row r="1015">
      <c r="A1015" s="24" t="s">
        <v>3742</v>
      </c>
      <c r="B1015" s="35">
        <f t="array" ref="B1015">XLOOKUP(A1015,IMDB_Movies!I$2:I$3493,IMDB_Movies!Q$2:Q$3493)</f>
        <v>0</v>
      </c>
      <c r="E1015" s="24" t="s">
        <v>3742</v>
      </c>
      <c r="F1015" s="36">
        <f t="array" ref="F1015">XLOOKUP(A1015,IMDB_Movies!I$2:I$3493,IMDB_Movies!P$2:P$3493)</f>
        <v>104360277</v>
      </c>
    </row>
    <row r="1016">
      <c r="A1016" s="28" t="s">
        <v>3744</v>
      </c>
      <c r="B1016" s="35">
        <f t="array" ref="B1016">XLOOKUP(A1016,IMDB_Movies!I$2:I$3493,IMDB_Movies!Q$2:Q$3493)</f>
        <v>0</v>
      </c>
      <c r="E1016" s="28" t="s">
        <v>3744</v>
      </c>
      <c r="F1016" s="36">
        <f t="array" ref="F1016">XLOOKUP(A1016,IMDB_Movies!I$2:I$3493,IMDB_Movies!P$2:P$3493)</f>
        <v>36207920</v>
      </c>
    </row>
    <row r="1017">
      <c r="A1017" s="11" t="s">
        <v>3749</v>
      </c>
      <c r="B1017" s="35">
        <f t="array" ref="B1017">XLOOKUP(A1017,IMDB_Movies!I$2:I$3493,IMDB_Movies!Q$2:Q$3493)</f>
        <v>598397534</v>
      </c>
      <c r="E1017" s="11" t="s">
        <v>3749</v>
      </c>
      <c r="F1017" s="36">
        <f t="array" ref="F1017">XLOOKUP(A1017,IMDB_Movies!I$2:I$3493,IMDB_Movies!P$2:P$3493)</f>
        <v>0</v>
      </c>
    </row>
    <row r="1018">
      <c r="A1018" s="11" t="s">
        <v>3753</v>
      </c>
      <c r="B1018" s="35">
        <f t="array" ref="B1018">XLOOKUP(A1018,IMDB_Movies!I$2:I$3493,IMDB_Movies!Q$2:Q$3493)</f>
        <v>0</v>
      </c>
      <c r="E1018" s="11" t="s">
        <v>3753</v>
      </c>
      <c r="F1018" s="36">
        <f t="array" ref="F1018">XLOOKUP(A1018,IMDB_Movies!I$2:I$3493,IMDB_Movies!P$2:P$3493)</f>
        <v>22116152</v>
      </c>
    </row>
    <row r="1019">
      <c r="A1019" s="28" t="s">
        <v>3755</v>
      </c>
      <c r="B1019" s="35">
        <f t="array" ref="B1019">XLOOKUP(A1019,IMDB_Movies!I$2:I$3493,IMDB_Movies!Q$2:Q$3493)</f>
        <v>0</v>
      </c>
      <c r="E1019" s="28" t="s">
        <v>3755</v>
      </c>
      <c r="F1019" s="36">
        <f t="array" ref="F1019">XLOOKUP(A1019,IMDB_Movies!I$2:I$3493,IMDB_Movies!P$2:P$3493)</f>
        <v>13656400</v>
      </c>
    </row>
    <row r="1020">
      <c r="A1020" s="20" t="s">
        <v>3757</v>
      </c>
      <c r="B1020" s="35">
        <f t="array" ref="B1020">XLOOKUP(A1020,IMDB_Movies!I$2:I$3493,IMDB_Movies!Q$2:Q$3493)</f>
        <v>0</v>
      </c>
      <c r="E1020" s="20" t="s">
        <v>3757</v>
      </c>
      <c r="F1020" s="36">
        <f t="array" ref="F1020">XLOOKUP(A1020,IMDB_Movies!I$2:I$3493,IMDB_Movies!P$2:P$3493)</f>
        <v>69049418</v>
      </c>
    </row>
    <row r="1021">
      <c r="A1021" s="11" t="s">
        <v>3760</v>
      </c>
      <c r="B1021" s="35">
        <f t="array" ref="B1021">XLOOKUP(A1021,IMDB_Movies!I$2:I$3493,IMDB_Movies!Q$2:Q$3493)</f>
        <v>59533912</v>
      </c>
      <c r="E1021" s="11" t="s">
        <v>3760</v>
      </c>
      <c r="F1021" s="36">
        <f t="array" ref="F1021">XLOOKUP(A1021,IMDB_Movies!I$2:I$3493,IMDB_Movies!P$2:P$3493)</f>
        <v>0</v>
      </c>
    </row>
    <row r="1022">
      <c r="A1022" s="20" t="s">
        <v>3763</v>
      </c>
      <c r="B1022" s="35">
        <f t="array" ref="B1022">XLOOKUP(A1022,IMDB_Movies!I$2:I$3493,IMDB_Movies!Q$2:Q$3493)</f>
        <v>0</v>
      </c>
      <c r="E1022" s="20" t="s">
        <v>3763</v>
      </c>
      <c r="F1022" s="36">
        <f t="array" ref="F1022">XLOOKUP(A1022,IMDB_Movies!I$2:I$3493,IMDB_Movies!P$2:P$3493)</f>
        <v>2929123</v>
      </c>
    </row>
    <row r="1023">
      <c r="A1023" s="24" t="s">
        <v>3766</v>
      </c>
      <c r="B1023" s="35">
        <f t="array" ref="B1023">XLOOKUP(A1023,IMDB_Movies!I$2:I$3493,IMDB_Movies!Q$2:Q$3493)</f>
        <v>0</v>
      </c>
      <c r="E1023" s="24" t="s">
        <v>3766</v>
      </c>
      <c r="F1023" s="36">
        <f t="array" ref="F1023">XLOOKUP(A1023,IMDB_Movies!I$2:I$3493,IMDB_Movies!P$2:P$3493)</f>
        <v>62804648</v>
      </c>
    </row>
    <row r="1024">
      <c r="A1024" s="11" t="s">
        <v>3769</v>
      </c>
      <c r="B1024" s="35">
        <f t="array" ref="B1024">XLOOKUP(A1024,IMDB_Movies!I$2:I$3493,IMDB_Movies!Q$2:Q$3493)</f>
        <v>0</v>
      </c>
      <c r="E1024" s="11" t="s">
        <v>3769</v>
      </c>
      <c r="F1024" s="36">
        <f t="array" ref="F1024">XLOOKUP(A1024,IMDB_Movies!I$2:I$3493,IMDB_Movies!P$2:P$3493)</f>
        <v>2060184</v>
      </c>
    </row>
    <row r="1025">
      <c r="A1025" s="11" t="s">
        <v>3773</v>
      </c>
      <c r="B1025" s="35">
        <f t="array" ref="B1025">XLOOKUP(A1025,IMDB_Movies!I$2:I$3493,IMDB_Movies!Q$2:Q$3493)</f>
        <v>0</v>
      </c>
      <c r="E1025" s="11" t="s">
        <v>3773</v>
      </c>
      <c r="F1025" s="36">
        <f t="array" ref="F1025">XLOOKUP(A1025,IMDB_Movies!I$2:I$3493,IMDB_Movies!P$2:P$3493)</f>
        <v>2903262</v>
      </c>
    </row>
    <row r="1026">
      <c r="A1026" s="11" t="s">
        <v>3775</v>
      </c>
      <c r="B1026" s="35">
        <f t="array" ref="B1026">XLOOKUP(A1026,IMDB_Movies!I$2:I$3493,IMDB_Movies!Q$2:Q$3493)</f>
        <v>0</v>
      </c>
      <c r="E1026" s="11" t="s">
        <v>3775</v>
      </c>
      <c r="F1026" s="36">
        <f t="array" ref="F1026">XLOOKUP(A1026,IMDB_Movies!I$2:I$3493,IMDB_Movies!P$2:P$3493)</f>
        <v>46309760</v>
      </c>
    </row>
    <row r="1027">
      <c r="A1027" s="32" t="s">
        <v>3779</v>
      </c>
      <c r="B1027" s="35">
        <f t="array" ref="B1027">XLOOKUP(A1027,IMDB_Movies!I$2:I$3493,IMDB_Movies!Q$2:Q$3493)</f>
        <v>29936195</v>
      </c>
      <c r="E1027" s="32" t="s">
        <v>3779</v>
      </c>
      <c r="F1027" s="36">
        <f t="array" ref="F1027">XLOOKUP(A1027,IMDB_Movies!I$2:I$3493,IMDB_Movies!P$2:P$3493)</f>
        <v>0</v>
      </c>
    </row>
    <row r="1028">
      <c r="A1028" s="20" t="s">
        <v>3783</v>
      </c>
      <c r="B1028" s="35">
        <f t="array" ref="B1028">XLOOKUP(A1028,IMDB_Movies!I$2:I$3493,IMDB_Movies!Q$2:Q$3493)</f>
        <v>776010</v>
      </c>
      <c r="E1028" s="20" t="s">
        <v>3783</v>
      </c>
      <c r="F1028" s="36">
        <f t="array" ref="F1028">XLOOKUP(A1028,IMDB_Movies!I$2:I$3493,IMDB_Movies!P$2:P$3493)</f>
        <v>0</v>
      </c>
    </row>
    <row r="1029">
      <c r="A1029" s="11" t="s">
        <v>3785</v>
      </c>
      <c r="B1029" s="35">
        <f t="array" ref="B1029">XLOOKUP(A1029,IMDB_Movies!I$2:I$3493,IMDB_Movies!Q$2:Q$3493)</f>
        <v>0</v>
      </c>
      <c r="E1029" s="11" t="s">
        <v>3785</v>
      </c>
      <c r="F1029" s="36">
        <f t="array" ref="F1029">XLOOKUP(A1029,IMDB_Movies!I$2:I$3493,IMDB_Movies!P$2:P$3493)</f>
        <v>55072454</v>
      </c>
    </row>
    <row r="1030">
      <c r="A1030" s="20" t="s">
        <v>3787</v>
      </c>
      <c r="B1030" s="35">
        <f t="array" ref="B1030">XLOOKUP(A1030,IMDB_Movies!I$2:I$3493,IMDB_Movies!Q$2:Q$3493)</f>
        <v>9530189</v>
      </c>
      <c r="E1030" s="20" t="s">
        <v>3787</v>
      </c>
      <c r="F1030" s="36">
        <f t="array" ref="F1030">XLOOKUP(A1030,IMDB_Movies!I$2:I$3493,IMDB_Movies!P$2:P$3493)</f>
        <v>0</v>
      </c>
    </row>
    <row r="1031">
      <c r="A1031" s="11" t="s">
        <v>3790</v>
      </c>
      <c r="B1031" s="35">
        <f t="array" ref="B1031">XLOOKUP(A1031,IMDB_Movies!I$2:I$3493,IMDB_Movies!Q$2:Q$3493)</f>
        <v>0</v>
      </c>
      <c r="E1031" s="11" t="s">
        <v>3790</v>
      </c>
      <c r="F1031" s="36">
        <f t="array" ref="F1031">XLOOKUP(A1031,IMDB_Movies!I$2:I$3493,IMDB_Movies!P$2:P$3493)</f>
        <v>82528646</v>
      </c>
    </row>
    <row r="1032">
      <c r="A1032" s="11" t="s">
        <v>3793</v>
      </c>
      <c r="B1032" s="35">
        <f t="array" ref="B1032">XLOOKUP(A1032,IMDB_Movies!I$2:I$3493,IMDB_Movies!Q$2:Q$3493)</f>
        <v>0</v>
      </c>
      <c r="E1032" s="11" t="s">
        <v>3793</v>
      </c>
      <c r="F1032" s="36">
        <f t="array" ref="F1032">XLOOKUP(A1032,IMDB_Movies!I$2:I$3493,IMDB_Movies!P$2:P$3493)</f>
        <v>4059537</v>
      </c>
    </row>
    <row r="1033">
      <c r="A1033" s="11" t="s">
        <v>3797</v>
      </c>
      <c r="B1033" s="35">
        <f t="array" ref="B1033">XLOOKUP(A1033,IMDB_Movies!I$2:I$3493,IMDB_Movies!Q$2:Q$3493)</f>
        <v>3200000</v>
      </c>
      <c r="E1033" s="11" t="s">
        <v>3797</v>
      </c>
      <c r="F1033" s="36">
        <f t="array" ref="F1033">XLOOKUP(A1033,IMDB_Movies!I$2:I$3493,IMDB_Movies!P$2:P$3493)</f>
        <v>0</v>
      </c>
    </row>
    <row r="1034">
      <c r="A1034" s="11" t="s">
        <v>3801</v>
      </c>
      <c r="B1034" s="35">
        <f t="array" ref="B1034">XLOOKUP(A1034,IMDB_Movies!I$2:I$3493,IMDB_Movies!Q$2:Q$3493)</f>
        <v>0</v>
      </c>
      <c r="E1034" s="11" t="s">
        <v>3801</v>
      </c>
      <c r="F1034" s="36">
        <f t="array" ref="F1034">XLOOKUP(A1034,IMDB_Movies!I$2:I$3493,IMDB_Movies!P$2:P$3493)</f>
        <v>4479776</v>
      </c>
    </row>
    <row r="1035">
      <c r="A1035" s="11" t="s">
        <v>3805</v>
      </c>
      <c r="B1035" s="35">
        <f t="array" ref="B1035">XLOOKUP(A1035,IMDB_Movies!I$2:I$3493,IMDB_Movies!Q$2:Q$3493)</f>
        <v>0</v>
      </c>
      <c r="E1035" s="11" t="s">
        <v>3805</v>
      </c>
      <c r="F1035" s="36">
        <f t="array" ref="F1035">XLOOKUP(A1035,IMDB_Movies!I$2:I$3493,IMDB_Movies!P$2:P$3493)</f>
        <v>37063889</v>
      </c>
    </row>
    <row r="1036">
      <c r="A1036" s="20" t="s">
        <v>3809</v>
      </c>
      <c r="B1036" s="35">
        <f t="array" ref="B1036">XLOOKUP(A1036,IMDB_Movies!I$2:I$3493,IMDB_Movies!Q$2:Q$3493)</f>
        <v>28551183</v>
      </c>
      <c r="E1036" s="20" t="s">
        <v>3809</v>
      </c>
      <c r="F1036" s="36">
        <f t="array" ref="F1036">XLOOKUP(A1036,IMDB_Movies!I$2:I$3493,IMDB_Movies!P$2:P$3493)</f>
        <v>0</v>
      </c>
    </row>
    <row r="1037">
      <c r="A1037" s="20" t="s">
        <v>3812</v>
      </c>
      <c r="B1037" s="35">
        <f t="array" ref="B1037">XLOOKUP(A1037,IMDB_Movies!I$2:I$3493,IMDB_Movies!Q$2:Q$3493)</f>
        <v>23676031</v>
      </c>
      <c r="E1037" s="20" t="s">
        <v>3812</v>
      </c>
      <c r="F1037" s="36">
        <f t="array" ref="F1037">XLOOKUP(A1037,IMDB_Movies!I$2:I$3493,IMDB_Movies!P$2:P$3493)</f>
        <v>0</v>
      </c>
    </row>
    <row r="1038">
      <c r="A1038" s="20" t="s">
        <v>3814</v>
      </c>
      <c r="B1038" s="35">
        <f t="array" ref="B1038">XLOOKUP(A1038,IMDB_Movies!I$2:I$3493,IMDB_Movies!Q$2:Q$3493)</f>
        <v>0</v>
      </c>
      <c r="E1038" s="20" t="s">
        <v>3814</v>
      </c>
      <c r="F1038" s="36">
        <f t="array" ref="F1038">XLOOKUP(A1038,IMDB_Movies!I$2:I$3493,IMDB_Movies!P$2:P$3493)</f>
        <v>30836296</v>
      </c>
    </row>
    <row r="1039">
      <c r="A1039" s="11" t="s">
        <v>3818</v>
      </c>
      <c r="B1039" s="35">
        <f t="array" ref="B1039">XLOOKUP(A1039,IMDB_Movies!I$2:I$3493,IMDB_Movies!Q$2:Q$3493)</f>
        <v>3270031</v>
      </c>
      <c r="E1039" s="11" t="s">
        <v>3818</v>
      </c>
      <c r="F1039" s="36">
        <f t="array" ref="F1039">XLOOKUP(A1039,IMDB_Movies!I$2:I$3493,IMDB_Movies!P$2:P$3493)</f>
        <v>0</v>
      </c>
    </row>
    <row r="1040">
      <c r="A1040" s="11" t="s">
        <v>3821</v>
      </c>
      <c r="B1040" s="35">
        <f t="array" ref="B1040">XLOOKUP(A1040,IMDB_Movies!I$2:I$3493,IMDB_Movies!Q$2:Q$3493)</f>
        <v>0</v>
      </c>
      <c r="E1040" s="11" t="s">
        <v>3821</v>
      </c>
      <c r="F1040" s="36">
        <f t="array" ref="F1040">XLOOKUP(A1040,IMDB_Movies!I$2:I$3493,IMDB_Movies!P$2:P$3493)</f>
        <v>4886369</v>
      </c>
    </row>
    <row r="1041">
      <c r="A1041" s="24" t="s">
        <v>3824</v>
      </c>
      <c r="B1041" s="35">
        <f t="array" ref="B1041">XLOOKUP(A1041,IMDB_Movies!I$2:I$3493,IMDB_Movies!Q$2:Q$3493)</f>
        <v>9782502</v>
      </c>
      <c r="E1041" s="24" t="s">
        <v>3824</v>
      </c>
      <c r="F1041" s="36">
        <f t="array" ref="F1041">XLOOKUP(A1041,IMDB_Movies!I$2:I$3493,IMDB_Movies!P$2:P$3493)</f>
        <v>0</v>
      </c>
    </row>
    <row r="1042">
      <c r="A1042" s="11" t="s">
        <v>3827</v>
      </c>
      <c r="B1042" s="35">
        <f t="array" ref="B1042">XLOOKUP(A1042,IMDB_Movies!I$2:I$3493,IMDB_Movies!Q$2:Q$3493)</f>
        <v>0</v>
      </c>
      <c r="E1042" s="11" t="s">
        <v>3827</v>
      </c>
      <c r="F1042" s="36">
        <f t="array" ref="F1042">XLOOKUP(A1042,IMDB_Movies!I$2:I$3493,IMDB_Movies!P$2:P$3493)</f>
        <v>55768056</v>
      </c>
    </row>
    <row r="1043">
      <c r="A1043" s="11" t="s">
        <v>3830</v>
      </c>
      <c r="B1043" s="35">
        <f t="array" ref="B1043">XLOOKUP(A1043,IMDB_Movies!I$2:I$3493,IMDB_Movies!Q$2:Q$3493)</f>
        <v>2816208</v>
      </c>
      <c r="E1043" s="11" t="s">
        <v>3830</v>
      </c>
      <c r="F1043" s="36">
        <f t="array" ref="F1043">XLOOKUP(A1043,IMDB_Movies!I$2:I$3493,IMDB_Movies!P$2:P$3493)</f>
        <v>0</v>
      </c>
    </row>
    <row r="1044">
      <c r="A1044" s="20" t="s">
        <v>3833</v>
      </c>
      <c r="B1044" s="35">
        <f t="array" ref="B1044">XLOOKUP(A1044,IMDB_Movies!I$2:I$3493,IMDB_Movies!Q$2:Q$3493)</f>
        <v>12471908</v>
      </c>
      <c r="E1044" s="20" t="s">
        <v>3833</v>
      </c>
      <c r="F1044" s="36">
        <f t="array" ref="F1044">XLOOKUP(A1044,IMDB_Movies!I$2:I$3493,IMDB_Movies!P$2:P$3493)</f>
        <v>0</v>
      </c>
    </row>
    <row r="1045">
      <c r="A1045" s="28" t="s">
        <v>3835</v>
      </c>
      <c r="B1045" s="35">
        <f t="array" ref="B1045">XLOOKUP(A1045,IMDB_Movies!I$2:I$3493,IMDB_Movies!Q$2:Q$3493)</f>
        <v>0</v>
      </c>
      <c r="E1045" s="28" t="s">
        <v>3835</v>
      </c>
      <c r="F1045" s="36">
        <f t="array" ref="F1045">XLOOKUP(A1045,IMDB_Movies!I$2:I$3493,IMDB_Movies!P$2:P$3493)</f>
        <v>26372293</v>
      </c>
    </row>
    <row r="1046">
      <c r="A1046" s="11" t="s">
        <v>3838</v>
      </c>
      <c r="B1046" s="35">
        <f t="array" ref="B1046">XLOOKUP(A1046,IMDB_Movies!I$2:I$3493,IMDB_Movies!Q$2:Q$3493)</f>
        <v>0</v>
      </c>
      <c r="E1046" s="11" t="s">
        <v>3838</v>
      </c>
      <c r="F1046" s="36">
        <f t="array" ref="F1046">XLOOKUP(A1046,IMDB_Movies!I$2:I$3493,IMDB_Movies!P$2:P$3493)</f>
        <v>37257433</v>
      </c>
    </row>
    <row r="1047">
      <c r="A1047" s="11" t="s">
        <v>3841</v>
      </c>
      <c r="B1047" s="35">
        <f t="array" ref="B1047">XLOOKUP(A1047,IMDB_Movies!I$2:I$3493,IMDB_Movies!Q$2:Q$3493)</f>
        <v>0</v>
      </c>
      <c r="E1047" s="11" t="s">
        <v>3841</v>
      </c>
      <c r="F1047" s="36">
        <f t="array" ref="F1047">XLOOKUP(A1047,IMDB_Movies!I$2:I$3493,IMDB_Movies!P$2:P$3493)</f>
        <v>3821335</v>
      </c>
    </row>
    <row r="1048">
      <c r="A1048" s="20" t="s">
        <v>3844</v>
      </c>
      <c r="B1048" s="35">
        <f t="array" ref="B1048">XLOOKUP(A1048,IMDB_Movies!I$2:I$3493,IMDB_Movies!Q$2:Q$3493)</f>
        <v>0</v>
      </c>
      <c r="E1048" s="20" t="s">
        <v>3844</v>
      </c>
      <c r="F1048" s="36">
        <f t="array" ref="F1048">XLOOKUP(A1048,IMDB_Movies!I$2:I$3493,IMDB_Movies!P$2:P$3493)</f>
        <v>20291815</v>
      </c>
    </row>
    <row r="1049">
      <c r="A1049" s="11" t="s">
        <v>3846</v>
      </c>
      <c r="B1049" s="35">
        <f t="array" ref="B1049">XLOOKUP(A1049,IMDB_Movies!I$2:I$3493,IMDB_Movies!Q$2:Q$3493)</f>
        <v>0</v>
      </c>
      <c r="E1049" s="11" t="s">
        <v>3846</v>
      </c>
      <c r="F1049" s="36">
        <f t="array" ref="F1049">XLOOKUP(A1049,IMDB_Movies!I$2:I$3493,IMDB_Movies!P$2:P$3493)</f>
        <v>90397307</v>
      </c>
    </row>
    <row r="1050">
      <c r="A1050" s="24" t="s">
        <v>3849</v>
      </c>
      <c r="B1050" s="35">
        <f t="array" ref="B1050">XLOOKUP(A1050,IMDB_Movies!I$2:I$3493,IMDB_Movies!Q$2:Q$3493)</f>
        <v>1192174</v>
      </c>
      <c r="E1050" s="24" t="s">
        <v>3849</v>
      </c>
      <c r="F1050" s="36">
        <f t="array" ref="F1050">XLOOKUP(A1050,IMDB_Movies!I$2:I$3493,IMDB_Movies!P$2:P$3493)</f>
        <v>0</v>
      </c>
    </row>
    <row r="1051">
      <c r="A1051" s="11" t="s">
        <v>3851</v>
      </c>
      <c r="B1051" s="35">
        <f t="array" ref="B1051">XLOOKUP(A1051,IMDB_Movies!I$2:I$3493,IMDB_Movies!Q$2:Q$3493)</f>
        <v>0</v>
      </c>
      <c r="E1051" s="11" t="s">
        <v>3851</v>
      </c>
      <c r="F1051" s="36">
        <f t="array" ref="F1051">XLOOKUP(A1051,IMDB_Movies!I$2:I$3493,IMDB_Movies!P$2:P$3493)</f>
        <v>52925609</v>
      </c>
    </row>
    <row r="1052">
      <c r="A1052" s="24" t="s">
        <v>3854</v>
      </c>
      <c r="B1052" s="35">
        <f t="array" ref="B1052">XLOOKUP(A1052,IMDB_Movies!I$2:I$3493,IMDB_Movies!Q$2:Q$3493)</f>
        <v>0</v>
      </c>
      <c r="E1052" s="24" t="s">
        <v>3854</v>
      </c>
      <c r="F1052" s="36">
        <f t="array" ref="F1052">XLOOKUP(A1052,IMDB_Movies!I$2:I$3493,IMDB_Movies!P$2:P$3493)</f>
        <v>10247512</v>
      </c>
    </row>
    <row r="1053">
      <c r="A1053" s="11" t="s">
        <v>3858</v>
      </c>
      <c r="B1053" s="35">
        <f t="array" ref="B1053">XLOOKUP(A1053,IMDB_Movies!I$2:I$3493,IMDB_Movies!Q$2:Q$3493)</f>
        <v>0</v>
      </c>
      <c r="E1053" s="11" t="s">
        <v>3858</v>
      </c>
      <c r="F1053" s="36">
        <f t="array" ref="F1053">XLOOKUP(A1053,IMDB_Movies!I$2:I$3493,IMDB_Movies!P$2:P$3493)</f>
        <v>299658</v>
      </c>
    </row>
    <row r="1054">
      <c r="A1054" s="32" t="s">
        <v>3861</v>
      </c>
      <c r="B1054" s="35">
        <f t="array" ref="B1054">XLOOKUP(A1054,IMDB_Movies!I$2:I$3493,IMDB_Movies!Q$2:Q$3493)</f>
        <v>74992955</v>
      </c>
      <c r="E1054" s="32" t="s">
        <v>3861</v>
      </c>
      <c r="F1054" s="36">
        <f t="array" ref="F1054">XLOOKUP(A1054,IMDB_Movies!I$2:I$3493,IMDB_Movies!P$2:P$3493)</f>
        <v>0</v>
      </c>
    </row>
    <row r="1055">
      <c r="A1055" s="24" t="s">
        <v>3865</v>
      </c>
      <c r="B1055" s="35">
        <f t="array" ref="B1055">XLOOKUP(A1055,IMDB_Movies!I$2:I$3493,IMDB_Movies!Q$2:Q$3493)</f>
        <v>21735014</v>
      </c>
      <c r="E1055" s="24" t="s">
        <v>3865</v>
      </c>
      <c r="F1055" s="36">
        <f t="array" ref="F1055">XLOOKUP(A1055,IMDB_Movies!I$2:I$3493,IMDB_Movies!P$2:P$3493)</f>
        <v>0</v>
      </c>
    </row>
    <row r="1056">
      <c r="A1056" s="16" t="s">
        <v>3867</v>
      </c>
      <c r="B1056" s="35">
        <f t="array" ref="B1056">XLOOKUP(A1056,IMDB_Movies!I$2:I$3493,IMDB_Movies!Q$2:Q$3493)</f>
        <v>27727253</v>
      </c>
      <c r="E1056" s="16" t="s">
        <v>3867</v>
      </c>
      <c r="F1056" s="36">
        <f t="array" ref="F1056">XLOOKUP(A1056,IMDB_Movies!I$2:I$3493,IMDB_Movies!P$2:P$3493)</f>
        <v>0</v>
      </c>
    </row>
    <row r="1057">
      <c r="A1057" s="11" t="s">
        <v>3871</v>
      </c>
      <c r="B1057" s="35">
        <f t="array" ref="B1057">XLOOKUP(A1057,IMDB_Movies!I$2:I$3493,IMDB_Movies!Q$2:Q$3493)</f>
        <v>0</v>
      </c>
      <c r="E1057" s="11" t="s">
        <v>3871</v>
      </c>
      <c r="F1057" s="36">
        <f t="array" ref="F1057">XLOOKUP(A1057,IMDB_Movies!I$2:I$3493,IMDB_Movies!P$2:P$3493)</f>
        <v>1062898</v>
      </c>
    </row>
    <row r="1058">
      <c r="A1058" s="11" t="s">
        <v>3875</v>
      </c>
      <c r="B1058" s="35">
        <f t="array" ref="B1058">XLOOKUP(A1058,IMDB_Movies!I$2:I$3493,IMDB_Movies!Q$2:Q$3493)</f>
        <v>1801593</v>
      </c>
      <c r="E1058" s="11" t="s">
        <v>3875</v>
      </c>
      <c r="F1058" s="36">
        <f t="array" ref="F1058">XLOOKUP(A1058,IMDB_Movies!I$2:I$3493,IMDB_Movies!P$2:P$3493)</f>
        <v>0</v>
      </c>
    </row>
    <row r="1059">
      <c r="A1059" s="28" t="s">
        <v>3877</v>
      </c>
      <c r="B1059" s="35">
        <f t="array" ref="B1059">XLOOKUP(A1059,IMDB_Movies!I$2:I$3493,IMDB_Movies!Q$2:Q$3493)</f>
        <v>0</v>
      </c>
      <c r="E1059" s="28" t="s">
        <v>3877</v>
      </c>
      <c r="F1059" s="36">
        <f t="array" ref="F1059">XLOOKUP(A1059,IMDB_Movies!I$2:I$3493,IMDB_Movies!P$2:P$3493)</f>
        <v>16197315</v>
      </c>
    </row>
    <row r="1060">
      <c r="A1060" s="28" t="s">
        <v>3880</v>
      </c>
      <c r="B1060" s="35">
        <f t="array" ref="B1060">XLOOKUP(A1060,IMDB_Movies!I$2:I$3493,IMDB_Movies!Q$2:Q$3493)</f>
        <v>315648</v>
      </c>
      <c r="E1060" s="28" t="s">
        <v>3880</v>
      </c>
      <c r="F1060" s="36">
        <f t="array" ref="F1060">XLOOKUP(A1060,IMDB_Movies!I$2:I$3493,IMDB_Movies!P$2:P$3493)</f>
        <v>0</v>
      </c>
    </row>
    <row r="1061">
      <c r="A1061" s="20" t="s">
        <v>3884</v>
      </c>
      <c r="B1061" s="35">
        <f t="array" ref="B1061">XLOOKUP(A1061,IMDB_Movies!I$2:I$3493,IMDB_Movies!Q$2:Q$3493)</f>
        <v>0</v>
      </c>
      <c r="E1061" s="20" t="s">
        <v>3884</v>
      </c>
      <c r="F1061" s="36">
        <f t="array" ref="F1061">XLOOKUP(A1061,IMDB_Movies!I$2:I$3493,IMDB_Movies!P$2:P$3493)</f>
        <v>16583369</v>
      </c>
    </row>
    <row r="1062">
      <c r="A1062" s="24" t="s">
        <v>3888</v>
      </c>
      <c r="B1062" s="35">
        <f t="array" ref="B1062">XLOOKUP(A1062,IMDB_Movies!I$2:I$3493,IMDB_Movies!Q$2:Q$3493)</f>
        <v>1907599</v>
      </c>
      <c r="E1062" s="24" t="s">
        <v>3888</v>
      </c>
      <c r="F1062" s="36">
        <f t="array" ref="F1062">XLOOKUP(A1062,IMDB_Movies!I$2:I$3493,IMDB_Movies!P$2:P$3493)</f>
        <v>0</v>
      </c>
    </row>
    <row r="1063">
      <c r="A1063" s="11" t="s">
        <v>3891</v>
      </c>
      <c r="B1063" s="35">
        <f t="array" ref="B1063">XLOOKUP(A1063,IMDB_Movies!I$2:I$3493,IMDB_Movies!Q$2:Q$3493)</f>
        <v>0</v>
      </c>
      <c r="E1063" s="11" t="s">
        <v>3891</v>
      </c>
      <c r="F1063" s="36">
        <f t="array" ref="F1063">XLOOKUP(A1063,IMDB_Movies!I$2:I$3493,IMDB_Movies!P$2:P$3493)</f>
        <v>29484168</v>
      </c>
    </row>
    <row r="1064">
      <c r="A1064" s="24" t="s">
        <v>3894</v>
      </c>
      <c r="B1064" s="35">
        <f t="array" ref="B1064">XLOOKUP(A1064,IMDB_Movies!I$2:I$3493,IMDB_Movies!Q$2:Q$3493)</f>
        <v>0</v>
      </c>
      <c r="E1064" s="24" t="s">
        <v>3894</v>
      </c>
      <c r="F1064" s="36">
        <f t="array" ref="F1064">XLOOKUP(A1064,IMDB_Movies!I$2:I$3493,IMDB_Movies!P$2:P$3493)</f>
        <v>53300000</v>
      </c>
    </row>
    <row r="1065">
      <c r="A1065" s="11" t="s">
        <v>3898</v>
      </c>
      <c r="B1065" s="35">
        <f t="array" ref="B1065">XLOOKUP(A1065,IMDB_Movies!I$2:I$3493,IMDB_Movies!Q$2:Q$3493)</f>
        <v>4318497</v>
      </c>
      <c r="E1065" s="11" t="s">
        <v>3898</v>
      </c>
      <c r="F1065" s="36">
        <f t="array" ref="F1065">XLOOKUP(A1065,IMDB_Movies!I$2:I$3493,IMDB_Movies!P$2:P$3493)</f>
        <v>0</v>
      </c>
    </row>
    <row r="1066">
      <c r="A1066" s="28" t="s">
        <v>3900</v>
      </c>
      <c r="B1066" s="35">
        <f t="array" ref="B1066">XLOOKUP(A1066,IMDB_Movies!I$2:I$3493,IMDB_Movies!Q$2:Q$3493)</f>
        <v>3751299</v>
      </c>
      <c r="E1066" s="28" t="s">
        <v>3900</v>
      </c>
      <c r="F1066" s="36">
        <f t="array" ref="F1066">XLOOKUP(A1066,IMDB_Movies!I$2:I$3493,IMDB_Movies!P$2:P$3493)</f>
        <v>0</v>
      </c>
    </row>
    <row r="1067">
      <c r="A1067" s="24" t="s">
        <v>3903</v>
      </c>
      <c r="B1067" s="35">
        <f t="array" ref="B1067">XLOOKUP(A1067,IMDB_Movies!I$2:I$3493,IMDB_Movies!Q$2:Q$3493)</f>
        <v>9450893</v>
      </c>
      <c r="E1067" s="24" t="s">
        <v>3903</v>
      </c>
      <c r="F1067" s="36">
        <f t="array" ref="F1067">XLOOKUP(A1067,IMDB_Movies!I$2:I$3493,IMDB_Movies!P$2:P$3493)</f>
        <v>0</v>
      </c>
    </row>
    <row r="1068">
      <c r="A1068" s="16" t="s">
        <v>3907</v>
      </c>
      <c r="B1068" s="35">
        <f t="array" ref="B1068">XLOOKUP(A1068,IMDB_Movies!I$2:I$3493,IMDB_Movies!Q$2:Q$3493)</f>
        <v>0</v>
      </c>
      <c r="E1068" s="16" t="s">
        <v>3907</v>
      </c>
      <c r="F1068" s="36">
        <f t="array" ref="F1068">XLOOKUP(A1068,IMDB_Movies!I$2:I$3493,IMDB_Movies!P$2:P$3493)</f>
        <v>81749884</v>
      </c>
    </row>
    <row r="1069">
      <c r="A1069" s="11" t="s">
        <v>3910</v>
      </c>
      <c r="B1069" s="35">
        <f t="array" ref="B1069">XLOOKUP(A1069,IMDB_Movies!I$2:I$3493,IMDB_Movies!Q$2:Q$3493)</f>
        <v>0</v>
      </c>
      <c r="E1069" s="11" t="s">
        <v>3910</v>
      </c>
      <c r="F1069" s="36">
        <f t="array" ref="F1069">XLOOKUP(A1069,IMDB_Movies!I$2:I$3493,IMDB_Movies!P$2:P$3493)</f>
        <v>15581633</v>
      </c>
    </row>
    <row r="1070">
      <c r="A1070" s="11" t="s">
        <v>3912</v>
      </c>
      <c r="B1070" s="35">
        <f t="array" ref="B1070">XLOOKUP(A1070,IMDB_Movies!I$2:I$3493,IMDB_Movies!Q$2:Q$3493)</f>
        <v>9444652</v>
      </c>
      <c r="E1070" s="11" t="s">
        <v>3912</v>
      </c>
      <c r="F1070" s="36">
        <f t="array" ref="F1070">XLOOKUP(A1070,IMDB_Movies!I$2:I$3493,IMDB_Movies!P$2:P$3493)</f>
        <v>0</v>
      </c>
    </row>
    <row r="1071">
      <c r="A1071" s="32" t="s">
        <v>3914</v>
      </c>
      <c r="B1071" s="35">
        <f t="array" ref="B1071">XLOOKUP(A1071,IMDB_Movies!I$2:I$3493,IMDB_Movies!Q$2:Q$3493)</f>
        <v>0</v>
      </c>
      <c r="E1071" s="32" t="s">
        <v>3914</v>
      </c>
      <c r="F1071" s="36">
        <f t="array" ref="F1071">XLOOKUP(A1071,IMDB_Movies!I$2:I$3493,IMDB_Movies!P$2:P$3493)</f>
        <v>57153533</v>
      </c>
    </row>
    <row r="1072">
      <c r="A1072" s="28" t="s">
        <v>3917</v>
      </c>
      <c r="B1072" s="35">
        <f t="array" ref="B1072">XLOOKUP(A1072,IMDB_Movies!I$2:I$3493,IMDB_Movies!Q$2:Q$3493)</f>
        <v>0</v>
      </c>
      <c r="E1072" s="28" t="s">
        <v>3917</v>
      </c>
      <c r="F1072" s="36">
        <f t="array" ref="F1072">XLOOKUP(A1072,IMDB_Movies!I$2:I$3493,IMDB_Movies!P$2:P$3493)</f>
        <v>64364921</v>
      </c>
    </row>
    <row r="1073">
      <c r="A1073" s="11" t="s">
        <v>3919</v>
      </c>
      <c r="B1073" s="35">
        <f t="array" ref="B1073">XLOOKUP(A1073,IMDB_Movies!I$2:I$3493,IMDB_Movies!Q$2:Q$3493)</f>
        <v>14491311</v>
      </c>
      <c r="E1073" s="11" t="s">
        <v>3919</v>
      </c>
      <c r="F1073" s="36">
        <f t="array" ref="F1073">XLOOKUP(A1073,IMDB_Movies!I$2:I$3493,IMDB_Movies!P$2:P$3493)</f>
        <v>0</v>
      </c>
    </row>
    <row r="1074">
      <c r="A1074" s="24" t="s">
        <v>3922</v>
      </c>
      <c r="B1074" s="35">
        <f t="array" ref="B1074">XLOOKUP(A1074,IMDB_Movies!I$2:I$3493,IMDB_Movies!Q$2:Q$3493)</f>
        <v>26261368</v>
      </c>
      <c r="E1074" s="24" t="s">
        <v>3922</v>
      </c>
      <c r="F1074" s="36">
        <f t="array" ref="F1074">XLOOKUP(A1074,IMDB_Movies!I$2:I$3493,IMDB_Movies!P$2:P$3493)</f>
        <v>0</v>
      </c>
    </row>
    <row r="1075">
      <c r="A1075" s="20" t="s">
        <v>3925</v>
      </c>
      <c r="B1075" s="35">
        <f t="array" ref="B1075">XLOOKUP(A1075,IMDB_Movies!I$2:I$3493,IMDB_Movies!Q$2:Q$3493)</f>
        <v>0</v>
      </c>
      <c r="E1075" s="20" t="s">
        <v>3925</v>
      </c>
      <c r="F1075" s="36">
        <f t="array" ref="F1075">XLOOKUP(A1075,IMDB_Movies!I$2:I$3493,IMDB_Movies!P$2:P$3493)</f>
        <v>117387405</v>
      </c>
    </row>
    <row r="1076">
      <c r="A1076" s="32" t="s">
        <v>3928</v>
      </c>
      <c r="B1076" s="35">
        <f t="array" ref="B1076">XLOOKUP(A1076,IMDB_Movies!I$2:I$3493,IMDB_Movies!Q$2:Q$3493)</f>
        <v>0</v>
      </c>
      <c r="E1076" s="32" t="s">
        <v>3928</v>
      </c>
      <c r="F1076" s="36">
        <f t="array" ref="F1076">XLOOKUP(A1076,IMDB_Movies!I$2:I$3493,IMDB_Movies!P$2:P$3493)</f>
        <v>51651430</v>
      </c>
    </row>
    <row r="1077">
      <c r="A1077" s="24" t="s">
        <v>3931</v>
      </c>
      <c r="B1077" s="35">
        <f t="array" ref="B1077">XLOOKUP(A1077,IMDB_Movies!I$2:I$3493,IMDB_Movies!Q$2:Q$3493)</f>
        <v>1095876</v>
      </c>
      <c r="E1077" s="24" t="s">
        <v>3931</v>
      </c>
      <c r="F1077" s="36">
        <f t="array" ref="F1077">XLOOKUP(A1077,IMDB_Movies!I$2:I$3493,IMDB_Movies!P$2:P$3493)</f>
        <v>0</v>
      </c>
    </row>
    <row r="1078">
      <c r="A1078" s="24" t="s">
        <v>3933</v>
      </c>
      <c r="B1078" s="35">
        <f t="array" ref="B1078">XLOOKUP(A1078,IMDB_Movies!I$2:I$3493,IMDB_Movies!Q$2:Q$3493)</f>
        <v>0</v>
      </c>
      <c r="E1078" s="24" t="s">
        <v>3933</v>
      </c>
      <c r="F1078" s="36">
        <f t="array" ref="F1078">XLOOKUP(A1078,IMDB_Movies!I$2:I$3493,IMDB_Movies!P$2:P$3493)</f>
        <v>36360018</v>
      </c>
    </row>
    <row r="1079">
      <c r="A1079" s="28" t="s">
        <v>3936</v>
      </c>
      <c r="B1079" s="35">
        <f t="array" ref="B1079">XLOOKUP(A1079,IMDB_Movies!I$2:I$3493,IMDB_Movies!Q$2:Q$3493)</f>
        <v>0</v>
      </c>
      <c r="E1079" s="28" t="s">
        <v>3936</v>
      </c>
      <c r="F1079" s="36">
        <f t="array" ref="F1079">XLOOKUP(A1079,IMDB_Movies!I$2:I$3493,IMDB_Movies!P$2:P$3493)</f>
        <v>7580895</v>
      </c>
    </row>
    <row r="1080">
      <c r="A1080" s="24" t="s">
        <v>3938</v>
      </c>
      <c r="B1080" s="35">
        <f t="array" ref="B1080">XLOOKUP(A1080,IMDB_Movies!I$2:I$3493,IMDB_Movies!Q$2:Q$3493)</f>
        <v>0</v>
      </c>
      <c r="E1080" s="24" t="s">
        <v>3938</v>
      </c>
      <c r="F1080" s="36">
        <f t="array" ref="F1080">XLOOKUP(A1080,IMDB_Movies!I$2:I$3493,IMDB_Movies!P$2:P$3493)</f>
        <v>33491560</v>
      </c>
    </row>
    <row r="1081">
      <c r="A1081" s="11" t="s">
        <v>3942</v>
      </c>
      <c r="B1081" s="35">
        <f t="array" ref="B1081">XLOOKUP(A1081,IMDB_Movies!I$2:I$3493,IMDB_Movies!Q$2:Q$3493)</f>
        <v>0</v>
      </c>
      <c r="E1081" s="11" t="s">
        <v>3942</v>
      </c>
      <c r="F1081" s="36">
        <f t="array" ref="F1081">XLOOKUP(A1081,IMDB_Movies!I$2:I$3493,IMDB_Movies!P$2:P$3493)</f>
        <v>250736600</v>
      </c>
    </row>
    <row r="1082">
      <c r="A1082" s="28" t="s">
        <v>3945</v>
      </c>
      <c r="B1082" s="35">
        <f t="array" ref="B1082">XLOOKUP(A1082,IMDB_Movies!I$2:I$3493,IMDB_Movies!Q$2:Q$3493)</f>
        <v>0</v>
      </c>
      <c r="E1082" s="28" t="s">
        <v>3945</v>
      </c>
      <c r="F1082" s="36">
        <f t="array" ref="F1082">XLOOKUP(A1082,IMDB_Movies!I$2:I$3493,IMDB_Movies!P$2:P$3493)</f>
        <v>16472057</v>
      </c>
    </row>
    <row r="1083">
      <c r="A1083" s="28" t="s">
        <v>3949</v>
      </c>
      <c r="B1083" s="35">
        <f t="array" ref="B1083">XLOOKUP(A1083,IMDB_Movies!I$2:I$3493,IMDB_Movies!Q$2:Q$3493)</f>
        <v>0</v>
      </c>
      <c r="E1083" s="28" t="s">
        <v>3949</v>
      </c>
      <c r="F1083" s="36">
        <f t="array" ref="F1083">XLOOKUP(A1083,IMDB_Movies!I$2:I$3493,IMDB_Movies!P$2:P$3493)</f>
        <v>37696176</v>
      </c>
    </row>
    <row r="1084">
      <c r="A1084" s="11" t="s">
        <v>3951</v>
      </c>
      <c r="B1084" s="35">
        <f t="array" ref="B1084">XLOOKUP(A1084,IMDB_Movies!I$2:I$3493,IMDB_Movies!Q$2:Q$3493)</f>
        <v>24922769</v>
      </c>
      <c r="E1084" s="11" t="s">
        <v>3951</v>
      </c>
      <c r="F1084" s="36">
        <f t="array" ref="F1084">XLOOKUP(A1084,IMDB_Movies!I$2:I$3493,IMDB_Movies!P$2:P$3493)</f>
        <v>0</v>
      </c>
    </row>
    <row r="1085">
      <c r="A1085" s="16" t="s">
        <v>3955</v>
      </c>
      <c r="B1085" s="35">
        <f t="array" ref="B1085">XLOOKUP(A1085,IMDB_Movies!I$2:I$3493,IMDB_Movies!Q$2:Q$3493)</f>
        <v>0</v>
      </c>
      <c r="E1085" s="16" t="s">
        <v>3955</v>
      </c>
      <c r="F1085" s="36">
        <f t="array" ref="F1085">XLOOKUP(A1085,IMDB_Movies!I$2:I$3493,IMDB_Movies!P$2:P$3493)</f>
        <v>53269010</v>
      </c>
    </row>
    <row r="1086">
      <c r="A1086" s="20" t="s">
        <v>3960</v>
      </c>
      <c r="B1086" s="35">
        <f t="array" ref="B1086">XLOOKUP(A1086,IMDB_Movies!I$2:I$3493,IMDB_Movies!Q$2:Q$3493)</f>
        <v>11738519</v>
      </c>
      <c r="E1086" s="20" t="s">
        <v>3960</v>
      </c>
      <c r="F1086" s="36">
        <f t="array" ref="F1086">XLOOKUP(A1086,IMDB_Movies!I$2:I$3493,IMDB_Movies!P$2:P$3493)</f>
        <v>0</v>
      </c>
    </row>
    <row r="1087">
      <c r="A1087" s="11" t="s">
        <v>3965</v>
      </c>
      <c r="B1087" s="35">
        <f t="array" ref="B1087">XLOOKUP(A1087,IMDB_Movies!I$2:I$3493,IMDB_Movies!Q$2:Q$3493)</f>
        <v>49793600</v>
      </c>
      <c r="E1087" s="11" t="s">
        <v>3965</v>
      </c>
      <c r="F1087" s="36">
        <f t="array" ref="F1087">XLOOKUP(A1087,IMDB_Movies!I$2:I$3493,IMDB_Movies!P$2:P$3493)</f>
        <v>0</v>
      </c>
    </row>
    <row r="1088">
      <c r="A1088" s="11" t="s">
        <v>3969</v>
      </c>
      <c r="B1088" s="35">
        <f t="array" ref="B1088">XLOOKUP(A1088,IMDB_Movies!I$2:I$3493,IMDB_Movies!Q$2:Q$3493)</f>
        <v>8444012</v>
      </c>
      <c r="E1088" s="11" t="s">
        <v>3969</v>
      </c>
      <c r="F1088" s="36">
        <f t="array" ref="F1088">XLOOKUP(A1088,IMDB_Movies!I$2:I$3493,IMDB_Movies!P$2:P$3493)</f>
        <v>0</v>
      </c>
    </row>
    <row r="1089">
      <c r="A1089" s="11" t="s">
        <v>3971</v>
      </c>
      <c r="B1089" s="35">
        <f t="array" ref="B1089">XLOOKUP(A1089,IMDB_Movies!I$2:I$3493,IMDB_Movies!Q$2:Q$3493)</f>
        <v>636215</v>
      </c>
      <c r="E1089" s="11" t="s">
        <v>3971</v>
      </c>
      <c r="F1089" s="36">
        <f t="array" ref="F1089">XLOOKUP(A1089,IMDB_Movies!I$2:I$3493,IMDB_Movies!P$2:P$3493)</f>
        <v>0</v>
      </c>
    </row>
    <row r="1090">
      <c r="A1090" s="32" t="s">
        <v>3975</v>
      </c>
      <c r="B1090" s="35">
        <f t="array" ref="B1090">XLOOKUP(A1090,IMDB_Movies!I$2:I$3493,IMDB_Movies!Q$2:Q$3493)</f>
        <v>0</v>
      </c>
      <c r="E1090" s="32" t="s">
        <v>3975</v>
      </c>
      <c r="F1090" s="36">
        <f t="array" ref="F1090">XLOOKUP(A1090,IMDB_Movies!I$2:I$3493,IMDB_Movies!P$2:P$3493)</f>
        <v>243649</v>
      </c>
    </row>
    <row r="1091">
      <c r="A1091" s="11" t="s">
        <v>3979</v>
      </c>
      <c r="B1091" s="35">
        <f t="array" ref="B1091">XLOOKUP(A1091,IMDB_Movies!I$2:I$3493,IMDB_Movies!Q$2:Q$3493)</f>
        <v>9000000</v>
      </c>
      <c r="E1091" s="11" t="s">
        <v>3979</v>
      </c>
      <c r="F1091" s="36">
        <f t="array" ref="F1091">XLOOKUP(A1091,IMDB_Movies!I$2:I$3493,IMDB_Movies!P$2:P$3493)</f>
        <v>0</v>
      </c>
    </row>
    <row r="1092">
      <c r="A1092" s="11" t="s">
        <v>3983</v>
      </c>
      <c r="B1092" s="35">
        <f t="array" ref="B1092">XLOOKUP(A1092,IMDB_Movies!I$2:I$3493,IMDB_Movies!Q$2:Q$3493)</f>
        <v>1200000</v>
      </c>
      <c r="E1092" s="11" t="s">
        <v>3983</v>
      </c>
      <c r="F1092" s="36">
        <f t="array" ref="F1092">XLOOKUP(A1092,IMDB_Movies!I$2:I$3493,IMDB_Movies!P$2:P$3493)</f>
        <v>0</v>
      </c>
    </row>
    <row r="1093">
      <c r="A1093" s="24" t="s">
        <v>3986</v>
      </c>
      <c r="B1093" s="35">
        <f t="array" ref="B1093">XLOOKUP(A1093,IMDB_Movies!I$2:I$3493,IMDB_Movies!Q$2:Q$3493)</f>
        <v>13320925</v>
      </c>
      <c r="E1093" s="24" t="s">
        <v>3986</v>
      </c>
      <c r="F1093" s="36">
        <f t="array" ref="F1093">XLOOKUP(A1093,IMDB_Movies!I$2:I$3493,IMDB_Movies!P$2:P$3493)</f>
        <v>0</v>
      </c>
    </row>
    <row r="1094">
      <c r="A1094" s="20" t="s">
        <v>3990</v>
      </c>
      <c r="B1094" s="35">
        <f t="array" ref="B1094">XLOOKUP(A1094,IMDB_Movies!I$2:I$3493,IMDB_Movies!Q$2:Q$3493)</f>
        <v>0</v>
      </c>
      <c r="E1094" s="20" t="s">
        <v>3990</v>
      </c>
      <c r="F1094" s="36">
        <f t="array" ref="F1094">XLOOKUP(A1094,IMDB_Movies!I$2:I$3493,IMDB_Movies!P$2:P$3493)</f>
        <v>14857814</v>
      </c>
    </row>
    <row r="1095">
      <c r="A1095" s="11" t="s">
        <v>3994</v>
      </c>
      <c r="B1095" s="35">
        <f t="array" ref="B1095">XLOOKUP(A1095,IMDB_Movies!I$2:I$3493,IMDB_Movies!Q$2:Q$3493)</f>
        <v>808054</v>
      </c>
      <c r="E1095" s="11" t="s">
        <v>3994</v>
      </c>
      <c r="F1095" s="36">
        <f t="array" ref="F1095">XLOOKUP(A1095,IMDB_Movies!I$2:I$3493,IMDB_Movies!P$2:P$3493)</f>
        <v>0</v>
      </c>
    </row>
    <row r="1096">
      <c r="A1096" s="11" t="s">
        <v>3996</v>
      </c>
      <c r="B1096" s="35">
        <f t="array" ref="B1096">XLOOKUP(A1096,IMDB_Movies!I$2:I$3493,IMDB_Movies!Q$2:Q$3493)</f>
        <v>0</v>
      </c>
      <c r="E1096" s="11" t="s">
        <v>3996</v>
      </c>
      <c r="F1096" s="36">
        <f t="array" ref="F1096">XLOOKUP(A1096,IMDB_Movies!I$2:I$3493,IMDB_Movies!P$2:P$3493)</f>
        <v>46700000</v>
      </c>
    </row>
    <row r="1097">
      <c r="A1097" s="11" t="s">
        <v>3999</v>
      </c>
      <c r="B1097" s="35">
        <f t="array" ref="B1097">XLOOKUP(A1097,IMDB_Movies!I$2:I$3493,IMDB_Movies!Q$2:Q$3493)</f>
        <v>0</v>
      </c>
      <c r="E1097" s="11" t="s">
        <v>3999</v>
      </c>
      <c r="F1097" s="36">
        <f t="array" ref="F1097">XLOOKUP(A1097,IMDB_Movies!I$2:I$3493,IMDB_Movies!P$2:P$3493)</f>
        <v>168759914</v>
      </c>
    </row>
    <row r="1098">
      <c r="A1098" s="28" t="s">
        <v>4002</v>
      </c>
      <c r="B1098" s="35">
        <f t="array" ref="B1098">XLOOKUP(A1098,IMDB_Movies!I$2:I$3493,IMDB_Movies!Q$2:Q$3493)</f>
        <v>0</v>
      </c>
      <c r="E1098" s="28" t="s">
        <v>4002</v>
      </c>
      <c r="F1098" s="36">
        <f t="array" ref="F1098">XLOOKUP(A1098,IMDB_Movies!I$2:I$3493,IMDB_Movies!P$2:P$3493)</f>
        <v>71244774</v>
      </c>
    </row>
    <row r="1099">
      <c r="A1099" s="24" t="s">
        <v>4004</v>
      </c>
      <c r="B1099" s="35">
        <f t="array" ref="B1099">XLOOKUP(A1099,IMDB_Movies!I$2:I$3493,IMDB_Movies!Q$2:Q$3493)</f>
        <v>2898989</v>
      </c>
      <c r="E1099" s="24" t="s">
        <v>4004</v>
      </c>
      <c r="F1099" s="36">
        <f t="array" ref="F1099">XLOOKUP(A1099,IMDB_Movies!I$2:I$3493,IMDB_Movies!P$2:P$3493)</f>
        <v>0</v>
      </c>
    </row>
    <row r="1100">
      <c r="A1100" s="24" t="s">
        <v>4007</v>
      </c>
      <c r="B1100" s="35">
        <f t="array" ref="B1100">XLOOKUP(A1100,IMDB_Movies!I$2:I$3493,IMDB_Movies!Q$2:Q$3493)</f>
        <v>73435</v>
      </c>
      <c r="E1100" s="24" t="s">
        <v>4007</v>
      </c>
      <c r="F1100" s="36">
        <f t="array" ref="F1100">XLOOKUP(A1100,IMDB_Movies!I$2:I$3493,IMDB_Movies!P$2:P$3493)</f>
        <v>0</v>
      </c>
    </row>
    <row r="1101">
      <c r="A1101" s="24" t="s">
        <v>4011</v>
      </c>
      <c r="B1101" s="35">
        <f t="array" ref="B1101">XLOOKUP(A1101,IMDB_Movies!I$2:I$3493,IMDB_Movies!Q$2:Q$3493)</f>
        <v>4306379</v>
      </c>
      <c r="E1101" s="24" t="s">
        <v>4011</v>
      </c>
      <c r="F1101" s="36">
        <f t="array" ref="F1101">XLOOKUP(A1101,IMDB_Movies!I$2:I$3493,IMDB_Movies!P$2:P$3493)</f>
        <v>0</v>
      </c>
    </row>
    <row r="1102">
      <c r="A1102" s="20" t="s">
        <v>4014</v>
      </c>
      <c r="B1102" s="35">
        <f t="array" ref="B1102">XLOOKUP(A1102,IMDB_Movies!I$2:I$3493,IMDB_Movies!Q$2:Q$3493)</f>
        <v>32778006</v>
      </c>
      <c r="E1102" s="20" t="s">
        <v>4014</v>
      </c>
      <c r="F1102" s="36">
        <f t="array" ref="F1102">XLOOKUP(A1102,IMDB_Movies!I$2:I$3493,IMDB_Movies!P$2:P$3493)</f>
        <v>0</v>
      </c>
    </row>
    <row r="1103">
      <c r="A1103" s="11" t="s">
        <v>4017</v>
      </c>
      <c r="B1103" s="35">
        <f t="array" ref="B1103">XLOOKUP(A1103,IMDB_Movies!I$2:I$3493,IMDB_Movies!Q$2:Q$3493)</f>
        <v>0</v>
      </c>
      <c r="E1103" s="11" t="s">
        <v>4017</v>
      </c>
      <c r="F1103" s="36">
        <f t="array" ref="F1103">XLOOKUP(A1103,IMDB_Movies!I$2:I$3493,IMDB_Movies!P$2:P$3493)</f>
        <v>9851591</v>
      </c>
    </row>
    <row r="1104">
      <c r="A1104" s="32" t="s">
        <v>4020</v>
      </c>
      <c r="B1104" s="35">
        <f t="array" ref="B1104">XLOOKUP(A1104,IMDB_Movies!I$2:I$3493,IMDB_Movies!Q$2:Q$3493)</f>
        <v>0</v>
      </c>
      <c r="E1104" s="32" t="s">
        <v>4020</v>
      </c>
      <c r="F1104" s="36">
        <f t="array" ref="F1104">XLOOKUP(A1104,IMDB_Movies!I$2:I$3493,IMDB_Movies!P$2:P$3493)</f>
        <v>86631310</v>
      </c>
    </row>
    <row r="1105">
      <c r="A1105" s="32" t="s">
        <v>4024</v>
      </c>
      <c r="B1105" s="35">
        <f t="array" ref="B1105">XLOOKUP(A1105,IMDB_Movies!I$2:I$3493,IMDB_Movies!Q$2:Q$3493)</f>
        <v>0</v>
      </c>
      <c r="E1105" s="32" t="s">
        <v>4024</v>
      </c>
      <c r="F1105" s="36">
        <f t="array" ref="F1105">XLOOKUP(A1105,IMDB_Movies!I$2:I$3493,IMDB_Movies!P$2:P$3493)</f>
        <v>5292381</v>
      </c>
    </row>
    <row r="1106">
      <c r="A1106" s="28" t="s">
        <v>4027</v>
      </c>
      <c r="B1106" s="35">
        <f t="array" ref="B1106">XLOOKUP(A1106,IMDB_Movies!I$2:I$3493,IMDB_Movies!Q$2:Q$3493)</f>
        <v>0</v>
      </c>
      <c r="E1106" s="28" t="s">
        <v>4027</v>
      </c>
      <c r="F1106" s="36">
        <f t="array" ref="F1106">XLOOKUP(A1106,IMDB_Movies!I$2:I$3493,IMDB_Movies!P$2:P$3493)</f>
        <v>10854896</v>
      </c>
    </row>
    <row r="1107">
      <c r="A1107" s="24" t="s">
        <v>4031</v>
      </c>
      <c r="B1107" s="35">
        <f t="array" ref="B1107">XLOOKUP(A1107,IMDB_Movies!I$2:I$3493,IMDB_Movies!Q$2:Q$3493)</f>
        <v>2428096</v>
      </c>
      <c r="E1107" s="24" t="s">
        <v>4031</v>
      </c>
      <c r="F1107" s="36">
        <f t="array" ref="F1107">XLOOKUP(A1107,IMDB_Movies!I$2:I$3493,IMDB_Movies!P$2:P$3493)</f>
        <v>0</v>
      </c>
    </row>
    <row r="1108">
      <c r="A1108" s="24" t="s">
        <v>4034</v>
      </c>
      <c r="B1108" s="35">
        <f t="array" ref="B1108">XLOOKUP(A1108,IMDB_Movies!I$2:I$3493,IMDB_Movies!Q$2:Q$3493)</f>
        <v>0</v>
      </c>
      <c r="E1108" s="24" t="s">
        <v>4034</v>
      </c>
      <c r="F1108" s="36">
        <f t="array" ref="F1108">XLOOKUP(A1108,IMDB_Movies!I$2:I$3493,IMDB_Movies!P$2:P$3493)</f>
        <v>20306281</v>
      </c>
    </row>
    <row r="1109">
      <c r="A1109" s="24" t="s">
        <v>4039</v>
      </c>
      <c r="B1109" s="35">
        <f t="array" ref="B1109">XLOOKUP(A1109,IMDB_Movies!I$2:I$3493,IMDB_Movies!Q$2:Q$3493)</f>
        <v>809722</v>
      </c>
      <c r="E1109" s="24" t="s">
        <v>4039</v>
      </c>
      <c r="F1109" s="36">
        <f t="array" ref="F1109">XLOOKUP(A1109,IMDB_Movies!I$2:I$3493,IMDB_Movies!P$2:P$3493)</f>
        <v>0</v>
      </c>
    </row>
    <row r="1110">
      <c r="A1110" s="24" t="s">
        <v>4042</v>
      </c>
      <c r="B1110" s="35">
        <f t="array" ref="B1110">XLOOKUP(A1110,IMDB_Movies!I$2:I$3493,IMDB_Movies!Q$2:Q$3493)</f>
        <v>0</v>
      </c>
      <c r="E1110" s="24" t="s">
        <v>4042</v>
      </c>
      <c r="F1110" s="36">
        <f t="array" ref="F1110">XLOOKUP(A1110,IMDB_Movies!I$2:I$3493,IMDB_Movies!P$2:P$3493)</f>
        <v>154449475</v>
      </c>
    </row>
    <row r="1111">
      <c r="A1111" s="20" t="s">
        <v>4044</v>
      </c>
      <c r="B1111" s="35">
        <f t="array" ref="B1111">XLOOKUP(A1111,IMDB_Movies!I$2:I$3493,IMDB_Movies!Q$2:Q$3493)</f>
        <v>2535644</v>
      </c>
      <c r="E1111" s="20" t="s">
        <v>4044</v>
      </c>
      <c r="F1111" s="36">
        <f t="array" ref="F1111">XLOOKUP(A1111,IMDB_Movies!I$2:I$3493,IMDB_Movies!P$2:P$3493)</f>
        <v>0</v>
      </c>
    </row>
    <row r="1112">
      <c r="A1112" s="28" t="s">
        <v>4048</v>
      </c>
      <c r="B1112" s="35">
        <f t="array" ref="B1112">XLOOKUP(A1112,IMDB_Movies!I$2:I$3493,IMDB_Movies!Q$2:Q$3493)</f>
        <v>0</v>
      </c>
      <c r="E1112" s="28" t="s">
        <v>4048</v>
      </c>
      <c r="F1112" s="36">
        <f t="array" ref="F1112">XLOOKUP(A1112,IMDB_Movies!I$2:I$3493,IMDB_Movies!P$2:P$3493)</f>
        <v>78360000</v>
      </c>
    </row>
    <row r="1113">
      <c r="A1113" s="28" t="s">
        <v>4051</v>
      </c>
      <c r="B1113" s="35">
        <f t="array" ref="B1113">XLOOKUP(A1113,IMDB_Movies!I$2:I$3493,IMDB_Movies!Q$2:Q$3493)</f>
        <v>40713572</v>
      </c>
      <c r="E1113" s="28" t="s">
        <v>4051</v>
      </c>
      <c r="F1113" s="36">
        <f t="array" ref="F1113">XLOOKUP(A1113,IMDB_Movies!I$2:I$3493,IMDB_Movies!P$2:P$3493)</f>
        <v>0</v>
      </c>
    </row>
    <row r="1114">
      <c r="A1114" s="16" t="s">
        <v>4054</v>
      </c>
      <c r="B1114" s="35">
        <f t="array" ref="B1114">XLOOKUP(A1114,IMDB_Movies!I$2:I$3493,IMDB_Movies!Q$2:Q$3493)</f>
        <v>0</v>
      </c>
      <c r="E1114" s="16" t="s">
        <v>4054</v>
      </c>
      <c r="F1114" s="36">
        <f t="array" ref="F1114">XLOOKUP(A1114,IMDB_Movies!I$2:I$3493,IMDB_Movies!P$2:P$3493)</f>
        <v>9370057</v>
      </c>
    </row>
    <row r="1115">
      <c r="A1115" s="28" t="s">
        <v>4057</v>
      </c>
      <c r="B1115" s="35">
        <f t="array" ref="B1115">XLOOKUP(A1115,IMDB_Movies!I$2:I$3493,IMDB_Movies!Q$2:Q$3493)</f>
        <v>11530572</v>
      </c>
      <c r="E1115" s="28" t="s">
        <v>4057</v>
      </c>
      <c r="F1115" s="36">
        <f t="array" ref="F1115">XLOOKUP(A1115,IMDB_Movies!I$2:I$3493,IMDB_Movies!P$2:P$3493)</f>
        <v>0</v>
      </c>
    </row>
    <row r="1116">
      <c r="A1116" s="11" t="s">
        <v>4062</v>
      </c>
      <c r="B1116" s="35">
        <f t="array" ref="B1116">XLOOKUP(A1116,IMDB_Movies!I$2:I$3493,IMDB_Movies!Q$2:Q$3493)</f>
        <v>3785127</v>
      </c>
      <c r="E1116" s="11" t="s">
        <v>4062</v>
      </c>
      <c r="F1116" s="36">
        <f t="array" ref="F1116">XLOOKUP(A1116,IMDB_Movies!I$2:I$3493,IMDB_Movies!P$2:P$3493)</f>
        <v>0</v>
      </c>
    </row>
    <row r="1117">
      <c r="A1117" s="11" t="s">
        <v>4066</v>
      </c>
      <c r="B1117" s="35">
        <f t="array" ref="B1117">XLOOKUP(A1117,IMDB_Movies!I$2:I$3493,IMDB_Movies!Q$2:Q$3493)</f>
        <v>4416</v>
      </c>
      <c r="E1117" s="11" t="s">
        <v>4066</v>
      </c>
      <c r="F1117" s="36">
        <f t="array" ref="F1117">XLOOKUP(A1117,IMDB_Movies!I$2:I$3493,IMDB_Movies!P$2:P$3493)</f>
        <v>0</v>
      </c>
    </row>
    <row r="1118">
      <c r="A1118" s="11" t="s">
        <v>4070</v>
      </c>
      <c r="B1118" s="35">
        <f t="array" ref="B1118">XLOOKUP(A1118,IMDB_Movies!I$2:I$3493,IMDB_Movies!Q$2:Q$3493)</f>
        <v>0</v>
      </c>
      <c r="E1118" s="11" t="s">
        <v>4070</v>
      </c>
      <c r="F1118" s="36">
        <f t="array" ref="F1118">XLOOKUP(A1118,IMDB_Movies!I$2:I$3493,IMDB_Movies!P$2:P$3493)</f>
        <v>3600000</v>
      </c>
    </row>
    <row r="1119">
      <c r="A1119" s="16" t="s">
        <v>4072</v>
      </c>
      <c r="B1119" s="35">
        <f t="array" ref="B1119">XLOOKUP(A1119,IMDB_Movies!I$2:I$3493,IMDB_Movies!Q$2:Q$3493)</f>
        <v>0</v>
      </c>
      <c r="E1119" s="16" t="s">
        <v>4072</v>
      </c>
      <c r="F1119" s="36">
        <f t="array" ref="F1119">XLOOKUP(A1119,IMDB_Movies!I$2:I$3493,IMDB_Movies!P$2:P$3493)</f>
        <v>12676062</v>
      </c>
    </row>
    <row r="1120">
      <c r="A1120" s="24" t="s">
        <v>4075</v>
      </c>
      <c r="B1120" s="35">
        <f t="array" ref="B1120">XLOOKUP(A1120,IMDB_Movies!I$2:I$3493,IMDB_Movies!Q$2:Q$3493)</f>
        <v>0</v>
      </c>
      <c r="E1120" s="24" t="s">
        <v>4075</v>
      </c>
      <c r="F1120" s="36">
        <f t="array" ref="F1120">XLOOKUP(A1120,IMDB_Movies!I$2:I$3493,IMDB_Movies!P$2:P$3493)</f>
        <v>26466372</v>
      </c>
    </row>
    <row r="1121">
      <c r="A1121" s="24" t="s">
        <v>4079</v>
      </c>
      <c r="B1121" s="35">
        <f t="array" ref="B1121">XLOOKUP(A1121,IMDB_Movies!I$2:I$3493,IMDB_Movies!Q$2:Q$3493)</f>
        <v>2856597</v>
      </c>
      <c r="E1121" s="24" t="s">
        <v>4079</v>
      </c>
      <c r="F1121" s="36">
        <f t="array" ref="F1121">XLOOKUP(A1121,IMDB_Movies!I$2:I$3493,IMDB_Movies!P$2:P$3493)</f>
        <v>0</v>
      </c>
    </row>
    <row r="1122">
      <c r="A1122" s="11" t="s">
        <v>4083</v>
      </c>
      <c r="B1122" s="35">
        <f t="array" ref="B1122">XLOOKUP(A1122,IMDB_Movies!I$2:I$3493,IMDB_Movies!Q$2:Q$3493)</f>
        <v>3307186</v>
      </c>
      <c r="E1122" s="11" t="s">
        <v>4083</v>
      </c>
      <c r="F1122" s="36">
        <f t="array" ref="F1122">XLOOKUP(A1122,IMDB_Movies!I$2:I$3493,IMDB_Movies!P$2:P$3493)</f>
        <v>0</v>
      </c>
    </row>
    <row r="1123">
      <c r="A1123" s="11" t="s">
        <v>4086</v>
      </c>
      <c r="B1123" s="35">
        <f t="array" ref="B1123">XLOOKUP(A1123,IMDB_Movies!I$2:I$3493,IMDB_Movies!Q$2:Q$3493)</f>
        <v>2198810</v>
      </c>
      <c r="E1123" s="11" t="s">
        <v>4086</v>
      </c>
      <c r="F1123" s="36">
        <f t="array" ref="F1123">XLOOKUP(A1123,IMDB_Movies!I$2:I$3493,IMDB_Movies!P$2:P$3493)</f>
        <v>0</v>
      </c>
    </row>
    <row r="1124">
      <c r="A1124" s="28" t="s">
        <v>4089</v>
      </c>
      <c r="B1124" s="35">
        <f t="array" ref="B1124">XLOOKUP(A1124,IMDB_Movies!I$2:I$3493,IMDB_Movies!Q$2:Q$3493)</f>
        <v>31671949</v>
      </c>
      <c r="E1124" s="28" t="s">
        <v>4089</v>
      </c>
      <c r="F1124" s="36">
        <f t="array" ref="F1124">XLOOKUP(A1124,IMDB_Movies!I$2:I$3493,IMDB_Movies!P$2:P$3493)</f>
        <v>0</v>
      </c>
    </row>
    <row r="1125">
      <c r="A1125" s="32" t="s">
        <v>4091</v>
      </c>
      <c r="B1125" s="35">
        <f t="array" ref="B1125">XLOOKUP(A1125,IMDB_Movies!I$2:I$3493,IMDB_Movies!Q$2:Q$3493)</f>
        <v>0</v>
      </c>
      <c r="E1125" s="32" t="s">
        <v>4091</v>
      </c>
      <c r="F1125" s="36">
        <f t="array" ref="F1125">XLOOKUP(A1125,IMDB_Movies!I$2:I$3493,IMDB_Movies!P$2:P$3493)</f>
        <v>21836394</v>
      </c>
    </row>
    <row r="1126">
      <c r="A1126" s="28" t="s">
        <v>4094</v>
      </c>
      <c r="B1126" s="35">
        <f t="array" ref="B1126">XLOOKUP(A1126,IMDB_Movies!I$2:I$3493,IMDB_Movies!Q$2:Q$3493)</f>
        <v>19345223</v>
      </c>
      <c r="E1126" s="28" t="s">
        <v>4094</v>
      </c>
      <c r="F1126" s="36">
        <f t="array" ref="F1126">XLOOKUP(A1126,IMDB_Movies!I$2:I$3493,IMDB_Movies!P$2:P$3493)</f>
        <v>0</v>
      </c>
    </row>
    <row r="1127">
      <c r="A1127" s="24" t="s">
        <v>4098</v>
      </c>
      <c r="B1127" s="35">
        <f t="array" ref="B1127">XLOOKUP(A1127,IMDB_Movies!I$2:I$3493,IMDB_Movies!Q$2:Q$3493)</f>
        <v>37715</v>
      </c>
      <c r="E1127" s="24" t="s">
        <v>4098</v>
      </c>
      <c r="F1127" s="36">
        <f t="array" ref="F1127">XLOOKUP(A1127,IMDB_Movies!I$2:I$3493,IMDB_Movies!P$2:P$3493)</f>
        <v>0</v>
      </c>
    </row>
    <row r="1128">
      <c r="A1128" s="11" t="s">
        <v>4101</v>
      </c>
      <c r="B1128" s="35">
        <f t="array" ref="B1128">XLOOKUP(A1128,IMDB_Movies!I$2:I$3493,IMDB_Movies!Q$2:Q$3493)</f>
        <v>0</v>
      </c>
      <c r="E1128" s="11" t="s">
        <v>4101</v>
      </c>
      <c r="F1128" s="36">
        <f t="array" ref="F1128">XLOOKUP(A1128,IMDB_Movies!I$2:I$3493,IMDB_Movies!P$2:P$3493)</f>
        <v>21097664</v>
      </c>
    </row>
    <row r="1129">
      <c r="A1129" s="20" t="s">
        <v>4103</v>
      </c>
      <c r="B1129" s="35">
        <f t="array" ref="B1129">XLOOKUP(A1129,IMDB_Movies!I$2:I$3493,IMDB_Movies!Q$2:Q$3493)</f>
        <v>0</v>
      </c>
      <c r="E1129" s="20" t="s">
        <v>4103</v>
      </c>
      <c r="F1129" s="36">
        <f t="array" ref="F1129">XLOOKUP(A1129,IMDB_Movies!I$2:I$3493,IMDB_Movies!P$2:P$3493)</f>
        <v>45623128</v>
      </c>
    </row>
    <row r="1130">
      <c r="A1130" s="11" t="s">
        <v>4106</v>
      </c>
      <c r="B1130" s="35">
        <f t="array" ref="B1130">XLOOKUP(A1130,IMDB_Movies!I$2:I$3493,IMDB_Movies!Q$2:Q$3493)</f>
        <v>10227031</v>
      </c>
      <c r="E1130" s="11" t="s">
        <v>4106</v>
      </c>
      <c r="F1130" s="36">
        <f t="array" ref="F1130">XLOOKUP(A1130,IMDB_Movies!I$2:I$3493,IMDB_Movies!P$2:P$3493)</f>
        <v>0</v>
      </c>
    </row>
    <row r="1131">
      <c r="A1131" s="24" t="s">
        <v>4108</v>
      </c>
      <c r="B1131" s="35">
        <f t="array" ref="B1131">XLOOKUP(A1131,IMDB_Movies!I$2:I$3493,IMDB_Movies!Q$2:Q$3493)</f>
        <v>299639</v>
      </c>
      <c r="E1131" s="24" t="s">
        <v>4108</v>
      </c>
      <c r="F1131" s="36">
        <f t="array" ref="F1131">XLOOKUP(A1131,IMDB_Movies!I$2:I$3493,IMDB_Movies!P$2:P$3493)</f>
        <v>0</v>
      </c>
    </row>
    <row r="1132">
      <c r="A1132" s="32" t="s">
        <v>4110</v>
      </c>
      <c r="B1132" s="35">
        <f t="array" ref="B1132">XLOOKUP(A1132,IMDB_Movies!I$2:I$3493,IMDB_Movies!Q$2:Q$3493)</f>
        <v>20288322</v>
      </c>
      <c r="E1132" s="32" t="s">
        <v>4110</v>
      </c>
      <c r="F1132" s="36">
        <f t="array" ref="F1132">XLOOKUP(A1132,IMDB_Movies!I$2:I$3493,IMDB_Movies!P$2:P$3493)</f>
        <v>0</v>
      </c>
    </row>
    <row r="1133">
      <c r="A1133" s="20" t="s">
        <v>4114</v>
      </c>
      <c r="B1133" s="35">
        <f t="array" ref="B1133">XLOOKUP(A1133,IMDB_Movies!I$2:I$3493,IMDB_Movies!Q$2:Q$3493)</f>
        <v>14057170</v>
      </c>
      <c r="E1133" s="20" t="s">
        <v>4114</v>
      </c>
      <c r="F1133" s="36">
        <f t="array" ref="F1133">XLOOKUP(A1133,IMDB_Movies!I$2:I$3493,IMDB_Movies!P$2:P$3493)</f>
        <v>0</v>
      </c>
    </row>
    <row r="1134">
      <c r="A1134" s="24" t="s">
        <v>4117</v>
      </c>
      <c r="B1134" s="35">
        <f t="array" ref="B1134">XLOOKUP(A1134,IMDB_Movies!I$2:I$3493,IMDB_Movies!Q$2:Q$3493)</f>
        <v>26095018</v>
      </c>
      <c r="E1134" s="24" t="s">
        <v>4117</v>
      </c>
      <c r="F1134" s="36">
        <f t="array" ref="F1134">XLOOKUP(A1134,IMDB_Movies!I$2:I$3493,IMDB_Movies!P$2:P$3493)</f>
        <v>0</v>
      </c>
    </row>
    <row r="1135">
      <c r="A1135" s="11" t="s">
        <v>4121</v>
      </c>
      <c r="B1135" s="35">
        <f t="array" ref="B1135">XLOOKUP(A1135,IMDB_Movies!I$2:I$3493,IMDB_Movies!Q$2:Q$3493)</f>
        <v>8642509</v>
      </c>
      <c r="E1135" s="11" t="s">
        <v>4121</v>
      </c>
      <c r="F1135" s="36">
        <f t="array" ref="F1135">XLOOKUP(A1135,IMDB_Movies!I$2:I$3493,IMDB_Movies!P$2:P$3493)</f>
        <v>0</v>
      </c>
    </row>
    <row r="1136">
      <c r="A1136" s="28" t="s">
        <v>4124</v>
      </c>
      <c r="B1136" s="35">
        <f t="array" ref="B1136">XLOOKUP(A1136,IMDB_Movies!I$2:I$3493,IMDB_Movies!Q$2:Q$3493)</f>
        <v>0</v>
      </c>
      <c r="E1136" s="28" t="s">
        <v>4124</v>
      </c>
      <c r="F1136" s="36">
        <f t="array" ref="F1136">XLOOKUP(A1136,IMDB_Movies!I$2:I$3493,IMDB_Movies!P$2:P$3493)</f>
        <v>28423368</v>
      </c>
    </row>
    <row r="1137">
      <c r="A1137" s="24" t="s">
        <v>4127</v>
      </c>
      <c r="B1137" s="35">
        <f t="array" ref="B1137">XLOOKUP(A1137,IMDB_Movies!I$2:I$3493,IMDB_Movies!Q$2:Q$3493)</f>
        <v>0</v>
      </c>
      <c r="E1137" s="24" t="s">
        <v>4127</v>
      </c>
      <c r="F1137" s="36">
        <f t="array" ref="F1137">XLOOKUP(A1137,IMDB_Movies!I$2:I$3493,IMDB_Movies!P$2:P$3493)</f>
        <v>41149655</v>
      </c>
    </row>
    <row r="1138">
      <c r="A1138" s="11" t="s">
        <v>4129</v>
      </c>
      <c r="B1138" s="35">
        <f t="array" ref="B1138">XLOOKUP(A1138,IMDB_Movies!I$2:I$3493,IMDB_Movies!Q$2:Q$3493)</f>
        <v>13390407</v>
      </c>
      <c r="E1138" s="11" t="s">
        <v>4129</v>
      </c>
      <c r="F1138" s="36">
        <f t="array" ref="F1138">XLOOKUP(A1138,IMDB_Movies!I$2:I$3493,IMDB_Movies!P$2:P$3493)</f>
        <v>0</v>
      </c>
    </row>
    <row r="1139">
      <c r="A1139" s="32" t="s">
        <v>4131</v>
      </c>
      <c r="B1139" s="35">
        <f t="array" ref="B1139">XLOOKUP(A1139,IMDB_Movies!I$2:I$3493,IMDB_Movies!Q$2:Q$3493)</f>
        <v>0</v>
      </c>
      <c r="E1139" s="32" t="s">
        <v>4131</v>
      </c>
      <c r="F1139" s="36">
        <f t="array" ref="F1139">XLOOKUP(A1139,IMDB_Movies!I$2:I$3493,IMDB_Movies!P$2:P$3493)</f>
        <v>31838728</v>
      </c>
    </row>
    <row r="1140">
      <c r="A1140" s="20" t="s">
        <v>4136</v>
      </c>
      <c r="B1140" s="35">
        <f t="array" ref="B1140">XLOOKUP(A1140,IMDB_Movies!I$2:I$3493,IMDB_Movies!Q$2:Q$3493)</f>
        <v>0</v>
      </c>
      <c r="E1140" s="20" t="s">
        <v>4136</v>
      </c>
      <c r="F1140" s="36">
        <f t="array" ref="F1140">XLOOKUP(A1140,IMDB_Movies!I$2:I$3493,IMDB_Movies!P$2:P$3493)</f>
        <v>14302097</v>
      </c>
    </row>
    <row r="1141">
      <c r="A1141" s="32" t="s">
        <v>4139</v>
      </c>
      <c r="B1141" s="35">
        <f t="array" ref="B1141">XLOOKUP(A1141,IMDB_Movies!I$2:I$3493,IMDB_Movies!Q$2:Q$3493)</f>
        <v>9980652</v>
      </c>
      <c r="E1141" s="32" t="s">
        <v>4139</v>
      </c>
      <c r="F1141" s="36">
        <f t="array" ref="F1141">XLOOKUP(A1141,IMDB_Movies!I$2:I$3493,IMDB_Movies!P$2:P$3493)</f>
        <v>0</v>
      </c>
    </row>
    <row r="1142">
      <c r="A1142" s="11" t="s">
        <v>4142</v>
      </c>
      <c r="B1142" s="35">
        <f t="array" ref="B1142">XLOOKUP(A1142,IMDB_Movies!I$2:I$3493,IMDB_Movies!Q$2:Q$3493)</f>
        <v>428053</v>
      </c>
      <c r="E1142" s="11" t="s">
        <v>4142</v>
      </c>
      <c r="F1142" s="36">
        <f t="array" ref="F1142">XLOOKUP(A1142,IMDB_Movies!I$2:I$3493,IMDB_Movies!P$2:P$3493)</f>
        <v>0</v>
      </c>
    </row>
    <row r="1143">
      <c r="A1143" s="28" t="s">
        <v>4144</v>
      </c>
      <c r="B1143" s="35">
        <f t="array" ref="B1143">XLOOKUP(A1143,IMDB_Movies!I$2:I$3493,IMDB_Movies!Q$2:Q$3493)</f>
        <v>0</v>
      </c>
      <c r="E1143" s="28" t="s">
        <v>4144</v>
      </c>
      <c r="F1143" s="36">
        <f t="array" ref="F1143">XLOOKUP(A1143,IMDB_Movies!I$2:I$3493,IMDB_Movies!P$2:P$3493)</f>
        <v>55149435</v>
      </c>
    </row>
    <row r="1144">
      <c r="A1144" s="24" t="s">
        <v>4148</v>
      </c>
      <c r="B1144" s="35">
        <f t="array" ref="B1144">XLOOKUP(A1144,IMDB_Movies!I$2:I$3493,IMDB_Movies!Q$2:Q$3493)</f>
        <v>3238291</v>
      </c>
      <c r="E1144" s="24" t="s">
        <v>4148</v>
      </c>
      <c r="F1144" s="36">
        <f t="array" ref="F1144">XLOOKUP(A1144,IMDB_Movies!I$2:I$3493,IMDB_Movies!P$2:P$3493)</f>
        <v>0</v>
      </c>
    </row>
    <row r="1145">
      <c r="A1145" s="11" t="s">
        <v>4152</v>
      </c>
      <c r="B1145" s="35">
        <f t="array" ref="B1145">XLOOKUP(A1145,IMDB_Movies!I$2:I$3493,IMDB_Movies!Q$2:Q$3493)</f>
        <v>0</v>
      </c>
      <c r="E1145" s="11" t="s">
        <v>4152</v>
      </c>
      <c r="F1145" s="36">
        <f t="array" ref="F1145">XLOOKUP(A1145,IMDB_Movies!I$2:I$3493,IMDB_Movies!P$2:P$3493)</f>
        <v>67340146</v>
      </c>
    </row>
    <row r="1146">
      <c r="A1146" s="24" t="s">
        <v>4156</v>
      </c>
      <c r="B1146" s="35">
        <f t="array" ref="B1146">XLOOKUP(A1146,IMDB_Movies!I$2:I$3493,IMDB_Movies!Q$2:Q$3493)</f>
        <v>32713269</v>
      </c>
      <c r="E1146" s="24" t="s">
        <v>4156</v>
      </c>
      <c r="F1146" s="36">
        <f t="array" ref="F1146">XLOOKUP(A1146,IMDB_Movies!I$2:I$3493,IMDB_Movies!P$2:P$3493)</f>
        <v>0</v>
      </c>
    </row>
    <row r="1147">
      <c r="A1147" s="24" t="s">
        <v>4161</v>
      </c>
      <c r="B1147" s="35">
        <f t="array" ref="B1147">XLOOKUP(A1147,IMDB_Movies!I$2:I$3493,IMDB_Movies!Q$2:Q$3493)</f>
        <v>2424273</v>
      </c>
      <c r="E1147" s="24" t="s">
        <v>4161</v>
      </c>
      <c r="F1147" s="36">
        <f t="array" ref="F1147">XLOOKUP(A1147,IMDB_Movies!I$2:I$3493,IMDB_Movies!P$2:P$3493)</f>
        <v>0</v>
      </c>
    </row>
    <row r="1148">
      <c r="A1148" s="11" t="s">
        <v>4163</v>
      </c>
      <c r="B1148" s="35">
        <f t="array" ref="B1148">XLOOKUP(A1148,IMDB_Movies!I$2:I$3493,IMDB_Movies!Q$2:Q$3493)</f>
        <v>38023633</v>
      </c>
      <c r="E1148" s="11" t="s">
        <v>4163</v>
      </c>
      <c r="F1148" s="36">
        <f t="array" ref="F1148">XLOOKUP(A1148,IMDB_Movies!I$2:I$3493,IMDB_Movies!P$2:P$3493)</f>
        <v>0</v>
      </c>
    </row>
    <row r="1149">
      <c r="A1149" s="11" t="s">
        <v>4165</v>
      </c>
      <c r="B1149" s="35">
        <f t="array" ref="B1149">XLOOKUP(A1149,IMDB_Movies!I$2:I$3493,IMDB_Movies!Q$2:Q$3493)</f>
        <v>987004</v>
      </c>
      <c r="E1149" s="11" t="s">
        <v>4165</v>
      </c>
      <c r="F1149" s="36">
        <f t="array" ref="F1149">XLOOKUP(A1149,IMDB_Movies!I$2:I$3493,IMDB_Movies!P$2:P$3493)</f>
        <v>0</v>
      </c>
    </row>
    <row r="1150">
      <c r="A1150" s="32" t="s">
        <v>4168</v>
      </c>
      <c r="B1150" s="35">
        <f t="array" ref="B1150">XLOOKUP(A1150,IMDB_Movies!I$2:I$3493,IMDB_Movies!Q$2:Q$3493)</f>
        <v>0</v>
      </c>
      <c r="E1150" s="32" t="s">
        <v>4168</v>
      </c>
      <c r="F1150" s="36">
        <f t="array" ref="F1150">XLOOKUP(A1150,IMDB_Movies!I$2:I$3493,IMDB_Movies!P$2:P$3493)</f>
        <v>19397498</v>
      </c>
    </row>
    <row r="1151">
      <c r="A1151" s="24" t="s">
        <v>4172</v>
      </c>
      <c r="B1151" s="35">
        <f t="array" ref="B1151">XLOOKUP(A1151,IMDB_Movies!I$2:I$3493,IMDB_Movies!Q$2:Q$3493)</f>
        <v>79860848</v>
      </c>
      <c r="E1151" s="24" t="s">
        <v>4172</v>
      </c>
      <c r="F1151" s="36">
        <f t="array" ref="F1151">XLOOKUP(A1151,IMDB_Movies!I$2:I$3493,IMDB_Movies!P$2:P$3493)</f>
        <v>0</v>
      </c>
    </row>
    <row r="1152">
      <c r="A1152" s="16" t="s">
        <v>4175</v>
      </c>
      <c r="B1152" s="35">
        <f t="array" ref="B1152">XLOOKUP(A1152,IMDB_Movies!I$2:I$3493,IMDB_Movies!Q$2:Q$3493)</f>
        <v>0</v>
      </c>
      <c r="E1152" s="16" t="s">
        <v>4175</v>
      </c>
      <c r="F1152" s="36">
        <f t="array" ref="F1152">XLOOKUP(A1152,IMDB_Movies!I$2:I$3493,IMDB_Movies!P$2:P$3493)</f>
        <v>22937130</v>
      </c>
    </row>
    <row r="1153">
      <c r="A1153" s="16" t="s">
        <v>4177</v>
      </c>
      <c r="B1153" s="35">
        <f t="array" ref="B1153">XLOOKUP(A1153,IMDB_Movies!I$2:I$3493,IMDB_Movies!Q$2:Q$3493)</f>
        <v>0</v>
      </c>
      <c r="E1153" s="16" t="s">
        <v>4177</v>
      </c>
      <c r="F1153" s="36">
        <f t="array" ref="F1153">XLOOKUP(A1153,IMDB_Movies!I$2:I$3493,IMDB_Movies!P$2:P$3493)</f>
        <v>86546825</v>
      </c>
    </row>
    <row r="1154">
      <c r="A1154" s="11" t="s">
        <v>4181</v>
      </c>
      <c r="B1154" s="35">
        <f t="array" ref="B1154">XLOOKUP(A1154,IMDB_Movies!I$2:I$3493,IMDB_Movies!Q$2:Q$3493)</f>
        <v>0</v>
      </c>
      <c r="E1154" s="11" t="s">
        <v>4181</v>
      </c>
      <c r="F1154" s="36">
        <f t="array" ref="F1154">XLOOKUP(A1154,IMDB_Movies!I$2:I$3493,IMDB_Movies!P$2:P$3493)</f>
        <v>29099640</v>
      </c>
    </row>
    <row r="1155">
      <c r="A1155" s="11" t="s">
        <v>4183</v>
      </c>
      <c r="B1155" s="35">
        <f t="array" ref="B1155">XLOOKUP(A1155,IMDB_Movies!I$2:I$3493,IMDB_Movies!Q$2:Q$3493)</f>
        <v>0</v>
      </c>
      <c r="E1155" s="11" t="s">
        <v>4183</v>
      </c>
      <c r="F1155" s="36">
        <f t="array" ref="F1155">XLOOKUP(A1155,IMDB_Movies!I$2:I$3493,IMDB_Movies!P$2:P$3493)</f>
        <v>85395021</v>
      </c>
    </row>
    <row r="1156">
      <c r="A1156" s="24" t="s">
        <v>4186</v>
      </c>
      <c r="B1156" s="35">
        <f t="array" ref="B1156">XLOOKUP(A1156,IMDB_Movies!I$2:I$3493,IMDB_Movies!Q$2:Q$3493)</f>
        <v>0</v>
      </c>
      <c r="E1156" s="24" t="s">
        <v>4186</v>
      </c>
      <c r="F1156" s="36">
        <f t="array" ref="F1156">XLOOKUP(A1156,IMDB_Movies!I$2:I$3493,IMDB_Movies!P$2:P$3493)</f>
        <v>26533608</v>
      </c>
    </row>
    <row r="1157">
      <c r="A1157" s="28" t="s">
        <v>4190</v>
      </c>
      <c r="B1157" s="35">
        <f t="array" ref="B1157">XLOOKUP(A1157,IMDB_Movies!I$2:I$3493,IMDB_Movies!Q$2:Q$3493)</f>
        <v>14882502</v>
      </c>
      <c r="E1157" s="28" t="s">
        <v>4190</v>
      </c>
      <c r="F1157" s="36">
        <f t="array" ref="F1157">XLOOKUP(A1157,IMDB_Movies!I$2:I$3493,IMDB_Movies!P$2:P$3493)</f>
        <v>0</v>
      </c>
    </row>
    <row r="1158">
      <c r="A1158" s="16" t="s">
        <v>4194</v>
      </c>
      <c r="B1158" s="35">
        <f t="array" ref="B1158">XLOOKUP(A1158,IMDB_Movies!I$2:I$3493,IMDB_Movies!Q$2:Q$3493)</f>
        <v>9773208</v>
      </c>
      <c r="E1158" s="16" t="s">
        <v>4194</v>
      </c>
      <c r="F1158" s="36">
        <f t="array" ref="F1158">XLOOKUP(A1158,IMDB_Movies!I$2:I$3493,IMDB_Movies!P$2:P$3493)</f>
        <v>0</v>
      </c>
    </row>
    <row r="1159">
      <c r="A1159" s="28" t="s">
        <v>4198</v>
      </c>
      <c r="B1159" s="35">
        <f t="array" ref="B1159">XLOOKUP(A1159,IMDB_Movies!I$2:I$3493,IMDB_Movies!Q$2:Q$3493)</f>
        <v>0</v>
      </c>
      <c r="E1159" s="28" t="s">
        <v>4198</v>
      </c>
      <c r="F1159" s="36">
        <f t="array" ref="F1159">XLOOKUP(A1159,IMDB_Movies!I$2:I$3493,IMDB_Movies!P$2:P$3493)</f>
        <v>139875760</v>
      </c>
    </row>
    <row r="1160">
      <c r="A1160" s="11" t="s">
        <v>4202</v>
      </c>
      <c r="B1160" s="35">
        <f t="array" ref="B1160">XLOOKUP(A1160,IMDB_Movies!I$2:I$3493,IMDB_Movies!Q$2:Q$3493)</f>
        <v>0</v>
      </c>
      <c r="E1160" s="11" t="s">
        <v>4202</v>
      </c>
      <c r="F1160" s="36">
        <f t="array" ref="F1160">XLOOKUP(A1160,IMDB_Movies!I$2:I$3493,IMDB_Movies!P$2:P$3493)</f>
        <v>83500000</v>
      </c>
    </row>
    <row r="1161">
      <c r="A1161" s="20" t="s">
        <v>4204</v>
      </c>
      <c r="B1161" s="35">
        <f t="array" ref="B1161">XLOOKUP(A1161,IMDB_Movies!I$2:I$3493,IMDB_Movies!Q$2:Q$3493)</f>
        <v>14724554</v>
      </c>
      <c r="E1161" s="20" t="s">
        <v>4204</v>
      </c>
      <c r="F1161" s="36">
        <f t="array" ref="F1161">XLOOKUP(A1161,IMDB_Movies!I$2:I$3493,IMDB_Movies!P$2:P$3493)</f>
        <v>0</v>
      </c>
    </row>
    <row r="1162">
      <c r="A1162" s="16" t="s">
        <v>4207</v>
      </c>
      <c r="B1162" s="35">
        <f t="array" ref="B1162">XLOOKUP(A1162,IMDB_Movies!I$2:I$3493,IMDB_Movies!Q$2:Q$3493)</f>
        <v>0</v>
      </c>
      <c r="E1162" s="16" t="s">
        <v>4207</v>
      </c>
      <c r="F1162" s="36">
        <f t="array" ref="F1162">XLOOKUP(A1162,IMDB_Movies!I$2:I$3493,IMDB_Movies!P$2:P$3493)</f>
        <v>202076689</v>
      </c>
    </row>
    <row r="1163">
      <c r="A1163" s="11" t="s">
        <v>4210</v>
      </c>
      <c r="B1163" s="35">
        <f t="array" ref="B1163">XLOOKUP(A1163,IMDB_Movies!I$2:I$3493,IMDB_Movies!Q$2:Q$3493)</f>
        <v>0</v>
      </c>
      <c r="E1163" s="11" t="s">
        <v>4210</v>
      </c>
      <c r="F1163" s="36">
        <f t="array" ref="F1163">XLOOKUP(A1163,IMDB_Movies!I$2:I$3493,IMDB_Movies!P$2:P$3493)</f>
        <v>25670855</v>
      </c>
    </row>
    <row r="1164">
      <c r="A1164" s="28" t="s">
        <v>4213</v>
      </c>
      <c r="B1164" s="35">
        <f t="array" ref="B1164">XLOOKUP(A1164,IMDB_Movies!I$2:I$3493,IMDB_Movies!Q$2:Q$3493)</f>
        <v>41400000</v>
      </c>
      <c r="E1164" s="28" t="s">
        <v>4213</v>
      </c>
      <c r="F1164" s="36">
        <f t="array" ref="F1164">XLOOKUP(A1164,IMDB_Movies!I$2:I$3493,IMDB_Movies!P$2:P$3493)</f>
        <v>0</v>
      </c>
    </row>
    <row r="1165">
      <c r="A1165" s="24" t="s">
        <v>4218</v>
      </c>
      <c r="B1165" s="35">
        <f t="array" ref="B1165">XLOOKUP(A1165,IMDB_Movies!I$2:I$3493,IMDB_Movies!Q$2:Q$3493)</f>
        <v>22772060</v>
      </c>
      <c r="E1165" s="24" t="s">
        <v>4218</v>
      </c>
      <c r="F1165" s="36">
        <f t="array" ref="F1165">XLOOKUP(A1165,IMDB_Movies!I$2:I$3493,IMDB_Movies!P$2:P$3493)</f>
        <v>0</v>
      </c>
    </row>
    <row r="1166">
      <c r="A1166" s="11" t="s">
        <v>4220</v>
      </c>
      <c r="B1166" s="35">
        <f t="array" ref="B1166">XLOOKUP(A1166,IMDB_Movies!I$2:I$3493,IMDB_Movies!Q$2:Q$3493)</f>
        <v>21464425</v>
      </c>
      <c r="E1166" s="11" t="s">
        <v>4220</v>
      </c>
      <c r="F1166" s="36">
        <f t="array" ref="F1166">XLOOKUP(A1166,IMDB_Movies!I$2:I$3493,IMDB_Movies!P$2:P$3493)</f>
        <v>0</v>
      </c>
    </row>
    <row r="1167">
      <c r="A1167" s="11" t="s">
        <v>4224</v>
      </c>
      <c r="B1167" s="35">
        <f t="array" ref="B1167">XLOOKUP(A1167,IMDB_Movies!I$2:I$3493,IMDB_Movies!Q$2:Q$3493)</f>
        <v>10265765</v>
      </c>
      <c r="E1167" s="11" t="s">
        <v>4224</v>
      </c>
      <c r="F1167" s="36">
        <f t="array" ref="F1167">XLOOKUP(A1167,IMDB_Movies!I$2:I$3493,IMDB_Movies!P$2:P$3493)</f>
        <v>0</v>
      </c>
    </row>
    <row r="1168">
      <c r="A1168" s="16" t="s">
        <v>4228</v>
      </c>
      <c r="B1168" s="35">
        <f t="array" ref="B1168">XLOOKUP(A1168,IMDB_Movies!I$2:I$3493,IMDB_Movies!Q$2:Q$3493)</f>
        <v>398921</v>
      </c>
      <c r="E1168" s="16" t="s">
        <v>4228</v>
      </c>
      <c r="F1168" s="36">
        <f t="array" ref="F1168">XLOOKUP(A1168,IMDB_Movies!I$2:I$3493,IMDB_Movies!P$2:P$3493)</f>
        <v>0</v>
      </c>
    </row>
    <row r="1169">
      <c r="A1169" s="20" t="s">
        <v>4231</v>
      </c>
      <c r="B1169" s="35">
        <f t="array" ref="B1169">XLOOKUP(A1169,IMDB_Movies!I$2:I$3493,IMDB_Movies!Q$2:Q$3493)</f>
        <v>14976909</v>
      </c>
      <c r="E1169" s="20" t="s">
        <v>4231</v>
      </c>
      <c r="F1169" s="36">
        <f t="array" ref="F1169">XLOOKUP(A1169,IMDB_Movies!I$2:I$3493,IMDB_Movies!P$2:P$3493)</f>
        <v>0</v>
      </c>
    </row>
    <row r="1170">
      <c r="A1170" s="11" t="s">
        <v>4233</v>
      </c>
      <c r="B1170" s="35">
        <f t="array" ref="B1170">XLOOKUP(A1170,IMDB_Movies!I$2:I$3493,IMDB_Movies!Q$2:Q$3493)</f>
        <v>0</v>
      </c>
      <c r="E1170" s="11" t="s">
        <v>4233</v>
      </c>
      <c r="F1170" s="36">
        <f t="array" ref="F1170">XLOOKUP(A1170,IMDB_Movies!I$2:I$3493,IMDB_Movies!P$2:P$3493)</f>
        <v>8089926</v>
      </c>
    </row>
    <row r="1171">
      <c r="A1171" s="28" t="s">
        <v>4238</v>
      </c>
      <c r="B1171" s="35">
        <f t="array" ref="B1171">XLOOKUP(A1171,IMDB_Movies!I$2:I$3493,IMDB_Movies!Q$2:Q$3493)</f>
        <v>19492772</v>
      </c>
      <c r="E1171" s="28" t="s">
        <v>4238</v>
      </c>
      <c r="F1171" s="36">
        <f t="array" ref="F1171">XLOOKUP(A1171,IMDB_Movies!I$2:I$3493,IMDB_Movies!P$2:P$3493)</f>
        <v>0</v>
      </c>
    </row>
    <row r="1172">
      <c r="A1172" s="24" t="s">
        <v>4240</v>
      </c>
      <c r="B1172" s="35">
        <f t="array" ref="B1172">XLOOKUP(A1172,IMDB_Movies!I$2:I$3493,IMDB_Movies!Q$2:Q$3493)</f>
        <v>0</v>
      </c>
      <c r="E1172" s="24" t="s">
        <v>4240</v>
      </c>
      <c r="F1172" s="36">
        <f t="array" ref="F1172">XLOOKUP(A1172,IMDB_Movies!I$2:I$3493,IMDB_Movies!P$2:P$3493)</f>
        <v>178298180</v>
      </c>
    </row>
    <row r="1173">
      <c r="A1173" s="24" t="s">
        <v>4243</v>
      </c>
      <c r="B1173" s="35">
        <f t="array" ref="B1173">XLOOKUP(A1173,IMDB_Movies!I$2:I$3493,IMDB_Movies!Q$2:Q$3493)</f>
        <v>18435269</v>
      </c>
      <c r="E1173" s="24" t="s">
        <v>4243</v>
      </c>
      <c r="F1173" s="36">
        <f t="array" ref="F1173">XLOOKUP(A1173,IMDB_Movies!I$2:I$3493,IMDB_Movies!P$2:P$3493)</f>
        <v>0</v>
      </c>
    </row>
    <row r="1174">
      <c r="A1174" s="28" t="s">
        <v>4246</v>
      </c>
      <c r="B1174" s="35">
        <f t="array" ref="B1174">XLOOKUP(A1174,IMDB_Movies!I$2:I$3493,IMDB_Movies!Q$2:Q$3493)</f>
        <v>5261308</v>
      </c>
      <c r="E1174" s="28" t="s">
        <v>4246</v>
      </c>
      <c r="F1174" s="36">
        <f t="array" ref="F1174">XLOOKUP(A1174,IMDB_Movies!I$2:I$3493,IMDB_Movies!P$2:P$3493)</f>
        <v>0</v>
      </c>
    </row>
    <row r="1175">
      <c r="A1175" s="20" t="s">
        <v>4250</v>
      </c>
      <c r="B1175" s="35">
        <f t="array" ref="B1175">XLOOKUP(A1175,IMDB_Movies!I$2:I$3493,IMDB_Movies!Q$2:Q$3493)</f>
        <v>0</v>
      </c>
      <c r="E1175" s="20" t="s">
        <v>4250</v>
      </c>
      <c r="F1175" s="36">
        <f t="array" ref="F1175">XLOOKUP(A1175,IMDB_Movies!I$2:I$3493,IMDB_Movies!P$2:P$3493)</f>
        <v>347780</v>
      </c>
    </row>
    <row r="1176">
      <c r="A1176" s="24" t="s">
        <v>4254</v>
      </c>
      <c r="B1176" s="35">
        <f t="array" ref="B1176">XLOOKUP(A1176,IMDB_Movies!I$2:I$3493,IMDB_Movies!Q$2:Q$3493)</f>
        <v>22543550</v>
      </c>
      <c r="E1176" s="24" t="s">
        <v>4254</v>
      </c>
      <c r="F1176" s="36">
        <f t="array" ref="F1176">XLOOKUP(A1176,IMDB_Movies!I$2:I$3493,IMDB_Movies!P$2:P$3493)</f>
        <v>0</v>
      </c>
    </row>
    <row r="1177">
      <c r="A1177" s="11" t="s">
        <v>4257</v>
      </c>
      <c r="B1177" s="35">
        <f t="array" ref="B1177">XLOOKUP(A1177,IMDB_Movies!I$2:I$3493,IMDB_Movies!Q$2:Q$3493)</f>
        <v>13997244</v>
      </c>
      <c r="E1177" s="11" t="s">
        <v>4257</v>
      </c>
      <c r="F1177" s="36">
        <f t="array" ref="F1177">XLOOKUP(A1177,IMDB_Movies!I$2:I$3493,IMDB_Movies!P$2:P$3493)</f>
        <v>0</v>
      </c>
    </row>
    <row r="1178">
      <c r="A1178" s="16" t="s">
        <v>4260</v>
      </c>
      <c r="B1178" s="35">
        <f t="array" ref="B1178">XLOOKUP(A1178,IMDB_Movies!I$2:I$3493,IMDB_Movies!Q$2:Q$3493)</f>
        <v>9777353</v>
      </c>
      <c r="E1178" s="16" t="s">
        <v>4260</v>
      </c>
      <c r="F1178" s="36">
        <f t="array" ref="F1178">XLOOKUP(A1178,IMDB_Movies!I$2:I$3493,IMDB_Movies!P$2:P$3493)</f>
        <v>0</v>
      </c>
    </row>
    <row r="1179">
      <c r="A1179" s="28" t="s">
        <v>4264</v>
      </c>
      <c r="B1179" s="35">
        <f t="array" ref="B1179">XLOOKUP(A1179,IMDB_Movies!I$2:I$3493,IMDB_Movies!Q$2:Q$3493)</f>
        <v>2296998</v>
      </c>
      <c r="E1179" s="28" t="s">
        <v>4264</v>
      </c>
      <c r="F1179" s="36">
        <f t="array" ref="F1179">XLOOKUP(A1179,IMDB_Movies!I$2:I$3493,IMDB_Movies!P$2:P$3493)</f>
        <v>0</v>
      </c>
    </row>
    <row r="1180">
      <c r="A1180" s="11" t="s">
        <v>4268</v>
      </c>
      <c r="B1180" s="35">
        <f t="array" ref="B1180">XLOOKUP(A1180,IMDB_Movies!I$2:I$3493,IMDB_Movies!Q$2:Q$3493)</f>
        <v>0</v>
      </c>
      <c r="E1180" s="11" t="s">
        <v>4268</v>
      </c>
      <c r="F1180" s="36">
        <f t="array" ref="F1180">XLOOKUP(A1180,IMDB_Movies!I$2:I$3493,IMDB_Movies!P$2:P$3493)</f>
        <v>16874745</v>
      </c>
    </row>
    <row r="1181">
      <c r="A1181" s="20" t="s">
        <v>4271</v>
      </c>
      <c r="B1181" s="35">
        <f t="array" ref="B1181">XLOOKUP(A1181,IMDB_Movies!I$2:I$3493,IMDB_Movies!Q$2:Q$3493)</f>
        <v>0</v>
      </c>
      <c r="E1181" s="20" t="s">
        <v>4271</v>
      </c>
      <c r="F1181" s="36">
        <f t="array" ref="F1181">XLOOKUP(A1181,IMDB_Movies!I$2:I$3493,IMDB_Movies!P$2:P$3493)</f>
        <v>46637947</v>
      </c>
    </row>
    <row r="1182">
      <c r="A1182" s="28" t="s">
        <v>4274</v>
      </c>
      <c r="B1182" s="35">
        <f t="array" ref="B1182">XLOOKUP(A1182,IMDB_Movies!I$2:I$3493,IMDB_Movies!Q$2:Q$3493)</f>
        <v>0</v>
      </c>
      <c r="E1182" s="28" t="s">
        <v>4274</v>
      </c>
      <c r="F1182" s="36">
        <f t="array" ref="F1182">XLOOKUP(A1182,IMDB_Movies!I$2:I$3493,IMDB_Movies!P$2:P$3493)</f>
        <v>50191634</v>
      </c>
    </row>
    <row r="1183">
      <c r="A1183" s="20" t="s">
        <v>4277</v>
      </c>
      <c r="B1183" s="35">
        <f t="array" ref="B1183">XLOOKUP(A1183,IMDB_Movies!I$2:I$3493,IMDB_Movies!Q$2:Q$3493)</f>
        <v>0</v>
      </c>
      <c r="E1183" s="20" t="s">
        <v>4277</v>
      </c>
      <c r="F1183" s="36">
        <f t="array" ref="F1183">XLOOKUP(A1183,IMDB_Movies!I$2:I$3493,IMDB_Movies!P$2:P$3493)</f>
        <v>31431160</v>
      </c>
    </row>
    <row r="1184">
      <c r="A1184" s="16" t="s">
        <v>4279</v>
      </c>
      <c r="B1184" s="35">
        <f t="array" ref="B1184">XLOOKUP(A1184,IMDB_Movies!I$2:I$3493,IMDB_Movies!Q$2:Q$3493)</f>
        <v>4065142</v>
      </c>
      <c r="E1184" s="16" t="s">
        <v>4279</v>
      </c>
      <c r="F1184" s="36">
        <f t="array" ref="F1184">XLOOKUP(A1184,IMDB_Movies!I$2:I$3493,IMDB_Movies!P$2:P$3493)</f>
        <v>0</v>
      </c>
    </row>
    <row r="1185">
      <c r="A1185" s="11" t="s">
        <v>4281</v>
      </c>
      <c r="B1185" s="35">
        <f t="array" ref="B1185">XLOOKUP(A1185,IMDB_Movies!I$2:I$3493,IMDB_Movies!Q$2:Q$3493)</f>
        <v>41779224</v>
      </c>
      <c r="E1185" s="11" t="s">
        <v>4281</v>
      </c>
      <c r="F1185" s="36">
        <f t="array" ref="F1185">XLOOKUP(A1185,IMDB_Movies!I$2:I$3493,IMDB_Movies!P$2:P$3493)</f>
        <v>0</v>
      </c>
    </row>
    <row r="1186">
      <c r="A1186" s="24" t="s">
        <v>4283</v>
      </c>
      <c r="B1186" s="35">
        <f t="array" ref="B1186">XLOOKUP(A1186,IMDB_Movies!I$2:I$3493,IMDB_Movies!Q$2:Q$3493)</f>
        <v>23445431</v>
      </c>
      <c r="E1186" s="24" t="s">
        <v>4283</v>
      </c>
      <c r="F1186" s="36">
        <f t="array" ref="F1186">XLOOKUP(A1186,IMDB_Movies!I$2:I$3493,IMDB_Movies!P$2:P$3493)</f>
        <v>0</v>
      </c>
    </row>
    <row r="1187">
      <c r="A1187" s="11" t="s">
        <v>4286</v>
      </c>
      <c r="B1187" s="35">
        <f t="array" ref="B1187">XLOOKUP(A1187,IMDB_Movies!I$2:I$3493,IMDB_Movies!Q$2:Q$3493)</f>
        <v>0</v>
      </c>
      <c r="E1187" s="11" t="s">
        <v>4286</v>
      </c>
      <c r="F1187" s="36">
        <f t="array" ref="F1187">XLOOKUP(A1187,IMDB_Movies!I$2:I$3493,IMDB_Movies!P$2:P$3493)</f>
        <v>455447</v>
      </c>
    </row>
    <row r="1188">
      <c r="A1188" s="11" t="s">
        <v>4288</v>
      </c>
      <c r="B1188" s="35">
        <f t="array" ref="B1188">XLOOKUP(A1188,IMDB_Movies!I$2:I$3493,IMDB_Movies!Q$2:Q$3493)</f>
        <v>0</v>
      </c>
      <c r="E1188" s="11" t="s">
        <v>4288</v>
      </c>
      <c r="F1188" s="36">
        <f t="array" ref="F1188">XLOOKUP(A1188,IMDB_Movies!I$2:I$3493,IMDB_Movies!P$2:P$3493)</f>
        <v>5856732</v>
      </c>
    </row>
    <row r="1189">
      <c r="A1189" s="24" t="s">
        <v>4291</v>
      </c>
      <c r="B1189" s="35">
        <f t="array" ref="B1189">XLOOKUP(A1189,IMDB_Movies!I$2:I$3493,IMDB_Movies!Q$2:Q$3493)</f>
        <v>1212565</v>
      </c>
      <c r="E1189" s="24" t="s">
        <v>4291</v>
      </c>
      <c r="F1189" s="36">
        <f t="array" ref="F1189">XLOOKUP(A1189,IMDB_Movies!I$2:I$3493,IMDB_Movies!P$2:P$3493)</f>
        <v>0</v>
      </c>
    </row>
    <row r="1190">
      <c r="A1190" s="32" t="s">
        <v>4295</v>
      </c>
      <c r="B1190" s="35">
        <f t="array" ref="B1190">XLOOKUP(A1190,IMDB_Movies!I$2:I$3493,IMDB_Movies!Q$2:Q$3493)</f>
        <v>12048569</v>
      </c>
      <c r="E1190" s="32" t="s">
        <v>4295</v>
      </c>
      <c r="F1190" s="36">
        <f t="array" ref="F1190">XLOOKUP(A1190,IMDB_Movies!I$2:I$3493,IMDB_Movies!P$2:P$3493)</f>
        <v>0</v>
      </c>
    </row>
    <row r="1191">
      <c r="A1191" s="11" t="s">
        <v>4298</v>
      </c>
      <c r="B1191" s="35">
        <f t="array" ref="B1191">XLOOKUP(A1191,IMDB_Movies!I$2:I$3493,IMDB_Movies!Q$2:Q$3493)</f>
        <v>0</v>
      </c>
      <c r="E1191" s="11" t="s">
        <v>4298</v>
      </c>
      <c r="F1191" s="36">
        <f t="array" ref="F1191">XLOOKUP(A1191,IMDB_Movies!I$2:I$3493,IMDB_Movies!P$2:P$3493)</f>
        <v>12569041</v>
      </c>
    </row>
    <row r="1192">
      <c r="A1192" s="16" t="s">
        <v>4301</v>
      </c>
      <c r="B1192" s="35">
        <f t="array" ref="B1192">XLOOKUP(A1192,IMDB_Movies!I$2:I$3493,IMDB_Movies!Q$2:Q$3493)</f>
        <v>0</v>
      </c>
      <c r="E1192" s="16" t="s">
        <v>4301</v>
      </c>
      <c r="F1192" s="36">
        <f t="array" ref="F1192">XLOOKUP(A1192,IMDB_Movies!I$2:I$3493,IMDB_Movies!P$2:P$3493)</f>
        <v>53319509</v>
      </c>
    </row>
    <row r="1193">
      <c r="A1193" s="20" t="s">
        <v>4305</v>
      </c>
      <c r="B1193" s="35">
        <f t="array" ref="B1193">XLOOKUP(A1193,IMDB_Movies!I$2:I$3493,IMDB_Movies!Q$2:Q$3493)</f>
        <v>0</v>
      </c>
      <c r="E1193" s="20" t="s">
        <v>4305</v>
      </c>
      <c r="F1193" s="36">
        <f t="array" ref="F1193">XLOOKUP(A1193,IMDB_Movies!I$2:I$3493,IMDB_Movies!P$2:P$3493)</f>
        <v>26746109</v>
      </c>
    </row>
    <row r="1194">
      <c r="A1194" s="11" t="s">
        <v>4308</v>
      </c>
      <c r="B1194" s="35">
        <f t="array" ref="B1194">XLOOKUP(A1194,IMDB_Movies!I$2:I$3493,IMDB_Movies!Q$2:Q$3493)</f>
        <v>0</v>
      </c>
      <c r="E1194" s="11" t="s">
        <v>4308</v>
      </c>
      <c r="F1194" s="36">
        <f t="array" ref="F1194">XLOOKUP(A1194,IMDB_Movies!I$2:I$3493,IMDB_Movies!P$2:P$3493)</f>
        <v>32462438</v>
      </c>
    </row>
    <row r="1195">
      <c r="A1195" s="16" t="s">
        <v>4310</v>
      </c>
      <c r="B1195" s="35">
        <f t="array" ref="B1195">XLOOKUP(A1195,IMDB_Movies!I$2:I$3493,IMDB_Movies!Q$2:Q$3493)</f>
        <v>4347435</v>
      </c>
      <c r="E1195" s="16" t="s">
        <v>4310</v>
      </c>
      <c r="F1195" s="36">
        <f t="array" ref="F1195">XLOOKUP(A1195,IMDB_Movies!I$2:I$3493,IMDB_Movies!P$2:P$3493)</f>
        <v>0</v>
      </c>
    </row>
    <row r="1196">
      <c r="A1196" s="24" t="s">
        <v>4313</v>
      </c>
      <c r="B1196" s="35">
        <f t="array" ref="B1196">XLOOKUP(A1196,IMDB_Movies!I$2:I$3493,IMDB_Movies!Q$2:Q$3493)</f>
        <v>0</v>
      </c>
      <c r="E1196" s="24" t="s">
        <v>4313</v>
      </c>
      <c r="F1196" s="36">
        <f t="array" ref="F1196">XLOOKUP(A1196,IMDB_Movies!I$2:I$3493,IMDB_Movies!P$2:P$3493)</f>
        <v>150079163</v>
      </c>
    </row>
    <row r="1197">
      <c r="A1197" s="11" t="s">
        <v>4317</v>
      </c>
      <c r="B1197" s="35">
        <f t="array" ref="B1197">XLOOKUP(A1197,IMDB_Movies!I$2:I$3493,IMDB_Movies!Q$2:Q$3493)</f>
        <v>1995042</v>
      </c>
      <c r="E1197" s="11" t="s">
        <v>4317</v>
      </c>
      <c r="F1197" s="36">
        <f t="array" ref="F1197">XLOOKUP(A1197,IMDB_Movies!I$2:I$3493,IMDB_Movies!P$2:P$3493)</f>
        <v>0</v>
      </c>
    </row>
    <row r="1198">
      <c r="A1198" s="28" t="s">
        <v>4322</v>
      </c>
      <c r="B1198" s="35">
        <f t="array" ref="B1198">XLOOKUP(A1198,IMDB_Movies!I$2:I$3493,IMDB_Movies!Q$2:Q$3493)</f>
        <v>5481319</v>
      </c>
      <c r="E1198" s="28" t="s">
        <v>4322</v>
      </c>
      <c r="F1198" s="36">
        <f t="array" ref="F1198">XLOOKUP(A1198,IMDB_Movies!I$2:I$3493,IMDB_Movies!P$2:P$3493)</f>
        <v>0</v>
      </c>
    </row>
    <row r="1199">
      <c r="A1199" s="11" t="s">
        <v>4324</v>
      </c>
      <c r="B1199" s="35">
        <f t="array" ref="B1199">XLOOKUP(A1199,IMDB_Movies!I$2:I$3493,IMDB_Movies!Q$2:Q$3493)</f>
        <v>0</v>
      </c>
      <c r="E1199" s="11" t="s">
        <v>4324</v>
      </c>
      <c r="F1199" s="36">
        <f t="array" ref="F1199">XLOOKUP(A1199,IMDB_Movies!I$2:I$3493,IMDB_Movies!P$2:P$3493)</f>
        <v>55807520</v>
      </c>
    </row>
    <row r="1200">
      <c r="A1200" s="11" t="s">
        <v>4328</v>
      </c>
      <c r="B1200" s="35">
        <f t="array" ref="B1200">XLOOKUP(A1200,IMDB_Movies!I$2:I$3493,IMDB_Movies!Q$2:Q$3493)</f>
        <v>0</v>
      </c>
      <c r="E1200" s="11" t="s">
        <v>4328</v>
      </c>
      <c r="F1200" s="36">
        <f t="array" ref="F1200">XLOOKUP(A1200,IMDB_Movies!I$2:I$3493,IMDB_Movies!P$2:P$3493)</f>
        <v>48299761</v>
      </c>
    </row>
    <row r="1201">
      <c r="A1201" s="16" t="s">
        <v>4332</v>
      </c>
      <c r="B1201" s="35">
        <f t="array" ref="B1201">XLOOKUP(A1201,IMDB_Movies!I$2:I$3493,IMDB_Movies!Q$2:Q$3493)</f>
        <v>0</v>
      </c>
      <c r="E1201" s="16" t="s">
        <v>4332</v>
      </c>
      <c r="F1201" s="36">
        <f t="array" ref="F1201">XLOOKUP(A1201,IMDB_Movies!I$2:I$3493,IMDB_Movies!P$2:P$3493)</f>
        <v>19737645</v>
      </c>
    </row>
    <row r="1202">
      <c r="A1202" s="28" t="s">
        <v>4334</v>
      </c>
      <c r="B1202" s="35">
        <f t="array" ref="B1202">XLOOKUP(A1202,IMDB_Movies!I$2:I$3493,IMDB_Movies!Q$2:Q$3493)</f>
        <v>0</v>
      </c>
      <c r="E1202" s="28" t="s">
        <v>4334</v>
      </c>
      <c r="F1202" s="36">
        <f t="array" ref="F1202">XLOOKUP(A1202,IMDB_Movies!I$2:I$3493,IMDB_Movies!P$2:P$3493)</f>
        <v>11095600</v>
      </c>
    </row>
    <row r="1203">
      <c r="A1203" s="20" t="s">
        <v>4338</v>
      </c>
      <c r="B1203" s="35">
        <f t="array" ref="B1203">XLOOKUP(A1203,IMDB_Movies!I$2:I$3493,IMDB_Movies!Q$2:Q$3493)</f>
        <v>39347474</v>
      </c>
      <c r="E1203" s="20" t="s">
        <v>4338</v>
      </c>
      <c r="F1203" s="36">
        <f t="array" ref="F1203">XLOOKUP(A1203,IMDB_Movies!I$2:I$3493,IMDB_Movies!P$2:P$3493)</f>
        <v>0</v>
      </c>
    </row>
    <row r="1204">
      <c r="A1204" s="24" t="s">
        <v>4340</v>
      </c>
      <c r="B1204" s="35">
        <f t="array" ref="B1204">XLOOKUP(A1204,IMDB_Movies!I$2:I$3493,IMDB_Movies!Q$2:Q$3493)</f>
        <v>0</v>
      </c>
      <c r="E1204" s="24" t="s">
        <v>4340</v>
      </c>
      <c r="F1204" s="36">
        <f t="array" ref="F1204">XLOOKUP(A1204,IMDB_Movies!I$2:I$3493,IMDB_Movies!P$2:P$3493)</f>
        <v>7515297</v>
      </c>
    </row>
    <row r="1205">
      <c r="A1205" s="11" t="s">
        <v>4342</v>
      </c>
      <c r="B1205" s="35">
        <f t="array" ref="B1205">XLOOKUP(A1205,IMDB_Movies!I$2:I$3493,IMDB_Movies!Q$2:Q$3493)</f>
        <v>11451066</v>
      </c>
      <c r="E1205" s="11" t="s">
        <v>4342</v>
      </c>
      <c r="F1205" s="36">
        <f t="array" ref="F1205">XLOOKUP(A1205,IMDB_Movies!I$2:I$3493,IMDB_Movies!P$2:P$3493)</f>
        <v>0</v>
      </c>
    </row>
    <row r="1206">
      <c r="A1206" s="24" t="s">
        <v>4345</v>
      </c>
      <c r="B1206" s="35">
        <f t="array" ref="B1206">XLOOKUP(A1206,IMDB_Movies!I$2:I$3493,IMDB_Movies!Q$2:Q$3493)</f>
        <v>80448338</v>
      </c>
      <c r="E1206" s="24" t="s">
        <v>4345</v>
      </c>
      <c r="F1206" s="36">
        <f t="array" ref="F1206">XLOOKUP(A1206,IMDB_Movies!I$2:I$3493,IMDB_Movies!P$2:P$3493)</f>
        <v>0</v>
      </c>
    </row>
    <row r="1207">
      <c r="A1207" s="32" t="s">
        <v>4347</v>
      </c>
      <c r="B1207" s="35">
        <f t="array" ref="B1207">XLOOKUP(A1207,IMDB_Movies!I$2:I$3493,IMDB_Movies!Q$2:Q$3493)</f>
        <v>0</v>
      </c>
      <c r="E1207" s="32" t="s">
        <v>4347</v>
      </c>
      <c r="F1207" s="36">
        <f t="array" ref="F1207">XLOOKUP(A1207,IMDB_Movies!I$2:I$3493,IMDB_Movies!P$2:P$3493)</f>
        <v>21544445</v>
      </c>
    </row>
    <row r="1208">
      <c r="A1208" s="11" t="s">
        <v>4350</v>
      </c>
      <c r="B1208" s="35">
        <f t="array" ref="B1208">XLOOKUP(A1208,IMDB_Movies!I$2:I$3493,IMDB_Movies!Q$2:Q$3493)</f>
        <v>8142624</v>
      </c>
      <c r="E1208" s="11" t="s">
        <v>4350</v>
      </c>
      <c r="F1208" s="36">
        <f t="array" ref="F1208">XLOOKUP(A1208,IMDB_Movies!I$2:I$3493,IMDB_Movies!P$2:P$3493)</f>
        <v>0</v>
      </c>
    </row>
    <row r="1209">
      <c r="A1209" s="11" t="s">
        <v>4352</v>
      </c>
      <c r="B1209" s="35">
        <f t="array" ref="B1209">XLOOKUP(A1209,IMDB_Movies!I$2:I$3493,IMDB_Movies!Q$2:Q$3493)</f>
        <v>1231955</v>
      </c>
      <c r="E1209" s="11" t="s">
        <v>4352</v>
      </c>
      <c r="F1209" s="36">
        <f t="array" ref="F1209">XLOOKUP(A1209,IMDB_Movies!I$2:I$3493,IMDB_Movies!P$2:P$3493)</f>
        <v>0</v>
      </c>
    </row>
    <row r="1210">
      <c r="A1210" s="28" t="s">
        <v>4355</v>
      </c>
      <c r="B1210" s="35">
        <f t="array" ref="B1210">XLOOKUP(A1210,IMDB_Movies!I$2:I$3493,IMDB_Movies!Q$2:Q$3493)</f>
        <v>0</v>
      </c>
      <c r="E1210" s="28" t="s">
        <v>4355</v>
      </c>
      <c r="F1210" s="36">
        <f t="array" ref="F1210">XLOOKUP(A1210,IMDB_Movies!I$2:I$3493,IMDB_Movies!P$2:P$3493)</f>
        <v>1655091</v>
      </c>
    </row>
    <row r="1211">
      <c r="A1211" s="11" t="s">
        <v>4359</v>
      </c>
      <c r="B1211" s="35">
        <f t="array" ref="B1211">XLOOKUP(A1211,IMDB_Movies!I$2:I$3493,IMDB_Movies!Q$2:Q$3493)</f>
        <v>0</v>
      </c>
      <c r="E1211" s="11" t="s">
        <v>4359</v>
      </c>
      <c r="F1211" s="36">
        <f t="array" ref="F1211">XLOOKUP(A1211,IMDB_Movies!I$2:I$3493,IMDB_Movies!P$2:P$3493)</f>
        <v>10495673</v>
      </c>
    </row>
    <row r="1212">
      <c r="A1212" s="16" t="s">
        <v>4361</v>
      </c>
      <c r="B1212" s="35">
        <f t="array" ref="B1212">XLOOKUP(A1212,IMDB_Movies!I$2:I$3493,IMDB_Movies!Q$2:Q$3493)</f>
        <v>0</v>
      </c>
      <c r="E1212" s="16" t="s">
        <v>4361</v>
      </c>
      <c r="F1212" s="36">
        <f t="array" ref="F1212">XLOOKUP(A1212,IMDB_Movies!I$2:I$3493,IMDB_Movies!P$2:P$3493)</f>
        <v>3069884</v>
      </c>
    </row>
    <row r="1213">
      <c r="A1213" s="11" t="s">
        <v>4365</v>
      </c>
      <c r="B1213" s="35">
        <f t="array" ref="B1213">XLOOKUP(A1213,IMDB_Movies!I$2:I$3493,IMDB_Movies!Q$2:Q$3493)</f>
        <v>2899325</v>
      </c>
      <c r="E1213" s="11" t="s">
        <v>4365</v>
      </c>
      <c r="F1213" s="36">
        <f t="array" ref="F1213">XLOOKUP(A1213,IMDB_Movies!I$2:I$3493,IMDB_Movies!P$2:P$3493)</f>
        <v>0</v>
      </c>
    </row>
    <row r="1214">
      <c r="A1214" s="24" t="s">
        <v>4368</v>
      </c>
      <c r="B1214" s="35">
        <f t="array" ref="B1214">XLOOKUP(A1214,IMDB_Movies!I$2:I$3493,IMDB_Movies!Q$2:Q$3493)</f>
        <v>8887065</v>
      </c>
      <c r="E1214" s="24" t="s">
        <v>4368</v>
      </c>
      <c r="F1214" s="36">
        <f t="array" ref="F1214">XLOOKUP(A1214,IMDB_Movies!I$2:I$3493,IMDB_Movies!P$2:P$3493)</f>
        <v>0</v>
      </c>
    </row>
    <row r="1215">
      <c r="A1215" s="24" t="s">
        <v>4372</v>
      </c>
      <c r="B1215" s="35">
        <f t="array" ref="B1215">XLOOKUP(A1215,IMDB_Movies!I$2:I$3493,IMDB_Movies!Q$2:Q$3493)</f>
        <v>7882810</v>
      </c>
      <c r="E1215" s="24" t="s">
        <v>4372</v>
      </c>
      <c r="F1215" s="36">
        <f t="array" ref="F1215">XLOOKUP(A1215,IMDB_Movies!I$2:I$3493,IMDB_Movies!P$2:P$3493)</f>
        <v>0</v>
      </c>
    </row>
    <row r="1216">
      <c r="A1216" s="11" t="s">
        <v>4375</v>
      </c>
      <c r="B1216" s="35">
        <f t="array" ref="B1216">XLOOKUP(A1216,IMDB_Movies!I$2:I$3493,IMDB_Movies!Q$2:Q$3493)</f>
        <v>0</v>
      </c>
      <c r="E1216" s="11" t="s">
        <v>4375</v>
      </c>
      <c r="F1216" s="36">
        <f t="array" ref="F1216">XLOOKUP(A1216,IMDB_Movies!I$2:I$3493,IMDB_Movies!P$2:P$3493)</f>
        <v>17992760</v>
      </c>
    </row>
    <row r="1217">
      <c r="A1217" s="11" t="s">
        <v>4378</v>
      </c>
      <c r="B1217" s="35">
        <f t="array" ref="B1217">XLOOKUP(A1217,IMDB_Movies!I$2:I$3493,IMDB_Movies!Q$2:Q$3493)</f>
        <v>0</v>
      </c>
      <c r="E1217" s="11" t="s">
        <v>4378</v>
      </c>
      <c r="F1217" s="36">
        <f t="array" ref="F1217">XLOOKUP(A1217,IMDB_Movies!I$2:I$3493,IMDB_Movies!P$2:P$3493)</f>
        <v>4055108</v>
      </c>
    </row>
    <row r="1218">
      <c r="A1218" s="11" t="s">
        <v>4382</v>
      </c>
      <c r="B1218" s="35">
        <f t="array" ref="B1218">XLOOKUP(A1218,IMDB_Movies!I$2:I$3493,IMDB_Movies!Q$2:Q$3493)</f>
        <v>0</v>
      </c>
      <c r="E1218" s="11" t="s">
        <v>4382</v>
      </c>
      <c r="F1218" s="36">
        <f t="array" ref="F1218">XLOOKUP(A1218,IMDB_Movies!I$2:I$3493,IMDB_Movies!P$2:P$3493)</f>
        <v>35122319</v>
      </c>
    </row>
    <row r="1219">
      <c r="A1219" s="16" t="s">
        <v>4385</v>
      </c>
      <c r="B1219" s="35">
        <f t="array" ref="B1219">XLOOKUP(A1219,IMDB_Movies!I$2:I$3493,IMDB_Movies!Q$2:Q$3493)</f>
        <v>0</v>
      </c>
      <c r="E1219" s="16" t="s">
        <v>4385</v>
      </c>
      <c r="F1219" s="36">
        <f t="array" ref="F1219">XLOOKUP(A1219,IMDB_Movies!I$2:I$3493,IMDB_Movies!P$2:P$3493)</f>
        <v>557668</v>
      </c>
    </row>
    <row r="1220">
      <c r="A1220" s="20" t="s">
        <v>4387</v>
      </c>
      <c r="B1220" s="35">
        <f t="array" ref="B1220">XLOOKUP(A1220,IMDB_Movies!I$2:I$3493,IMDB_Movies!Q$2:Q$3493)</f>
        <v>0</v>
      </c>
      <c r="E1220" s="20" t="s">
        <v>4387</v>
      </c>
      <c r="F1220" s="36">
        <f t="array" ref="F1220">XLOOKUP(A1220,IMDB_Movies!I$2:I$3493,IMDB_Movies!P$2:P$3493)</f>
        <v>71366733</v>
      </c>
    </row>
    <row r="1221">
      <c r="A1221" s="28" t="s">
        <v>4391</v>
      </c>
      <c r="B1221" s="35">
        <f t="array" ref="B1221">XLOOKUP(A1221,IMDB_Movies!I$2:I$3493,IMDB_Movies!Q$2:Q$3493)</f>
        <v>0</v>
      </c>
      <c r="E1221" s="28" t="s">
        <v>4391</v>
      </c>
      <c r="F1221" s="36">
        <f t="array" ref="F1221">XLOOKUP(A1221,IMDB_Movies!I$2:I$3493,IMDB_Movies!P$2:P$3493)</f>
        <v>29730907</v>
      </c>
    </row>
    <row r="1222">
      <c r="A1222" s="32" t="s">
        <v>4394</v>
      </c>
      <c r="B1222" s="35">
        <f t="array" ref="B1222">XLOOKUP(A1222,IMDB_Movies!I$2:I$3493,IMDB_Movies!Q$2:Q$3493)</f>
        <v>29359355</v>
      </c>
      <c r="E1222" s="32" t="s">
        <v>4394</v>
      </c>
      <c r="F1222" s="36">
        <f t="array" ref="F1222">XLOOKUP(A1222,IMDB_Movies!I$2:I$3493,IMDB_Movies!P$2:P$3493)</f>
        <v>0</v>
      </c>
    </row>
    <row r="1223">
      <c r="A1223" s="24" t="s">
        <v>4397</v>
      </c>
      <c r="B1223" s="35">
        <f t="array" ref="B1223">XLOOKUP(A1223,IMDB_Movies!I$2:I$3493,IMDB_Movies!Q$2:Q$3493)</f>
        <v>0</v>
      </c>
      <c r="E1223" s="24" t="s">
        <v>4397</v>
      </c>
      <c r="F1223" s="36">
        <f t="array" ref="F1223">XLOOKUP(A1223,IMDB_Movies!I$2:I$3493,IMDB_Movies!P$2:P$3493)</f>
        <v>16067398</v>
      </c>
    </row>
    <row r="1224">
      <c r="A1224" s="11" t="s">
        <v>4399</v>
      </c>
      <c r="B1224" s="35">
        <f t="array" ref="B1224">XLOOKUP(A1224,IMDB_Movies!I$2:I$3493,IMDB_Movies!Q$2:Q$3493)</f>
        <v>0</v>
      </c>
      <c r="E1224" s="11" t="s">
        <v>4399</v>
      </c>
      <c r="F1224" s="36">
        <f t="array" ref="F1224">XLOOKUP(A1224,IMDB_Movies!I$2:I$3493,IMDB_Movies!P$2:P$3493)</f>
        <v>21111837</v>
      </c>
    </row>
    <row r="1225">
      <c r="A1225" s="11" t="s">
        <v>4404</v>
      </c>
      <c r="B1225" s="35">
        <f t="array" ref="B1225">XLOOKUP(A1225,IMDB_Movies!I$2:I$3493,IMDB_Movies!Q$2:Q$3493)</f>
        <v>64927587</v>
      </c>
      <c r="E1225" s="11" t="s">
        <v>4404</v>
      </c>
      <c r="F1225" s="36">
        <f t="array" ref="F1225">XLOOKUP(A1225,IMDB_Movies!I$2:I$3493,IMDB_Movies!P$2:P$3493)</f>
        <v>0</v>
      </c>
    </row>
    <row r="1226">
      <c r="A1226" s="28" t="s">
        <v>4406</v>
      </c>
      <c r="B1226" s="35">
        <f t="array" ref="B1226">XLOOKUP(A1226,IMDB_Movies!I$2:I$3493,IMDB_Movies!Q$2:Q$3493)</f>
        <v>0</v>
      </c>
      <c r="E1226" s="28" t="s">
        <v>4406</v>
      </c>
      <c r="F1226" s="36">
        <f t="array" ref="F1226">XLOOKUP(A1226,IMDB_Movies!I$2:I$3493,IMDB_Movies!P$2:P$3493)</f>
        <v>16496802</v>
      </c>
    </row>
    <row r="1227">
      <c r="A1227" s="11" t="s">
        <v>4411</v>
      </c>
      <c r="B1227" s="35">
        <f t="array" ref="B1227">XLOOKUP(A1227,IMDB_Movies!I$2:I$3493,IMDB_Movies!Q$2:Q$3493)</f>
        <v>0</v>
      </c>
      <c r="E1227" s="11" t="s">
        <v>4411</v>
      </c>
      <c r="F1227" s="36">
        <f t="array" ref="F1227">XLOOKUP(A1227,IMDB_Movies!I$2:I$3493,IMDB_Movies!P$2:P$3493)</f>
        <v>108132370</v>
      </c>
    </row>
    <row r="1228">
      <c r="A1228" s="20" t="s">
        <v>4415</v>
      </c>
      <c r="B1228" s="35">
        <f t="array" ref="B1228">XLOOKUP(A1228,IMDB_Movies!I$2:I$3493,IMDB_Movies!Q$2:Q$3493)</f>
        <v>1730939</v>
      </c>
      <c r="E1228" s="20" t="s">
        <v>4415</v>
      </c>
      <c r="F1228" s="36">
        <f t="array" ref="F1228">XLOOKUP(A1228,IMDB_Movies!I$2:I$3493,IMDB_Movies!P$2:P$3493)</f>
        <v>0</v>
      </c>
    </row>
    <row r="1229">
      <c r="A1229" s="20" t="s">
        <v>4418</v>
      </c>
      <c r="B1229" s="35">
        <f t="array" ref="B1229">XLOOKUP(A1229,IMDB_Movies!I$2:I$3493,IMDB_Movies!Q$2:Q$3493)</f>
        <v>9257739</v>
      </c>
      <c r="E1229" s="20" t="s">
        <v>4418</v>
      </c>
      <c r="F1229" s="36">
        <f t="array" ref="F1229">XLOOKUP(A1229,IMDB_Movies!I$2:I$3493,IMDB_Movies!P$2:P$3493)</f>
        <v>0</v>
      </c>
    </row>
    <row r="1230">
      <c r="A1230" s="16" t="s">
        <v>4420</v>
      </c>
      <c r="B1230" s="35">
        <f t="array" ref="B1230">XLOOKUP(A1230,IMDB_Movies!I$2:I$3493,IMDB_Movies!Q$2:Q$3493)</f>
        <v>10740241</v>
      </c>
      <c r="E1230" s="16" t="s">
        <v>4420</v>
      </c>
      <c r="F1230" s="36">
        <f t="array" ref="F1230">XLOOKUP(A1230,IMDB_Movies!I$2:I$3493,IMDB_Movies!P$2:P$3493)</f>
        <v>0</v>
      </c>
    </row>
    <row r="1231">
      <c r="A1231" s="20" t="s">
        <v>4423</v>
      </c>
      <c r="B1231" s="35">
        <f t="array" ref="B1231">XLOOKUP(A1231,IMDB_Movies!I$2:I$3493,IMDB_Movies!Q$2:Q$3493)</f>
        <v>23813043</v>
      </c>
      <c r="E1231" s="20" t="s">
        <v>4423</v>
      </c>
      <c r="F1231" s="36">
        <f t="array" ref="F1231">XLOOKUP(A1231,IMDB_Movies!I$2:I$3493,IMDB_Movies!P$2:P$3493)</f>
        <v>0</v>
      </c>
    </row>
    <row r="1232">
      <c r="A1232" s="24" t="s">
        <v>4425</v>
      </c>
      <c r="B1232" s="35">
        <f t="array" ref="B1232">XLOOKUP(A1232,IMDB_Movies!I$2:I$3493,IMDB_Movies!Q$2:Q$3493)</f>
        <v>0</v>
      </c>
      <c r="E1232" s="24" t="s">
        <v>4425</v>
      </c>
      <c r="F1232" s="36">
        <f t="array" ref="F1232">XLOOKUP(A1232,IMDB_Movies!I$2:I$3493,IMDB_Movies!P$2:P$3493)</f>
        <v>267262555</v>
      </c>
    </row>
    <row r="1233">
      <c r="A1233" s="11" t="s">
        <v>4427</v>
      </c>
      <c r="B1233" s="35">
        <f t="array" ref="B1233">XLOOKUP(A1233,IMDB_Movies!I$2:I$3493,IMDB_Movies!Q$2:Q$3493)</f>
        <v>91973129</v>
      </c>
      <c r="E1233" s="11" t="s">
        <v>4427</v>
      </c>
      <c r="F1233" s="36">
        <f t="array" ref="F1233">XLOOKUP(A1233,IMDB_Movies!I$2:I$3493,IMDB_Movies!P$2:P$3493)</f>
        <v>0</v>
      </c>
    </row>
    <row r="1234">
      <c r="A1234" s="11" t="s">
        <v>4430</v>
      </c>
      <c r="B1234" s="35">
        <f t="array" ref="B1234">XLOOKUP(A1234,IMDB_Movies!I$2:I$3493,IMDB_Movies!Q$2:Q$3493)</f>
        <v>0</v>
      </c>
      <c r="E1234" s="11" t="s">
        <v>4430</v>
      </c>
      <c r="F1234" s="36">
        <f t="array" ref="F1234">XLOOKUP(A1234,IMDB_Movies!I$2:I$3493,IMDB_Movies!P$2:P$3493)</f>
        <v>6019483</v>
      </c>
    </row>
    <row r="1235">
      <c r="A1235" s="11" t="s">
        <v>4434</v>
      </c>
      <c r="B1235" s="35">
        <f t="array" ref="B1235">XLOOKUP(A1235,IMDB_Movies!I$2:I$3493,IMDB_Movies!Q$2:Q$3493)</f>
        <v>7601580</v>
      </c>
      <c r="E1235" s="11" t="s">
        <v>4434</v>
      </c>
      <c r="F1235" s="36">
        <f t="array" ref="F1235">XLOOKUP(A1235,IMDB_Movies!I$2:I$3493,IMDB_Movies!P$2:P$3493)</f>
        <v>0</v>
      </c>
    </row>
    <row r="1236">
      <c r="A1236" s="24" t="s">
        <v>4436</v>
      </c>
      <c r="B1236" s="35">
        <f t="array" ref="B1236">XLOOKUP(A1236,IMDB_Movies!I$2:I$3493,IMDB_Movies!Q$2:Q$3493)</f>
        <v>17525384</v>
      </c>
      <c r="E1236" s="24" t="s">
        <v>4436</v>
      </c>
      <c r="F1236" s="36">
        <f t="array" ref="F1236">XLOOKUP(A1236,IMDB_Movies!I$2:I$3493,IMDB_Movies!P$2:P$3493)</f>
        <v>0</v>
      </c>
    </row>
    <row r="1237">
      <c r="A1237" s="28" t="s">
        <v>4439</v>
      </c>
      <c r="B1237" s="35">
        <f t="array" ref="B1237">XLOOKUP(A1237,IMDB_Movies!I$2:I$3493,IMDB_Movies!Q$2:Q$3493)</f>
        <v>8626307</v>
      </c>
      <c r="E1237" s="28" t="s">
        <v>4439</v>
      </c>
      <c r="F1237" s="36">
        <f t="array" ref="F1237">XLOOKUP(A1237,IMDB_Movies!I$2:I$3493,IMDB_Movies!P$2:P$3493)</f>
        <v>0</v>
      </c>
    </row>
    <row r="1238">
      <c r="A1238" s="20" t="s">
        <v>4442</v>
      </c>
      <c r="B1238" s="35">
        <f t="array" ref="B1238">XLOOKUP(A1238,IMDB_Movies!I$2:I$3493,IMDB_Movies!Q$2:Q$3493)</f>
        <v>8600000</v>
      </c>
      <c r="E1238" s="20" t="s">
        <v>4442</v>
      </c>
      <c r="F1238" s="36">
        <f t="array" ref="F1238">XLOOKUP(A1238,IMDB_Movies!I$2:I$3493,IMDB_Movies!P$2:P$3493)</f>
        <v>0</v>
      </c>
    </row>
    <row r="1239">
      <c r="A1239" s="28" t="s">
        <v>4445</v>
      </c>
      <c r="B1239" s="35">
        <f t="array" ref="B1239">XLOOKUP(A1239,IMDB_Movies!I$2:I$3493,IMDB_Movies!Q$2:Q$3493)</f>
        <v>31480159</v>
      </c>
      <c r="E1239" s="28" t="s">
        <v>4445</v>
      </c>
      <c r="F1239" s="36">
        <f t="array" ref="F1239">XLOOKUP(A1239,IMDB_Movies!I$2:I$3493,IMDB_Movies!P$2:P$3493)</f>
        <v>0</v>
      </c>
    </row>
    <row r="1240">
      <c r="A1240" s="11" t="s">
        <v>4449</v>
      </c>
      <c r="B1240" s="35">
        <f t="array" ref="B1240">XLOOKUP(A1240,IMDB_Movies!I$2:I$3493,IMDB_Movies!Q$2:Q$3493)</f>
        <v>0</v>
      </c>
      <c r="E1240" s="11" t="s">
        <v>4449</v>
      </c>
      <c r="F1240" s="36">
        <f t="array" ref="F1240">XLOOKUP(A1240,IMDB_Movies!I$2:I$3493,IMDB_Movies!P$2:P$3493)</f>
        <v>305024263</v>
      </c>
    </row>
    <row r="1241">
      <c r="A1241" s="11" t="s">
        <v>4452</v>
      </c>
      <c r="B1241" s="35">
        <f t="array" ref="B1241">XLOOKUP(A1241,IMDB_Movies!I$2:I$3493,IMDB_Movies!Q$2:Q$3493)</f>
        <v>0</v>
      </c>
      <c r="E1241" s="11" t="s">
        <v>4452</v>
      </c>
      <c r="F1241" s="36">
        <f t="array" ref="F1241">XLOOKUP(A1241,IMDB_Movies!I$2:I$3493,IMDB_Movies!P$2:P$3493)</f>
        <v>44590960</v>
      </c>
    </row>
    <row r="1242">
      <c r="A1242" s="11" t="s">
        <v>4454</v>
      </c>
      <c r="B1242" s="35">
        <f t="array" ref="B1242">XLOOKUP(A1242,IMDB_Movies!I$2:I$3493,IMDB_Movies!Q$2:Q$3493)</f>
        <v>0</v>
      </c>
      <c r="E1242" s="11" t="s">
        <v>4454</v>
      </c>
      <c r="F1242" s="36">
        <f t="array" ref="F1242">XLOOKUP(A1242,IMDB_Movies!I$2:I$3493,IMDB_Movies!P$2:P$3493)</f>
        <v>116275247</v>
      </c>
    </row>
    <row r="1243">
      <c r="A1243" s="32" t="s">
        <v>4456</v>
      </c>
      <c r="B1243" s="35">
        <f t="array" ref="B1243">XLOOKUP(A1243,IMDB_Movies!I$2:I$3493,IMDB_Movies!Q$2:Q$3493)</f>
        <v>0</v>
      </c>
      <c r="E1243" s="32" t="s">
        <v>4456</v>
      </c>
      <c r="F1243" s="36">
        <f t="array" ref="F1243">XLOOKUP(A1243,IMDB_Movies!I$2:I$3493,IMDB_Movies!P$2:P$3493)</f>
        <v>25707719</v>
      </c>
    </row>
    <row r="1244">
      <c r="A1244" s="11" t="s">
        <v>4460</v>
      </c>
      <c r="B1244" s="35">
        <f t="array" ref="B1244">XLOOKUP(A1244,IMDB_Movies!I$2:I$3493,IMDB_Movies!Q$2:Q$3493)</f>
        <v>903266</v>
      </c>
      <c r="E1244" s="11" t="s">
        <v>4460</v>
      </c>
      <c r="F1244" s="36">
        <f t="array" ref="F1244">XLOOKUP(A1244,IMDB_Movies!I$2:I$3493,IMDB_Movies!P$2:P$3493)</f>
        <v>0</v>
      </c>
    </row>
    <row r="1245">
      <c r="A1245" s="24" t="s">
        <v>4463</v>
      </c>
      <c r="B1245" s="35">
        <f t="array" ref="B1245">XLOOKUP(A1245,IMDB_Movies!I$2:I$3493,IMDB_Movies!Q$2:Q$3493)</f>
        <v>0</v>
      </c>
      <c r="E1245" s="24" t="s">
        <v>4463</v>
      </c>
      <c r="F1245" s="36">
        <f t="array" ref="F1245">XLOOKUP(A1245,IMDB_Movies!I$2:I$3493,IMDB_Movies!P$2:P$3493)</f>
        <v>26777564</v>
      </c>
    </row>
    <row r="1246">
      <c r="A1246" s="24" t="s">
        <v>4466</v>
      </c>
      <c r="B1246" s="35">
        <f t="array" ref="B1246">XLOOKUP(A1246,IMDB_Movies!I$2:I$3493,IMDB_Movies!Q$2:Q$3493)</f>
        <v>7242870</v>
      </c>
      <c r="E1246" s="24" t="s">
        <v>4466</v>
      </c>
      <c r="F1246" s="36">
        <f t="array" ref="F1246">XLOOKUP(A1246,IMDB_Movies!I$2:I$3493,IMDB_Movies!P$2:P$3493)</f>
        <v>0</v>
      </c>
    </row>
    <row r="1247">
      <c r="A1247" s="11" t="s">
        <v>4468</v>
      </c>
      <c r="B1247" s="35">
        <f t="array" ref="B1247">XLOOKUP(A1247,IMDB_Movies!I$2:I$3493,IMDB_Movies!Q$2:Q$3493)</f>
        <v>0</v>
      </c>
      <c r="E1247" s="11" t="s">
        <v>4468</v>
      </c>
      <c r="F1247" s="36">
        <f t="array" ref="F1247">XLOOKUP(A1247,IMDB_Movies!I$2:I$3493,IMDB_Movies!P$2:P$3493)</f>
        <v>83151473</v>
      </c>
    </row>
    <row r="1248">
      <c r="A1248" s="24" t="s">
        <v>4472</v>
      </c>
      <c r="B1248" s="35">
        <f t="array" ref="B1248">XLOOKUP(A1248,IMDB_Movies!I$2:I$3493,IMDB_Movies!Q$2:Q$3493)</f>
        <v>15000000</v>
      </c>
      <c r="E1248" s="24" t="s">
        <v>4472</v>
      </c>
      <c r="F1248" s="36">
        <f t="array" ref="F1248">XLOOKUP(A1248,IMDB_Movies!I$2:I$3493,IMDB_Movies!P$2:P$3493)</f>
        <v>0</v>
      </c>
    </row>
    <row r="1249">
      <c r="A1249" s="11" t="s">
        <v>4475</v>
      </c>
      <c r="B1249" s="35">
        <f t="array" ref="B1249">XLOOKUP(A1249,IMDB_Movies!I$2:I$3493,IMDB_Movies!Q$2:Q$3493)</f>
        <v>59768583</v>
      </c>
      <c r="E1249" s="11" t="s">
        <v>4475</v>
      </c>
      <c r="F1249" s="36">
        <f t="array" ref="F1249">XLOOKUP(A1249,IMDB_Movies!I$2:I$3493,IMDB_Movies!P$2:P$3493)</f>
        <v>0</v>
      </c>
    </row>
    <row r="1250">
      <c r="A1250" s="20" t="s">
        <v>4478</v>
      </c>
      <c r="B1250" s="35">
        <f t="array" ref="B1250">XLOOKUP(A1250,IMDB_Movies!I$2:I$3493,IMDB_Movies!Q$2:Q$3493)</f>
        <v>0</v>
      </c>
      <c r="E1250" s="20" t="s">
        <v>4478</v>
      </c>
      <c r="F1250" s="36">
        <f t="array" ref="F1250">XLOOKUP(A1250,IMDB_Movies!I$2:I$3493,IMDB_Movies!P$2:P$3493)</f>
        <v>19044241</v>
      </c>
    </row>
    <row r="1251">
      <c r="A1251" s="20" t="s">
        <v>4482</v>
      </c>
      <c r="B1251" s="35">
        <f t="array" ref="B1251">XLOOKUP(A1251,IMDB_Movies!I$2:I$3493,IMDB_Movies!Q$2:Q$3493)</f>
        <v>13414567</v>
      </c>
      <c r="E1251" s="20" t="s">
        <v>4482</v>
      </c>
      <c r="F1251" s="36">
        <f t="array" ref="F1251">XLOOKUP(A1251,IMDB_Movies!I$2:I$3493,IMDB_Movies!P$2:P$3493)</f>
        <v>0</v>
      </c>
    </row>
    <row r="1252">
      <c r="A1252" s="28" t="s">
        <v>4486</v>
      </c>
      <c r="B1252" s="35">
        <f t="array" ref="B1252">XLOOKUP(A1252,IMDB_Movies!I$2:I$3493,IMDB_Movies!Q$2:Q$3493)</f>
        <v>0</v>
      </c>
      <c r="E1252" s="28" t="s">
        <v>4486</v>
      </c>
      <c r="F1252" s="36">
        <f t="array" ref="F1252">XLOOKUP(A1252,IMDB_Movies!I$2:I$3493,IMDB_Movies!P$2:P$3493)</f>
        <v>4452209</v>
      </c>
    </row>
    <row r="1253">
      <c r="A1253" s="32" t="s">
        <v>4488</v>
      </c>
      <c r="B1253" s="35">
        <f t="array" ref="B1253">XLOOKUP(A1253,IMDB_Movies!I$2:I$3493,IMDB_Movies!Q$2:Q$3493)</f>
        <v>0</v>
      </c>
      <c r="E1253" s="32" t="s">
        <v>4488</v>
      </c>
      <c r="F1253" s="36">
        <f t="array" ref="F1253">XLOOKUP(A1253,IMDB_Movies!I$2:I$3493,IMDB_Movies!P$2:P$3493)</f>
        <v>11589307</v>
      </c>
    </row>
    <row r="1254">
      <c r="A1254" s="24" t="s">
        <v>4490</v>
      </c>
      <c r="B1254" s="35">
        <f t="array" ref="B1254">XLOOKUP(A1254,IMDB_Movies!I$2:I$3493,IMDB_Movies!Q$2:Q$3493)</f>
        <v>0</v>
      </c>
      <c r="E1254" s="24" t="s">
        <v>4490</v>
      </c>
      <c r="F1254" s="36">
        <f t="array" ref="F1254">XLOOKUP(A1254,IMDB_Movies!I$2:I$3493,IMDB_Movies!P$2:P$3493)</f>
        <v>128339411</v>
      </c>
    </row>
    <row r="1255">
      <c r="A1255" s="32" t="s">
        <v>4495</v>
      </c>
      <c r="B1255" s="35">
        <f t="array" ref="B1255">XLOOKUP(A1255,IMDB_Movies!I$2:I$3493,IMDB_Movies!Q$2:Q$3493)</f>
        <v>865951</v>
      </c>
      <c r="E1255" s="32" t="s">
        <v>4495</v>
      </c>
      <c r="F1255" s="36">
        <f t="array" ref="F1255">XLOOKUP(A1255,IMDB_Movies!I$2:I$3493,IMDB_Movies!P$2:P$3493)</f>
        <v>0</v>
      </c>
    </row>
    <row r="1256">
      <c r="A1256" s="24" t="s">
        <v>4497</v>
      </c>
      <c r="B1256" s="35">
        <f t="array" ref="B1256">XLOOKUP(A1256,IMDB_Movies!I$2:I$3493,IMDB_Movies!Q$2:Q$3493)</f>
        <v>0</v>
      </c>
      <c r="E1256" s="24" t="s">
        <v>4497</v>
      </c>
      <c r="F1256" s="36">
        <f t="array" ref="F1256">XLOOKUP(A1256,IMDB_Movies!I$2:I$3493,IMDB_Movies!P$2:P$3493)</f>
        <v>16814909</v>
      </c>
    </row>
    <row r="1257">
      <c r="A1257" s="11" t="s">
        <v>4500</v>
      </c>
      <c r="B1257" s="35">
        <f t="array" ref="B1257">XLOOKUP(A1257,IMDB_Movies!I$2:I$3493,IMDB_Movies!Q$2:Q$3493)</f>
        <v>48339916</v>
      </c>
      <c r="E1257" s="11" t="s">
        <v>4500</v>
      </c>
      <c r="F1257" s="36">
        <f t="array" ref="F1257">XLOOKUP(A1257,IMDB_Movies!I$2:I$3493,IMDB_Movies!P$2:P$3493)</f>
        <v>0</v>
      </c>
    </row>
    <row r="1258">
      <c r="A1258" s="11" t="s">
        <v>4504</v>
      </c>
      <c r="B1258" s="35">
        <f t="array" ref="B1258">XLOOKUP(A1258,IMDB_Movies!I$2:I$3493,IMDB_Movies!Q$2:Q$3493)</f>
        <v>0</v>
      </c>
      <c r="E1258" s="11" t="s">
        <v>4504</v>
      </c>
      <c r="F1258" s="36">
        <f t="array" ref="F1258">XLOOKUP(A1258,IMDB_Movies!I$2:I$3493,IMDB_Movies!P$2:P$3493)</f>
        <v>11844424</v>
      </c>
    </row>
    <row r="1259">
      <c r="A1259" s="11" t="s">
        <v>4506</v>
      </c>
      <c r="B1259" s="35">
        <f t="array" ref="B1259">XLOOKUP(A1259,IMDB_Movies!I$2:I$3493,IMDB_Movies!Q$2:Q$3493)</f>
        <v>0</v>
      </c>
      <c r="E1259" s="11" t="s">
        <v>4506</v>
      </c>
      <c r="F1259" s="36">
        <f t="array" ref="F1259">XLOOKUP(A1259,IMDB_Movies!I$2:I$3493,IMDB_Movies!P$2:P$3493)</f>
        <v>706659</v>
      </c>
    </row>
    <row r="1260">
      <c r="A1260" s="11" t="s">
        <v>4511</v>
      </c>
      <c r="B1260" s="35">
        <f t="array" ref="B1260">XLOOKUP(A1260,IMDB_Movies!I$2:I$3493,IMDB_Movies!Q$2:Q$3493)</f>
        <v>0</v>
      </c>
      <c r="E1260" s="11" t="s">
        <v>4511</v>
      </c>
      <c r="F1260" s="36">
        <f t="array" ref="F1260">XLOOKUP(A1260,IMDB_Movies!I$2:I$3493,IMDB_Movies!P$2:P$3493)</f>
        <v>33600000</v>
      </c>
    </row>
    <row r="1261">
      <c r="A1261" s="32" t="s">
        <v>4514</v>
      </c>
      <c r="B1261" s="35">
        <f t="array" ref="B1261">XLOOKUP(A1261,IMDB_Movies!I$2:I$3493,IMDB_Movies!Q$2:Q$3493)</f>
        <v>0</v>
      </c>
      <c r="E1261" s="32" t="s">
        <v>4514</v>
      </c>
      <c r="F1261" s="36">
        <f t="array" ref="F1261">XLOOKUP(A1261,IMDB_Movies!I$2:I$3493,IMDB_Movies!P$2:P$3493)</f>
        <v>1994973</v>
      </c>
    </row>
    <row r="1262">
      <c r="A1262" s="20" t="s">
        <v>4518</v>
      </c>
      <c r="B1262" s="35">
        <f t="array" ref="B1262">XLOOKUP(A1262,IMDB_Movies!I$2:I$3493,IMDB_Movies!Q$2:Q$3493)</f>
        <v>0</v>
      </c>
      <c r="E1262" s="20" t="s">
        <v>4518</v>
      </c>
      <c r="F1262" s="36">
        <f t="array" ref="F1262">XLOOKUP(A1262,IMDB_Movies!I$2:I$3493,IMDB_Movies!P$2:P$3493)</f>
        <v>23894477</v>
      </c>
    </row>
    <row r="1263">
      <c r="A1263" s="32" t="s">
        <v>4521</v>
      </c>
      <c r="B1263" s="35">
        <f t="array" ref="B1263">XLOOKUP(A1263,IMDB_Movies!I$2:I$3493,IMDB_Movies!Q$2:Q$3493)</f>
        <v>7473856</v>
      </c>
      <c r="E1263" s="32" t="s">
        <v>4521</v>
      </c>
      <c r="F1263" s="36">
        <f t="array" ref="F1263">XLOOKUP(A1263,IMDB_Movies!I$2:I$3493,IMDB_Movies!P$2:P$3493)</f>
        <v>0</v>
      </c>
    </row>
    <row r="1264">
      <c r="A1264" s="20" t="s">
        <v>4523</v>
      </c>
      <c r="B1264" s="35">
        <f t="array" ref="B1264">XLOOKUP(A1264,IMDB_Movies!I$2:I$3493,IMDB_Movies!Q$2:Q$3493)</f>
        <v>1939157</v>
      </c>
      <c r="E1264" s="20" t="s">
        <v>4523</v>
      </c>
      <c r="F1264" s="36">
        <f t="array" ref="F1264">XLOOKUP(A1264,IMDB_Movies!I$2:I$3493,IMDB_Movies!P$2:P$3493)</f>
        <v>0</v>
      </c>
    </row>
    <row r="1265">
      <c r="A1265" s="11" t="s">
        <v>4526</v>
      </c>
      <c r="B1265" s="35">
        <f t="array" ref="B1265">XLOOKUP(A1265,IMDB_Movies!I$2:I$3493,IMDB_Movies!Q$2:Q$3493)</f>
        <v>0</v>
      </c>
      <c r="E1265" s="11" t="s">
        <v>4526</v>
      </c>
      <c r="F1265" s="36">
        <f t="array" ref="F1265">XLOOKUP(A1265,IMDB_Movies!I$2:I$3493,IMDB_Movies!P$2:P$3493)</f>
        <v>1861000</v>
      </c>
    </row>
    <row r="1266">
      <c r="A1266" s="20" t="s">
        <v>4529</v>
      </c>
      <c r="B1266" s="35">
        <f t="array" ref="B1266">XLOOKUP(A1266,IMDB_Movies!I$2:I$3493,IMDB_Movies!Q$2:Q$3493)</f>
        <v>31968750</v>
      </c>
      <c r="E1266" s="20" t="s">
        <v>4529</v>
      </c>
      <c r="F1266" s="36">
        <f t="array" ref="F1266">XLOOKUP(A1266,IMDB_Movies!I$2:I$3493,IMDB_Movies!P$2:P$3493)</f>
        <v>0</v>
      </c>
    </row>
    <row r="1267">
      <c r="A1267" s="24" t="s">
        <v>4532</v>
      </c>
      <c r="B1267" s="35">
        <f t="array" ref="B1267">XLOOKUP(A1267,IMDB_Movies!I$2:I$3493,IMDB_Movies!Q$2:Q$3493)</f>
        <v>8069340</v>
      </c>
      <c r="E1267" s="24" t="s">
        <v>4532</v>
      </c>
      <c r="F1267" s="36">
        <f t="array" ref="F1267">XLOOKUP(A1267,IMDB_Movies!I$2:I$3493,IMDB_Movies!P$2:P$3493)</f>
        <v>0</v>
      </c>
    </row>
    <row r="1268">
      <c r="A1268" s="11" t="s">
        <v>4534</v>
      </c>
      <c r="B1268" s="35">
        <f t="array" ref="B1268">XLOOKUP(A1268,IMDB_Movies!I$2:I$3493,IMDB_Movies!Q$2:Q$3493)</f>
        <v>26573039</v>
      </c>
      <c r="E1268" s="11" t="s">
        <v>4534</v>
      </c>
      <c r="F1268" s="36">
        <f t="array" ref="F1268">XLOOKUP(A1268,IMDB_Movies!I$2:I$3493,IMDB_Movies!P$2:P$3493)</f>
        <v>0</v>
      </c>
    </row>
    <row r="1269">
      <c r="A1269" s="11" t="s">
        <v>4536</v>
      </c>
      <c r="B1269" s="35">
        <f t="array" ref="B1269">XLOOKUP(A1269,IMDB_Movies!I$2:I$3493,IMDB_Movies!Q$2:Q$3493)</f>
        <v>19693732</v>
      </c>
      <c r="E1269" s="11" t="s">
        <v>4536</v>
      </c>
      <c r="F1269" s="36">
        <f t="array" ref="F1269">XLOOKUP(A1269,IMDB_Movies!I$2:I$3493,IMDB_Movies!P$2:P$3493)</f>
        <v>0</v>
      </c>
    </row>
    <row r="1270">
      <c r="A1270" s="11" t="s">
        <v>4538</v>
      </c>
      <c r="B1270" s="35">
        <f t="array" ref="B1270">XLOOKUP(A1270,IMDB_Movies!I$2:I$3493,IMDB_Movies!Q$2:Q$3493)</f>
        <v>0</v>
      </c>
      <c r="E1270" s="11" t="s">
        <v>4538</v>
      </c>
      <c r="F1270" s="36">
        <f t="array" ref="F1270">XLOOKUP(A1270,IMDB_Movies!I$2:I$3493,IMDB_Movies!P$2:P$3493)</f>
        <v>24520804</v>
      </c>
    </row>
    <row r="1271">
      <c r="A1271" s="11" t="s">
        <v>4541</v>
      </c>
      <c r="B1271" s="35">
        <f t="array" ref="B1271">XLOOKUP(A1271,IMDB_Movies!I$2:I$3493,IMDB_Movies!Q$2:Q$3493)</f>
        <v>0</v>
      </c>
      <c r="E1271" s="11" t="s">
        <v>4541</v>
      </c>
      <c r="F1271" s="36">
        <f t="array" ref="F1271">XLOOKUP(A1271,IMDB_Movies!I$2:I$3493,IMDB_Movies!P$2:P$3493)</f>
        <v>85069696</v>
      </c>
    </row>
    <row r="1272">
      <c r="A1272" s="11" t="s">
        <v>4544</v>
      </c>
      <c r="B1272" s="35">
        <f t="array" ref="B1272">XLOOKUP(A1272,IMDB_Movies!I$2:I$3493,IMDB_Movies!Q$2:Q$3493)</f>
        <v>0</v>
      </c>
      <c r="E1272" s="11" t="s">
        <v>4544</v>
      </c>
      <c r="F1272" s="36">
        <f t="array" ref="F1272">XLOOKUP(A1272,IMDB_Movies!I$2:I$3493,IMDB_Movies!P$2:P$3493)</f>
        <v>85648585</v>
      </c>
    </row>
    <row r="1273">
      <c r="A1273" s="24" t="s">
        <v>4547</v>
      </c>
      <c r="B1273" s="35">
        <f t="array" ref="B1273">XLOOKUP(A1273,IMDB_Movies!I$2:I$3493,IMDB_Movies!Q$2:Q$3493)</f>
        <v>0</v>
      </c>
      <c r="E1273" s="24" t="s">
        <v>4547</v>
      </c>
      <c r="F1273" s="36">
        <f t="array" ref="F1273">XLOOKUP(A1273,IMDB_Movies!I$2:I$3493,IMDB_Movies!P$2:P$3493)</f>
        <v>11833473</v>
      </c>
    </row>
    <row r="1274">
      <c r="A1274" s="32" t="s">
        <v>4552</v>
      </c>
      <c r="B1274" s="35">
        <f t="array" ref="B1274">XLOOKUP(A1274,IMDB_Movies!I$2:I$3493,IMDB_Movies!Q$2:Q$3493)</f>
        <v>20949555</v>
      </c>
      <c r="E1274" s="32" t="s">
        <v>4552</v>
      </c>
      <c r="F1274" s="36">
        <f t="array" ref="F1274">XLOOKUP(A1274,IMDB_Movies!I$2:I$3493,IMDB_Movies!P$2:P$3493)</f>
        <v>0</v>
      </c>
    </row>
    <row r="1275">
      <c r="A1275" s="11" t="s">
        <v>4555</v>
      </c>
      <c r="B1275" s="35">
        <f t="array" ref="B1275">XLOOKUP(A1275,IMDB_Movies!I$2:I$3493,IMDB_Movies!Q$2:Q$3493)</f>
        <v>0</v>
      </c>
      <c r="E1275" s="11" t="s">
        <v>4555</v>
      </c>
      <c r="F1275" s="36">
        <f t="array" ref="F1275">XLOOKUP(A1275,IMDB_Movies!I$2:I$3493,IMDB_Movies!P$2:P$3493)</f>
        <v>4329966</v>
      </c>
    </row>
    <row r="1276">
      <c r="A1276" s="11" t="s">
        <v>4557</v>
      </c>
      <c r="B1276" s="35">
        <f t="array" ref="B1276">XLOOKUP(A1276,IMDB_Movies!I$2:I$3493,IMDB_Movies!Q$2:Q$3493)</f>
        <v>27339971</v>
      </c>
      <c r="E1276" s="11" t="s">
        <v>4557</v>
      </c>
      <c r="F1276" s="36">
        <f t="array" ref="F1276">XLOOKUP(A1276,IMDB_Movies!I$2:I$3493,IMDB_Movies!P$2:P$3493)</f>
        <v>0</v>
      </c>
    </row>
    <row r="1277">
      <c r="A1277" s="11" t="s">
        <v>4560</v>
      </c>
      <c r="B1277" s="35">
        <f t="array" ref="B1277">XLOOKUP(A1277,IMDB_Movies!I$2:I$3493,IMDB_Movies!Q$2:Q$3493)</f>
        <v>0</v>
      </c>
      <c r="E1277" s="11" t="s">
        <v>4560</v>
      </c>
      <c r="F1277" s="36">
        <f t="array" ref="F1277">XLOOKUP(A1277,IMDB_Movies!I$2:I$3493,IMDB_Movies!P$2:P$3493)</f>
        <v>14126138</v>
      </c>
    </row>
    <row r="1278">
      <c r="A1278" s="11" t="s">
        <v>4563</v>
      </c>
      <c r="B1278" s="35">
        <f t="array" ref="B1278">XLOOKUP(A1278,IMDB_Movies!I$2:I$3493,IMDB_Movies!Q$2:Q$3493)</f>
        <v>0</v>
      </c>
      <c r="E1278" s="11" t="s">
        <v>4563</v>
      </c>
      <c r="F1278" s="36">
        <f t="array" ref="F1278">XLOOKUP(A1278,IMDB_Movies!I$2:I$3493,IMDB_Movies!P$2:P$3493)</f>
        <v>11482931</v>
      </c>
    </row>
    <row r="1279">
      <c r="A1279" s="11" t="s">
        <v>4567</v>
      </c>
      <c r="B1279" s="35">
        <f t="array" ref="B1279">XLOOKUP(A1279,IMDB_Movies!I$2:I$3493,IMDB_Movies!Q$2:Q$3493)</f>
        <v>12069202</v>
      </c>
      <c r="E1279" s="11" t="s">
        <v>4567</v>
      </c>
      <c r="F1279" s="36">
        <f t="array" ref="F1279">XLOOKUP(A1279,IMDB_Movies!I$2:I$3493,IMDB_Movies!P$2:P$3493)</f>
        <v>0</v>
      </c>
    </row>
    <row r="1280">
      <c r="A1280" s="28" t="s">
        <v>4570</v>
      </c>
      <c r="B1280" s="35">
        <f t="array" ref="B1280">XLOOKUP(A1280,IMDB_Movies!I$2:I$3493,IMDB_Movies!Q$2:Q$3493)</f>
        <v>0</v>
      </c>
      <c r="E1280" s="28" t="s">
        <v>4570</v>
      </c>
      <c r="F1280" s="36">
        <f t="array" ref="F1280">XLOOKUP(A1280,IMDB_Movies!I$2:I$3493,IMDB_Movies!P$2:P$3493)</f>
        <v>125684505</v>
      </c>
    </row>
    <row r="1281">
      <c r="A1281" s="11" t="s">
        <v>4573</v>
      </c>
      <c r="B1281" s="35">
        <f t="array" ref="B1281">XLOOKUP(A1281,IMDB_Movies!I$2:I$3493,IMDB_Movies!Q$2:Q$3493)</f>
        <v>0</v>
      </c>
      <c r="E1281" s="11" t="s">
        <v>4573</v>
      </c>
      <c r="F1281" s="36">
        <f t="array" ref="F1281">XLOOKUP(A1281,IMDB_Movies!I$2:I$3493,IMDB_Movies!P$2:P$3493)</f>
        <v>32148997</v>
      </c>
    </row>
    <row r="1282">
      <c r="A1282" s="24" t="s">
        <v>4576</v>
      </c>
      <c r="B1282" s="35">
        <f t="array" ref="B1282">XLOOKUP(A1282,IMDB_Movies!I$2:I$3493,IMDB_Movies!Q$2:Q$3493)</f>
        <v>3628103</v>
      </c>
      <c r="E1282" s="24" t="s">
        <v>4576</v>
      </c>
      <c r="F1282" s="36">
        <f t="array" ref="F1282">XLOOKUP(A1282,IMDB_Movies!I$2:I$3493,IMDB_Movies!P$2:P$3493)</f>
        <v>0</v>
      </c>
    </row>
    <row r="1283">
      <c r="A1283" s="11" t="s">
        <v>4579</v>
      </c>
      <c r="B1283" s="35">
        <f t="array" ref="B1283">XLOOKUP(A1283,IMDB_Movies!I$2:I$3493,IMDB_Movies!Q$2:Q$3493)</f>
        <v>8881923</v>
      </c>
      <c r="E1283" s="11" t="s">
        <v>4579</v>
      </c>
      <c r="F1283" s="36">
        <f t="array" ref="F1283">XLOOKUP(A1283,IMDB_Movies!I$2:I$3493,IMDB_Movies!P$2:P$3493)</f>
        <v>0</v>
      </c>
    </row>
    <row r="1284">
      <c r="A1284" s="11" t="s">
        <v>4581</v>
      </c>
      <c r="B1284" s="35">
        <f t="array" ref="B1284">XLOOKUP(A1284,IMDB_Movies!I$2:I$3493,IMDB_Movies!Q$2:Q$3493)</f>
        <v>0</v>
      </c>
      <c r="E1284" s="11" t="s">
        <v>4581</v>
      </c>
      <c r="F1284" s="36">
        <f t="array" ref="F1284">XLOOKUP(A1284,IMDB_Movies!I$2:I$3493,IMDB_Movies!P$2:P$3493)</f>
        <v>56456431</v>
      </c>
    </row>
    <row r="1285">
      <c r="A1285" s="11" t="s">
        <v>4583</v>
      </c>
      <c r="B1285" s="35">
        <f t="array" ref="B1285">XLOOKUP(A1285,IMDB_Movies!I$2:I$3493,IMDB_Movies!Q$2:Q$3493)</f>
        <v>12879981</v>
      </c>
      <c r="E1285" s="11" t="s">
        <v>4583</v>
      </c>
      <c r="F1285" s="36">
        <f t="array" ref="F1285">XLOOKUP(A1285,IMDB_Movies!I$2:I$3493,IMDB_Movies!P$2:P$3493)</f>
        <v>0</v>
      </c>
    </row>
    <row r="1286">
      <c r="A1286" s="24" t="s">
        <v>4585</v>
      </c>
      <c r="B1286" s="35">
        <f t="array" ref="B1286">XLOOKUP(A1286,IMDB_Movies!I$2:I$3493,IMDB_Movies!Q$2:Q$3493)</f>
        <v>0</v>
      </c>
      <c r="E1286" s="24" t="s">
        <v>4585</v>
      </c>
      <c r="F1286" s="36">
        <f t="array" ref="F1286">XLOOKUP(A1286,IMDB_Movies!I$2:I$3493,IMDB_Movies!P$2:P$3493)</f>
        <v>403279547</v>
      </c>
    </row>
    <row r="1287">
      <c r="A1287" s="20" t="s">
        <v>4587</v>
      </c>
      <c r="B1287" s="35">
        <f t="array" ref="B1287">XLOOKUP(A1287,IMDB_Movies!I$2:I$3493,IMDB_Movies!Q$2:Q$3493)</f>
        <v>5094254</v>
      </c>
      <c r="E1287" s="20" t="s">
        <v>4587</v>
      </c>
      <c r="F1287" s="36">
        <f t="array" ref="F1287">XLOOKUP(A1287,IMDB_Movies!I$2:I$3493,IMDB_Movies!P$2:P$3493)</f>
        <v>0</v>
      </c>
    </row>
    <row r="1288">
      <c r="A1288" s="24" t="s">
        <v>4591</v>
      </c>
      <c r="B1288" s="35">
        <f t="array" ref="B1288">XLOOKUP(A1288,IMDB_Movies!I$2:I$3493,IMDB_Movies!Q$2:Q$3493)</f>
        <v>957510</v>
      </c>
      <c r="E1288" s="24" t="s">
        <v>4591</v>
      </c>
      <c r="F1288" s="36">
        <f t="array" ref="F1288">XLOOKUP(A1288,IMDB_Movies!I$2:I$3493,IMDB_Movies!P$2:P$3493)</f>
        <v>0</v>
      </c>
    </row>
    <row r="1289">
      <c r="A1289" s="16" t="s">
        <v>4594</v>
      </c>
      <c r="B1289" s="35">
        <f t="array" ref="B1289">XLOOKUP(A1289,IMDB_Movies!I$2:I$3493,IMDB_Movies!Q$2:Q$3493)</f>
        <v>0</v>
      </c>
      <c r="E1289" s="16" t="s">
        <v>4594</v>
      </c>
      <c r="F1289" s="36">
        <f t="array" ref="F1289">XLOOKUP(A1289,IMDB_Movies!I$2:I$3493,IMDB_Movies!P$2:P$3493)</f>
        <v>1019112</v>
      </c>
    </row>
    <row r="1290">
      <c r="A1290" s="11" t="s">
        <v>4598</v>
      </c>
      <c r="B1290" s="35">
        <f t="array" ref="B1290">XLOOKUP(A1290,IMDB_Movies!I$2:I$3493,IMDB_Movies!Q$2:Q$3493)</f>
        <v>9018367</v>
      </c>
      <c r="E1290" s="11" t="s">
        <v>4598</v>
      </c>
      <c r="F1290" s="36">
        <f t="array" ref="F1290">XLOOKUP(A1290,IMDB_Movies!I$2:I$3493,IMDB_Movies!P$2:P$3493)</f>
        <v>0</v>
      </c>
    </row>
    <row r="1291">
      <c r="A1291" s="11" t="s">
        <v>4602</v>
      </c>
      <c r="B1291" s="35">
        <f t="array" ref="B1291">XLOOKUP(A1291,IMDB_Movies!I$2:I$3493,IMDB_Movies!Q$2:Q$3493)</f>
        <v>0</v>
      </c>
      <c r="E1291" s="11" t="s">
        <v>4602</v>
      </c>
      <c r="F1291" s="36">
        <f t="array" ref="F1291">XLOOKUP(A1291,IMDB_Movies!I$2:I$3493,IMDB_Movies!P$2:P$3493)</f>
        <v>2558739</v>
      </c>
    </row>
    <row r="1292">
      <c r="A1292" s="11" t="s">
        <v>4604</v>
      </c>
      <c r="B1292" s="35">
        <f t="array" ref="B1292">XLOOKUP(A1292,IMDB_Movies!I$2:I$3493,IMDB_Movies!Q$2:Q$3493)</f>
        <v>0</v>
      </c>
      <c r="E1292" s="11" t="s">
        <v>4604</v>
      </c>
      <c r="F1292" s="36">
        <f t="array" ref="F1292">XLOOKUP(A1292,IMDB_Movies!I$2:I$3493,IMDB_Movies!P$2:P$3493)</f>
        <v>246623634</v>
      </c>
    </row>
    <row r="1293">
      <c r="A1293" s="28" t="s">
        <v>4607</v>
      </c>
      <c r="B1293" s="35">
        <f t="array" ref="B1293">XLOOKUP(A1293,IMDB_Movies!I$2:I$3493,IMDB_Movies!Q$2:Q$3493)</f>
        <v>0</v>
      </c>
      <c r="E1293" s="28" t="s">
        <v>4607</v>
      </c>
      <c r="F1293" s="36">
        <f t="array" ref="F1293">XLOOKUP(A1293,IMDB_Movies!I$2:I$3493,IMDB_Movies!P$2:P$3493)</f>
        <v>66021565</v>
      </c>
    </row>
    <row r="1294">
      <c r="A1294" s="24" t="s">
        <v>4609</v>
      </c>
      <c r="B1294" s="35">
        <f t="array" ref="B1294">XLOOKUP(A1294,IMDB_Movies!I$2:I$3493,IMDB_Movies!Q$2:Q$3493)</f>
        <v>2216223</v>
      </c>
      <c r="E1294" s="24" t="s">
        <v>4609</v>
      </c>
      <c r="F1294" s="36">
        <f t="array" ref="F1294">XLOOKUP(A1294,IMDB_Movies!I$2:I$3493,IMDB_Movies!P$2:P$3493)</f>
        <v>0</v>
      </c>
    </row>
    <row r="1295">
      <c r="A1295" s="28" t="s">
        <v>4611</v>
      </c>
      <c r="B1295" s="35">
        <f t="array" ref="B1295">XLOOKUP(A1295,IMDB_Movies!I$2:I$3493,IMDB_Movies!Q$2:Q$3493)</f>
        <v>0</v>
      </c>
      <c r="E1295" s="28" t="s">
        <v>4611</v>
      </c>
      <c r="F1295" s="36">
        <f t="array" ref="F1295">XLOOKUP(A1295,IMDB_Movies!I$2:I$3493,IMDB_Movies!P$2:P$3493)</f>
        <v>42235322</v>
      </c>
    </row>
    <row r="1296">
      <c r="A1296" s="28" t="s">
        <v>4615</v>
      </c>
      <c r="B1296" s="35">
        <f t="array" ref="B1296">XLOOKUP(A1296,IMDB_Movies!I$2:I$3493,IMDB_Movies!Q$2:Q$3493)</f>
        <v>0</v>
      </c>
      <c r="E1296" s="28" t="s">
        <v>4615</v>
      </c>
      <c r="F1296" s="36">
        <f t="array" ref="F1296">XLOOKUP(A1296,IMDB_Movies!I$2:I$3493,IMDB_Movies!P$2:P$3493)</f>
        <v>10248063</v>
      </c>
    </row>
    <row r="1297">
      <c r="A1297" s="20" t="s">
        <v>4618</v>
      </c>
      <c r="B1297" s="35">
        <f t="array" ref="B1297">XLOOKUP(A1297,IMDB_Movies!I$2:I$3493,IMDB_Movies!Q$2:Q$3493)</f>
        <v>0</v>
      </c>
      <c r="E1297" s="20" t="s">
        <v>4618</v>
      </c>
      <c r="F1297" s="36">
        <f t="array" ref="F1297">XLOOKUP(A1297,IMDB_Movies!I$2:I$3493,IMDB_Movies!P$2:P$3493)</f>
        <v>3393765</v>
      </c>
    </row>
    <row r="1298">
      <c r="A1298" s="16" t="s">
        <v>4621</v>
      </c>
      <c r="B1298" s="35">
        <f t="array" ref="B1298">XLOOKUP(A1298,IMDB_Movies!I$2:I$3493,IMDB_Movies!Q$2:Q$3493)</f>
        <v>0</v>
      </c>
      <c r="E1298" s="16" t="s">
        <v>4621</v>
      </c>
      <c r="F1298" s="36">
        <f t="array" ref="F1298">XLOOKUP(A1298,IMDB_Movies!I$2:I$3493,IMDB_Movies!P$2:P$3493)</f>
        <v>15332007</v>
      </c>
    </row>
    <row r="1299">
      <c r="A1299" s="20" t="s">
        <v>4625</v>
      </c>
      <c r="B1299" s="35">
        <f t="array" ref="B1299">XLOOKUP(A1299,IMDB_Movies!I$2:I$3493,IMDB_Movies!Q$2:Q$3493)</f>
        <v>23315181</v>
      </c>
      <c r="E1299" s="20" t="s">
        <v>4625</v>
      </c>
      <c r="F1299" s="36">
        <f t="array" ref="F1299">XLOOKUP(A1299,IMDB_Movies!I$2:I$3493,IMDB_Movies!P$2:P$3493)</f>
        <v>0</v>
      </c>
    </row>
    <row r="1300">
      <c r="A1300" s="24" t="s">
        <v>4627</v>
      </c>
      <c r="B1300" s="35">
        <f t="array" ref="B1300">XLOOKUP(A1300,IMDB_Movies!I$2:I$3493,IMDB_Movies!Q$2:Q$3493)</f>
        <v>0</v>
      </c>
      <c r="E1300" s="24" t="s">
        <v>4627</v>
      </c>
      <c r="F1300" s="36">
        <f t="array" ref="F1300">XLOOKUP(A1300,IMDB_Movies!I$2:I$3493,IMDB_Movies!P$2:P$3493)</f>
        <v>28700000</v>
      </c>
    </row>
    <row r="1301">
      <c r="A1301" s="24" t="s">
        <v>4631</v>
      </c>
      <c r="B1301" s="35">
        <f t="array" ref="B1301">XLOOKUP(A1301,IMDB_Movies!I$2:I$3493,IMDB_Movies!Q$2:Q$3493)</f>
        <v>605096</v>
      </c>
      <c r="E1301" s="24" t="s">
        <v>4631</v>
      </c>
      <c r="F1301" s="36">
        <f t="array" ref="F1301">XLOOKUP(A1301,IMDB_Movies!I$2:I$3493,IMDB_Movies!P$2:P$3493)</f>
        <v>0</v>
      </c>
    </row>
    <row r="1302">
      <c r="A1302" s="28" t="s">
        <v>4633</v>
      </c>
      <c r="B1302" s="35">
        <f t="array" ref="B1302">XLOOKUP(A1302,IMDB_Movies!I$2:I$3493,IMDB_Movies!Q$2:Q$3493)</f>
        <v>0</v>
      </c>
      <c r="E1302" s="28" t="s">
        <v>4633</v>
      </c>
      <c r="F1302" s="36">
        <f t="array" ref="F1302">XLOOKUP(A1302,IMDB_Movies!I$2:I$3493,IMDB_Movies!P$2:P$3493)</f>
        <v>51083765</v>
      </c>
    </row>
    <row r="1303">
      <c r="A1303" s="11" t="s">
        <v>4635</v>
      </c>
      <c r="B1303" s="35">
        <f t="array" ref="B1303">XLOOKUP(A1303,IMDB_Movies!I$2:I$3493,IMDB_Movies!Q$2:Q$3493)</f>
        <v>74088170</v>
      </c>
      <c r="E1303" s="11" t="s">
        <v>4635</v>
      </c>
      <c r="F1303" s="36">
        <f t="array" ref="F1303">XLOOKUP(A1303,IMDB_Movies!I$2:I$3493,IMDB_Movies!P$2:P$3493)</f>
        <v>0</v>
      </c>
    </row>
    <row r="1304">
      <c r="A1304" s="24" t="s">
        <v>4640</v>
      </c>
      <c r="B1304" s="35">
        <f t="array" ref="B1304">XLOOKUP(A1304,IMDB_Movies!I$2:I$3493,IMDB_Movies!Q$2:Q$3493)</f>
        <v>45940982</v>
      </c>
      <c r="E1304" s="24" t="s">
        <v>4640</v>
      </c>
      <c r="F1304" s="36">
        <f t="array" ref="F1304">XLOOKUP(A1304,IMDB_Movies!I$2:I$3493,IMDB_Movies!P$2:P$3493)</f>
        <v>0</v>
      </c>
    </row>
    <row r="1305">
      <c r="A1305" s="11" t="s">
        <v>4644</v>
      </c>
      <c r="B1305" s="35">
        <f t="array" ref="B1305">XLOOKUP(A1305,IMDB_Movies!I$2:I$3493,IMDB_Movies!Q$2:Q$3493)</f>
        <v>0</v>
      </c>
      <c r="E1305" s="11" t="s">
        <v>4644</v>
      </c>
      <c r="F1305" s="36">
        <f t="array" ref="F1305">XLOOKUP(A1305,IMDB_Movies!I$2:I$3493,IMDB_Movies!P$2:P$3493)</f>
        <v>46501438</v>
      </c>
    </row>
    <row r="1306">
      <c r="A1306" s="28" t="s">
        <v>4646</v>
      </c>
      <c r="B1306" s="35">
        <f t="array" ref="B1306">XLOOKUP(A1306,IMDB_Movies!I$2:I$3493,IMDB_Movies!Q$2:Q$3493)</f>
        <v>0</v>
      </c>
      <c r="E1306" s="28" t="s">
        <v>4646</v>
      </c>
      <c r="F1306" s="36">
        <f t="array" ref="F1306">XLOOKUP(A1306,IMDB_Movies!I$2:I$3493,IMDB_Movies!P$2:P$3493)</f>
        <v>98405771</v>
      </c>
    </row>
    <row r="1307">
      <c r="A1307" s="24" t="s">
        <v>4649</v>
      </c>
      <c r="B1307" s="35">
        <f t="array" ref="B1307">XLOOKUP(A1307,IMDB_Movies!I$2:I$3493,IMDB_Movies!Q$2:Q$3493)</f>
        <v>0</v>
      </c>
      <c r="E1307" s="24" t="s">
        <v>4649</v>
      </c>
      <c r="F1307" s="36">
        <f t="array" ref="F1307">XLOOKUP(A1307,IMDB_Movies!I$2:I$3493,IMDB_Movies!P$2:P$3493)</f>
        <v>1273984</v>
      </c>
    </row>
    <row r="1308">
      <c r="A1308" s="28" t="s">
        <v>4653</v>
      </c>
      <c r="B1308" s="35">
        <f t="array" ref="B1308">XLOOKUP(A1308,IMDB_Movies!I$2:I$3493,IMDB_Movies!Q$2:Q$3493)</f>
        <v>23962091</v>
      </c>
      <c r="E1308" s="28" t="s">
        <v>4653</v>
      </c>
      <c r="F1308" s="36">
        <f t="array" ref="F1308">XLOOKUP(A1308,IMDB_Movies!I$2:I$3493,IMDB_Movies!P$2:P$3493)</f>
        <v>0</v>
      </c>
    </row>
    <row r="1309">
      <c r="A1309" s="20" t="s">
        <v>4655</v>
      </c>
      <c r="B1309" s="35">
        <f t="array" ref="B1309">XLOOKUP(A1309,IMDB_Movies!I$2:I$3493,IMDB_Movies!Q$2:Q$3493)</f>
        <v>54684676</v>
      </c>
      <c r="E1309" s="20" t="s">
        <v>4655</v>
      </c>
      <c r="F1309" s="36">
        <f t="array" ref="F1309">XLOOKUP(A1309,IMDB_Movies!I$2:I$3493,IMDB_Movies!P$2:P$3493)</f>
        <v>0</v>
      </c>
    </row>
    <row r="1310">
      <c r="A1310" s="28" t="s">
        <v>4657</v>
      </c>
      <c r="B1310" s="35">
        <f t="array" ref="B1310">XLOOKUP(A1310,IMDB_Movies!I$2:I$3493,IMDB_Movies!Q$2:Q$3493)</f>
        <v>0</v>
      </c>
      <c r="E1310" s="28" t="s">
        <v>4657</v>
      </c>
      <c r="F1310" s="36">
        <f t="array" ref="F1310">XLOOKUP(A1310,IMDB_Movies!I$2:I$3493,IMDB_Movies!P$2:P$3493)</f>
        <v>23021560</v>
      </c>
    </row>
    <row r="1311">
      <c r="A1311" s="11" t="s">
        <v>4659</v>
      </c>
      <c r="B1311" s="35">
        <f t="array" ref="B1311">XLOOKUP(A1311,IMDB_Movies!I$2:I$3493,IMDB_Movies!Q$2:Q$3493)</f>
        <v>12122192</v>
      </c>
      <c r="E1311" s="11" t="s">
        <v>4659</v>
      </c>
      <c r="F1311" s="36">
        <f t="array" ref="F1311">XLOOKUP(A1311,IMDB_Movies!I$2:I$3493,IMDB_Movies!P$2:P$3493)</f>
        <v>0</v>
      </c>
    </row>
    <row r="1312">
      <c r="A1312" s="20" t="s">
        <v>4663</v>
      </c>
      <c r="B1312" s="35">
        <f t="array" ref="B1312">XLOOKUP(A1312,IMDB_Movies!I$2:I$3493,IMDB_Movies!Q$2:Q$3493)</f>
        <v>0</v>
      </c>
      <c r="E1312" s="20" t="s">
        <v>4663</v>
      </c>
      <c r="F1312" s="36">
        <f t="array" ref="F1312">XLOOKUP(A1312,IMDB_Movies!I$2:I$3493,IMDB_Movies!P$2:P$3493)</f>
        <v>79443253</v>
      </c>
    </row>
    <row r="1313">
      <c r="A1313" s="16" t="s">
        <v>4667</v>
      </c>
      <c r="B1313" s="35">
        <f t="array" ref="B1313">XLOOKUP(A1313,IMDB_Movies!I$2:I$3493,IMDB_Movies!Q$2:Q$3493)</f>
        <v>15622726</v>
      </c>
      <c r="E1313" s="16" t="s">
        <v>4667</v>
      </c>
      <c r="F1313" s="36">
        <f t="array" ref="F1313">XLOOKUP(A1313,IMDB_Movies!I$2:I$3493,IMDB_Movies!P$2:P$3493)</f>
        <v>0</v>
      </c>
    </row>
    <row r="1314">
      <c r="A1314" s="11" t="s">
        <v>4669</v>
      </c>
      <c r="B1314" s="35">
        <f t="array" ref="B1314">XLOOKUP(A1314,IMDB_Movies!I$2:I$3493,IMDB_Movies!Q$2:Q$3493)</f>
        <v>0</v>
      </c>
      <c r="E1314" s="11" t="s">
        <v>4669</v>
      </c>
      <c r="F1314" s="36">
        <f t="array" ref="F1314">XLOOKUP(A1314,IMDB_Movies!I$2:I$3493,IMDB_Movies!P$2:P$3493)</f>
        <v>17895491</v>
      </c>
    </row>
    <row r="1315">
      <c r="A1315" s="11" t="s">
        <v>4671</v>
      </c>
      <c r="B1315" s="35">
        <f t="array" ref="B1315">XLOOKUP(A1315,IMDB_Movies!I$2:I$3493,IMDB_Movies!Q$2:Q$3493)</f>
        <v>0</v>
      </c>
      <c r="E1315" s="11" t="s">
        <v>4671</v>
      </c>
      <c r="F1315" s="36">
        <f t="array" ref="F1315">XLOOKUP(A1315,IMDB_Movies!I$2:I$3493,IMDB_Movies!P$2:P$3493)</f>
        <v>31900000</v>
      </c>
    </row>
    <row r="1316">
      <c r="A1316" s="28" t="s">
        <v>4675</v>
      </c>
      <c r="B1316" s="35">
        <f t="array" ref="B1316">XLOOKUP(A1316,IMDB_Movies!I$2:I$3493,IMDB_Movies!Q$2:Q$3493)</f>
        <v>0</v>
      </c>
      <c r="E1316" s="28" t="s">
        <v>4675</v>
      </c>
      <c r="F1316" s="36">
        <f t="array" ref="F1316">XLOOKUP(A1316,IMDB_Movies!I$2:I$3493,IMDB_Movies!P$2:P$3493)</f>
        <v>41000000</v>
      </c>
    </row>
    <row r="1317">
      <c r="A1317" s="24" t="s">
        <v>4678</v>
      </c>
      <c r="B1317" s="35">
        <f t="array" ref="B1317">XLOOKUP(A1317,IMDB_Movies!I$2:I$3493,IMDB_Movies!Q$2:Q$3493)</f>
        <v>0</v>
      </c>
      <c r="E1317" s="24" t="s">
        <v>4678</v>
      </c>
      <c r="F1317" s="36">
        <f t="array" ref="F1317">XLOOKUP(A1317,IMDB_Movies!I$2:I$3493,IMDB_Movies!P$2:P$3493)</f>
        <v>19779400</v>
      </c>
    </row>
    <row r="1318">
      <c r="A1318" s="20" t="s">
        <v>4683</v>
      </c>
      <c r="B1318" s="35">
        <f t="array" ref="B1318">XLOOKUP(A1318,IMDB_Movies!I$2:I$3493,IMDB_Movies!Q$2:Q$3493)</f>
        <v>2567658</v>
      </c>
      <c r="E1318" s="20" t="s">
        <v>4683</v>
      </c>
      <c r="F1318" s="36">
        <f t="array" ref="F1318">XLOOKUP(A1318,IMDB_Movies!I$2:I$3493,IMDB_Movies!P$2:P$3493)</f>
        <v>0</v>
      </c>
    </row>
    <row r="1319">
      <c r="A1319" s="24" t="s">
        <v>4687</v>
      </c>
      <c r="B1319" s="35">
        <f t="array" ref="B1319">XLOOKUP(A1319,IMDB_Movies!I$2:I$3493,IMDB_Movies!Q$2:Q$3493)</f>
        <v>0</v>
      </c>
      <c r="E1319" s="24" t="s">
        <v>4687</v>
      </c>
      <c r="F1319" s="36">
        <f t="array" ref="F1319">XLOOKUP(A1319,IMDB_Movies!I$2:I$3493,IMDB_Movies!P$2:P$3493)</f>
        <v>1109095</v>
      </c>
    </row>
    <row r="1320">
      <c r="A1320" s="11" t="s">
        <v>4689</v>
      </c>
      <c r="B1320" s="35">
        <f t="array" ref="B1320">XLOOKUP(A1320,IMDB_Movies!I$2:I$3493,IMDB_Movies!Q$2:Q$3493)</f>
        <v>0</v>
      </c>
      <c r="E1320" s="11" t="s">
        <v>4689</v>
      </c>
      <c r="F1320" s="36">
        <f t="array" ref="F1320">XLOOKUP(A1320,IMDB_Movies!I$2:I$3493,IMDB_Movies!P$2:P$3493)</f>
        <v>29883016</v>
      </c>
    </row>
    <row r="1321">
      <c r="A1321" s="11" t="s">
        <v>4692</v>
      </c>
      <c r="B1321" s="35">
        <f t="array" ref="B1321">XLOOKUP(A1321,IMDB_Movies!I$2:I$3493,IMDB_Movies!Q$2:Q$3493)</f>
        <v>0</v>
      </c>
      <c r="E1321" s="11" t="s">
        <v>4692</v>
      </c>
      <c r="F1321" s="36">
        <f t="array" ref="F1321">XLOOKUP(A1321,IMDB_Movies!I$2:I$3493,IMDB_Movies!P$2:P$3493)</f>
        <v>3842000</v>
      </c>
    </row>
    <row r="1322">
      <c r="A1322" s="28" t="s">
        <v>4695</v>
      </c>
      <c r="B1322" s="35">
        <f t="array" ref="B1322">XLOOKUP(A1322,IMDB_Movies!I$2:I$3493,IMDB_Movies!Q$2:Q$3493)</f>
        <v>6785970</v>
      </c>
      <c r="E1322" s="28" t="s">
        <v>4695</v>
      </c>
      <c r="F1322" s="36">
        <f t="array" ref="F1322">XLOOKUP(A1322,IMDB_Movies!I$2:I$3493,IMDB_Movies!P$2:P$3493)</f>
        <v>0</v>
      </c>
    </row>
    <row r="1323">
      <c r="A1323" s="11" t="s">
        <v>4698</v>
      </c>
      <c r="B1323" s="35">
        <f t="array" ref="B1323">XLOOKUP(A1323,IMDB_Movies!I$2:I$3493,IMDB_Movies!Q$2:Q$3493)</f>
        <v>39871022</v>
      </c>
      <c r="E1323" s="11" t="s">
        <v>4698</v>
      </c>
      <c r="F1323" s="36">
        <f t="array" ref="F1323">XLOOKUP(A1323,IMDB_Movies!I$2:I$3493,IMDB_Movies!P$2:P$3493)</f>
        <v>0</v>
      </c>
    </row>
    <row r="1324">
      <c r="A1324" s="24" t="s">
        <v>4701</v>
      </c>
      <c r="B1324" s="35">
        <f t="array" ref="B1324">XLOOKUP(A1324,IMDB_Movies!I$2:I$3493,IMDB_Movies!Q$2:Q$3493)</f>
        <v>0</v>
      </c>
      <c r="E1324" s="24" t="s">
        <v>4701</v>
      </c>
      <c r="F1324" s="36">
        <f t="array" ref="F1324">XLOOKUP(A1324,IMDB_Movies!I$2:I$3493,IMDB_Movies!P$2:P$3493)</f>
        <v>55034302</v>
      </c>
    </row>
    <row r="1325">
      <c r="A1325" s="11" t="s">
        <v>4703</v>
      </c>
      <c r="B1325" s="35">
        <f t="array" ref="B1325">XLOOKUP(A1325,IMDB_Movies!I$2:I$3493,IMDB_Movies!Q$2:Q$3493)</f>
        <v>0</v>
      </c>
      <c r="E1325" s="11" t="s">
        <v>4703</v>
      </c>
      <c r="F1325" s="36">
        <f t="array" ref="F1325">XLOOKUP(A1325,IMDB_Movies!I$2:I$3493,IMDB_Movies!P$2:P$3493)</f>
        <v>33983001</v>
      </c>
    </row>
    <row r="1326">
      <c r="A1326" s="28" t="s">
        <v>4707</v>
      </c>
      <c r="B1326" s="35">
        <f t="array" ref="B1326">XLOOKUP(A1326,IMDB_Movies!I$2:I$3493,IMDB_Movies!Q$2:Q$3493)</f>
        <v>0</v>
      </c>
      <c r="E1326" s="28" t="s">
        <v>4707</v>
      </c>
      <c r="F1326" s="36">
        <f t="array" ref="F1326">XLOOKUP(A1326,IMDB_Movies!I$2:I$3493,IMDB_Movies!P$2:P$3493)</f>
        <v>17736779</v>
      </c>
    </row>
    <row r="1327">
      <c r="A1327" s="11" t="s">
        <v>4710</v>
      </c>
      <c r="B1327" s="35">
        <f t="array" ref="B1327">XLOOKUP(A1327,IMDB_Movies!I$2:I$3493,IMDB_Movies!Q$2:Q$3493)</f>
        <v>38911390</v>
      </c>
      <c r="E1327" s="11" t="s">
        <v>4710</v>
      </c>
      <c r="F1327" s="36">
        <f t="array" ref="F1327">XLOOKUP(A1327,IMDB_Movies!I$2:I$3493,IMDB_Movies!P$2:P$3493)</f>
        <v>0</v>
      </c>
    </row>
    <row r="1328">
      <c r="A1328" s="28" t="s">
        <v>4713</v>
      </c>
      <c r="B1328" s="35">
        <f t="array" ref="B1328">XLOOKUP(A1328,IMDB_Movies!I$2:I$3493,IMDB_Movies!Q$2:Q$3493)</f>
        <v>2737058</v>
      </c>
      <c r="E1328" s="28" t="s">
        <v>4713</v>
      </c>
      <c r="F1328" s="36">
        <f t="array" ref="F1328">XLOOKUP(A1328,IMDB_Movies!I$2:I$3493,IMDB_Movies!P$2:P$3493)</f>
        <v>0</v>
      </c>
    </row>
    <row r="1329">
      <c r="A1329" s="20" t="s">
        <v>4717</v>
      </c>
      <c r="B1329" s="35">
        <f t="array" ref="B1329">XLOOKUP(A1329,IMDB_Movies!I$2:I$3493,IMDB_Movies!Q$2:Q$3493)</f>
        <v>1394057</v>
      </c>
      <c r="E1329" s="20" t="s">
        <v>4717</v>
      </c>
      <c r="F1329" s="36">
        <f t="array" ref="F1329">XLOOKUP(A1329,IMDB_Movies!I$2:I$3493,IMDB_Movies!P$2:P$3493)</f>
        <v>0</v>
      </c>
    </row>
    <row r="1330">
      <c r="A1330" s="20" t="s">
        <v>4719</v>
      </c>
      <c r="B1330" s="35">
        <f t="array" ref="B1330">XLOOKUP(A1330,IMDB_Movies!I$2:I$3493,IMDB_Movies!Q$2:Q$3493)</f>
        <v>0</v>
      </c>
      <c r="E1330" s="20" t="s">
        <v>4719</v>
      </c>
      <c r="F1330" s="36">
        <f t="array" ref="F1330">XLOOKUP(A1330,IMDB_Movies!I$2:I$3493,IMDB_Movies!P$2:P$3493)</f>
        <v>142000866</v>
      </c>
    </row>
    <row r="1331">
      <c r="A1331" s="11" t="s">
        <v>4722</v>
      </c>
      <c r="B1331" s="35">
        <f t="array" ref="B1331">XLOOKUP(A1331,IMDB_Movies!I$2:I$3493,IMDB_Movies!Q$2:Q$3493)</f>
        <v>0</v>
      </c>
      <c r="E1331" s="11" t="s">
        <v>4722</v>
      </c>
      <c r="F1331" s="36">
        <f t="array" ref="F1331">XLOOKUP(A1331,IMDB_Movies!I$2:I$3493,IMDB_Movies!P$2:P$3493)</f>
        <v>44808372</v>
      </c>
    </row>
    <row r="1332">
      <c r="A1332" s="20" t="s">
        <v>4726</v>
      </c>
      <c r="B1332" s="35">
        <f t="array" ref="B1332">XLOOKUP(A1332,IMDB_Movies!I$2:I$3493,IMDB_Movies!Q$2:Q$3493)</f>
        <v>12086323</v>
      </c>
      <c r="E1332" s="20" t="s">
        <v>4726</v>
      </c>
      <c r="F1332" s="36">
        <f t="array" ref="F1332">XLOOKUP(A1332,IMDB_Movies!I$2:I$3493,IMDB_Movies!P$2:P$3493)</f>
        <v>0</v>
      </c>
    </row>
    <row r="1333">
      <c r="A1333" s="32" t="s">
        <v>4728</v>
      </c>
      <c r="B1333" s="35">
        <f t="array" ref="B1333">XLOOKUP(A1333,IMDB_Movies!I$2:I$3493,IMDB_Movies!Q$2:Q$3493)</f>
        <v>0</v>
      </c>
      <c r="E1333" s="32" t="s">
        <v>4728</v>
      </c>
      <c r="F1333" s="36">
        <f t="array" ref="F1333">XLOOKUP(A1333,IMDB_Movies!I$2:I$3493,IMDB_Movies!P$2:P$3493)</f>
        <v>22418902</v>
      </c>
    </row>
    <row r="1334">
      <c r="A1334" s="11" t="s">
        <v>4733</v>
      </c>
      <c r="B1334" s="35">
        <f t="array" ref="B1334">XLOOKUP(A1334,IMDB_Movies!I$2:I$3493,IMDB_Movies!Q$2:Q$3493)</f>
        <v>0</v>
      </c>
      <c r="E1334" s="11" t="s">
        <v>4733</v>
      </c>
      <c r="F1334" s="36">
        <f t="array" ref="F1334">XLOOKUP(A1334,IMDB_Movies!I$2:I$3493,IMDB_Movies!P$2:P$3493)</f>
        <v>15281507</v>
      </c>
    </row>
    <row r="1335">
      <c r="A1335" s="11" t="s">
        <v>4738</v>
      </c>
      <c r="B1335" s="35">
        <f t="array" ref="B1335">XLOOKUP(A1335,IMDB_Movies!I$2:I$3493,IMDB_Movies!Q$2:Q$3493)</f>
        <v>0</v>
      </c>
      <c r="E1335" s="11" t="s">
        <v>4738</v>
      </c>
      <c r="F1335" s="36">
        <f t="array" ref="F1335">XLOOKUP(A1335,IMDB_Movies!I$2:I$3493,IMDB_Movies!P$2:P$3493)</f>
        <v>28939454</v>
      </c>
    </row>
    <row r="1336">
      <c r="A1336" s="11" t="s">
        <v>4741</v>
      </c>
      <c r="B1336" s="35">
        <f t="array" ref="B1336">XLOOKUP(A1336,IMDB_Movies!I$2:I$3493,IMDB_Movies!Q$2:Q$3493)</f>
        <v>0</v>
      </c>
      <c r="E1336" s="11" t="s">
        <v>4741</v>
      </c>
      <c r="F1336" s="36">
        <f t="array" ref="F1336">XLOOKUP(A1336,IMDB_Movies!I$2:I$3493,IMDB_Movies!P$2:P$3493)</f>
        <v>68845130</v>
      </c>
    </row>
    <row r="1337">
      <c r="A1337" s="11" t="s">
        <v>4743</v>
      </c>
      <c r="B1337" s="35">
        <f t="array" ref="B1337">XLOOKUP(A1337,IMDB_Movies!I$2:I$3493,IMDB_Movies!Q$2:Q$3493)</f>
        <v>0</v>
      </c>
      <c r="E1337" s="11" t="s">
        <v>4743</v>
      </c>
      <c r="F1337" s="36">
        <f t="array" ref="F1337">XLOOKUP(A1337,IMDB_Movies!I$2:I$3493,IMDB_Movies!P$2:P$3493)</f>
        <v>7862546</v>
      </c>
    </row>
    <row r="1338">
      <c r="A1338" s="24" t="s">
        <v>4746</v>
      </c>
      <c r="B1338" s="35">
        <f t="array" ref="B1338">XLOOKUP(A1338,IMDB_Movies!I$2:I$3493,IMDB_Movies!Q$2:Q$3493)</f>
        <v>0</v>
      </c>
      <c r="E1338" s="24" t="s">
        <v>4746</v>
      </c>
      <c r="F1338" s="36">
        <f t="array" ref="F1338">XLOOKUP(A1338,IMDB_Movies!I$2:I$3493,IMDB_Movies!P$2:P$3493)</f>
        <v>3000000</v>
      </c>
    </row>
    <row r="1339">
      <c r="A1339" s="20" t="s">
        <v>4749</v>
      </c>
      <c r="B1339" s="35">
        <f t="array" ref="B1339">XLOOKUP(A1339,IMDB_Movies!I$2:I$3493,IMDB_Movies!Q$2:Q$3493)</f>
        <v>10439741</v>
      </c>
      <c r="E1339" s="20" t="s">
        <v>4749</v>
      </c>
      <c r="F1339" s="36">
        <f t="array" ref="F1339">XLOOKUP(A1339,IMDB_Movies!I$2:I$3493,IMDB_Movies!P$2:P$3493)</f>
        <v>0</v>
      </c>
    </row>
    <row r="1340">
      <c r="A1340" s="24" t="s">
        <v>4754</v>
      </c>
      <c r="B1340" s="35">
        <f t="array" ref="B1340">XLOOKUP(A1340,IMDB_Movies!I$2:I$3493,IMDB_Movies!Q$2:Q$3493)</f>
        <v>16480373</v>
      </c>
      <c r="E1340" s="24" t="s">
        <v>4754</v>
      </c>
      <c r="F1340" s="36">
        <f t="array" ref="F1340">XLOOKUP(A1340,IMDB_Movies!I$2:I$3493,IMDB_Movies!P$2:P$3493)</f>
        <v>0</v>
      </c>
    </row>
    <row r="1341">
      <c r="A1341" s="20" t="s">
        <v>4757</v>
      </c>
      <c r="B1341" s="35">
        <f t="array" ref="B1341">XLOOKUP(A1341,IMDB_Movies!I$2:I$3493,IMDB_Movies!Q$2:Q$3493)</f>
        <v>6457975</v>
      </c>
      <c r="E1341" s="20" t="s">
        <v>4757</v>
      </c>
      <c r="F1341" s="36">
        <f t="array" ref="F1341">XLOOKUP(A1341,IMDB_Movies!I$2:I$3493,IMDB_Movies!P$2:P$3493)</f>
        <v>0</v>
      </c>
    </row>
    <row r="1342">
      <c r="A1342" s="11" t="s">
        <v>4762</v>
      </c>
      <c r="B1342" s="35">
        <f t="array" ref="B1342">XLOOKUP(A1342,IMDB_Movies!I$2:I$3493,IMDB_Movies!Q$2:Q$3493)</f>
        <v>39335749</v>
      </c>
      <c r="E1342" s="11" t="s">
        <v>4762</v>
      </c>
      <c r="F1342" s="36">
        <f t="array" ref="F1342">XLOOKUP(A1342,IMDB_Movies!I$2:I$3493,IMDB_Movies!P$2:P$3493)</f>
        <v>0</v>
      </c>
    </row>
    <row r="1343">
      <c r="A1343" s="20" t="s">
        <v>4765</v>
      </c>
      <c r="B1343" s="35">
        <f t="array" ref="B1343">XLOOKUP(A1343,IMDB_Movies!I$2:I$3493,IMDB_Movies!Q$2:Q$3493)</f>
        <v>0</v>
      </c>
      <c r="E1343" s="20" t="s">
        <v>4765</v>
      </c>
      <c r="F1343" s="36">
        <f t="array" ref="F1343">XLOOKUP(A1343,IMDB_Movies!I$2:I$3493,IMDB_Movies!P$2:P$3493)</f>
        <v>28546578</v>
      </c>
    </row>
    <row r="1344">
      <c r="A1344" s="11" t="s">
        <v>4767</v>
      </c>
      <c r="B1344" s="35">
        <f t="array" ref="B1344">XLOOKUP(A1344,IMDB_Movies!I$2:I$3493,IMDB_Movies!Q$2:Q$3493)</f>
        <v>13900000</v>
      </c>
      <c r="E1344" s="11" t="s">
        <v>4767</v>
      </c>
      <c r="F1344" s="36">
        <f t="array" ref="F1344">XLOOKUP(A1344,IMDB_Movies!I$2:I$3493,IMDB_Movies!P$2:P$3493)</f>
        <v>0</v>
      </c>
    </row>
    <row r="1345">
      <c r="A1345" s="24" t="s">
        <v>4770</v>
      </c>
      <c r="B1345" s="35">
        <f t="array" ref="B1345">XLOOKUP(A1345,IMDB_Movies!I$2:I$3493,IMDB_Movies!Q$2:Q$3493)</f>
        <v>0</v>
      </c>
      <c r="E1345" s="24" t="s">
        <v>4770</v>
      </c>
      <c r="F1345" s="36">
        <f t="array" ref="F1345">XLOOKUP(A1345,IMDB_Movies!I$2:I$3493,IMDB_Movies!P$2:P$3493)</f>
        <v>126319195</v>
      </c>
    </row>
    <row r="1346">
      <c r="A1346" s="11" t="s">
        <v>4774</v>
      </c>
      <c r="B1346" s="35">
        <f t="array" ref="B1346">XLOOKUP(A1346,IMDB_Movies!I$2:I$3493,IMDB_Movies!Q$2:Q$3493)</f>
        <v>0</v>
      </c>
      <c r="E1346" s="11" t="s">
        <v>4774</v>
      </c>
      <c r="F1346" s="36">
        <f t="array" ref="F1346">XLOOKUP(A1346,IMDB_Movies!I$2:I$3493,IMDB_Movies!P$2:P$3493)</f>
        <v>2508670</v>
      </c>
    </row>
    <row r="1347">
      <c r="A1347" s="28" t="s">
        <v>4777</v>
      </c>
      <c r="B1347" s="35">
        <f t="array" ref="B1347">XLOOKUP(A1347,IMDB_Movies!I$2:I$3493,IMDB_Movies!Q$2:Q$3493)</f>
        <v>0</v>
      </c>
      <c r="E1347" s="28" t="s">
        <v>4777</v>
      </c>
      <c r="F1347" s="36">
        <f t="array" ref="F1347">XLOOKUP(A1347,IMDB_Movies!I$2:I$3493,IMDB_Movies!P$2:P$3493)</f>
        <v>208992272</v>
      </c>
    </row>
    <row r="1348">
      <c r="A1348" s="20" t="s">
        <v>4780</v>
      </c>
      <c r="B1348" s="35">
        <f t="array" ref="B1348">XLOOKUP(A1348,IMDB_Movies!I$2:I$3493,IMDB_Movies!Q$2:Q$3493)</f>
        <v>0</v>
      </c>
      <c r="E1348" s="20" t="s">
        <v>4780</v>
      </c>
      <c r="F1348" s="36">
        <f t="array" ref="F1348">XLOOKUP(A1348,IMDB_Movies!I$2:I$3493,IMDB_Movies!P$2:P$3493)</f>
        <v>24699513</v>
      </c>
    </row>
    <row r="1349">
      <c r="A1349" s="20" t="s">
        <v>4784</v>
      </c>
      <c r="B1349" s="35">
        <f t="array" ref="B1349">XLOOKUP(A1349,IMDB_Movies!I$2:I$3493,IMDB_Movies!Q$2:Q$3493)</f>
        <v>0</v>
      </c>
      <c r="E1349" s="20" t="s">
        <v>4784</v>
      </c>
      <c r="F1349" s="36">
        <f t="array" ref="F1349">XLOOKUP(A1349,IMDB_Movies!I$2:I$3493,IMDB_Movies!P$2:P$3493)</f>
        <v>15197842</v>
      </c>
    </row>
    <row r="1350">
      <c r="A1350" s="28" t="s">
        <v>4787</v>
      </c>
      <c r="B1350" s="35">
        <f t="array" ref="B1350">XLOOKUP(A1350,IMDB_Movies!I$2:I$3493,IMDB_Movies!Q$2:Q$3493)</f>
        <v>0</v>
      </c>
      <c r="E1350" s="28" t="s">
        <v>4787</v>
      </c>
      <c r="F1350" s="36">
        <f t="array" ref="F1350">XLOOKUP(A1350,IMDB_Movies!I$2:I$3493,IMDB_Movies!P$2:P$3493)</f>
        <v>12320979</v>
      </c>
    </row>
    <row r="1351">
      <c r="A1351" s="11" t="s">
        <v>4790</v>
      </c>
      <c r="B1351" s="35">
        <f t="array" ref="B1351">XLOOKUP(A1351,IMDB_Movies!I$2:I$3493,IMDB_Movies!Q$2:Q$3493)</f>
        <v>0</v>
      </c>
      <c r="E1351" s="11" t="s">
        <v>4790</v>
      </c>
      <c r="F1351" s="36">
        <f t="array" ref="F1351">XLOOKUP(A1351,IMDB_Movies!I$2:I$3493,IMDB_Movies!P$2:P$3493)</f>
        <v>14822707</v>
      </c>
    </row>
    <row r="1352">
      <c r="A1352" s="20" t="s">
        <v>4792</v>
      </c>
      <c r="B1352" s="35">
        <f t="array" ref="B1352">XLOOKUP(A1352,IMDB_Movies!I$2:I$3493,IMDB_Movies!Q$2:Q$3493)</f>
        <v>0</v>
      </c>
      <c r="E1352" s="20" t="s">
        <v>4792</v>
      </c>
      <c r="F1352" s="36">
        <f t="array" ref="F1352">XLOOKUP(A1352,IMDB_Movies!I$2:I$3493,IMDB_Movies!P$2:P$3493)</f>
        <v>20700000</v>
      </c>
    </row>
    <row r="1353">
      <c r="A1353" s="20" t="s">
        <v>4794</v>
      </c>
      <c r="B1353" s="35">
        <f t="array" ref="B1353">XLOOKUP(A1353,IMDB_Movies!I$2:I$3493,IMDB_Movies!Q$2:Q$3493)</f>
        <v>29959707</v>
      </c>
      <c r="E1353" s="20" t="s">
        <v>4794</v>
      </c>
      <c r="F1353" s="36">
        <f t="array" ref="F1353">XLOOKUP(A1353,IMDB_Movies!I$2:I$3493,IMDB_Movies!P$2:P$3493)</f>
        <v>0</v>
      </c>
    </row>
    <row r="1354">
      <c r="A1354" s="24" t="s">
        <v>4797</v>
      </c>
      <c r="B1354" s="35">
        <f t="array" ref="B1354">XLOOKUP(A1354,IMDB_Movies!I$2:I$3493,IMDB_Movies!Q$2:Q$3493)</f>
        <v>48844258</v>
      </c>
      <c r="E1354" s="24" t="s">
        <v>4797</v>
      </c>
      <c r="F1354" s="36">
        <f t="array" ref="F1354">XLOOKUP(A1354,IMDB_Movies!I$2:I$3493,IMDB_Movies!P$2:P$3493)</f>
        <v>0</v>
      </c>
    </row>
    <row r="1355">
      <c r="A1355" s="16" t="s">
        <v>4799</v>
      </c>
      <c r="B1355" s="35">
        <f t="array" ref="B1355">XLOOKUP(A1355,IMDB_Movies!I$2:I$3493,IMDB_Movies!Q$2:Q$3493)</f>
        <v>0</v>
      </c>
      <c r="E1355" s="16" t="s">
        <v>4799</v>
      </c>
      <c r="F1355" s="36">
        <f t="array" ref="F1355">XLOOKUP(A1355,IMDB_Movies!I$2:I$3493,IMDB_Movies!P$2:P$3493)</f>
        <v>26845943</v>
      </c>
    </row>
    <row r="1356">
      <c r="A1356" s="11" t="s">
        <v>4803</v>
      </c>
      <c r="B1356" s="35">
        <f t="array" ref="B1356">XLOOKUP(A1356,IMDB_Movies!I$2:I$3493,IMDB_Movies!Q$2:Q$3493)</f>
        <v>0</v>
      </c>
      <c r="E1356" s="11" t="s">
        <v>4803</v>
      </c>
      <c r="F1356" s="36">
        <f t="array" ref="F1356">XLOOKUP(A1356,IMDB_Movies!I$2:I$3493,IMDB_Movies!P$2:P$3493)</f>
        <v>56897215</v>
      </c>
    </row>
    <row r="1357">
      <c r="A1357" s="20" t="s">
        <v>4806</v>
      </c>
      <c r="B1357" s="35">
        <f t="array" ref="B1357">XLOOKUP(A1357,IMDB_Movies!I$2:I$3493,IMDB_Movies!Q$2:Q$3493)</f>
        <v>0</v>
      </c>
      <c r="E1357" s="20" t="s">
        <v>4806</v>
      </c>
      <c r="F1357" s="36">
        <f t="array" ref="F1357">XLOOKUP(A1357,IMDB_Movies!I$2:I$3493,IMDB_Movies!P$2:P$3493)</f>
        <v>19990064</v>
      </c>
    </row>
    <row r="1358">
      <c r="A1358" s="11" t="s">
        <v>4809</v>
      </c>
      <c r="B1358" s="35">
        <f t="array" ref="B1358">XLOOKUP(A1358,IMDB_Movies!I$2:I$3493,IMDB_Movies!Q$2:Q$3493)</f>
        <v>30524377</v>
      </c>
      <c r="E1358" s="11" t="s">
        <v>4809</v>
      </c>
      <c r="F1358" s="36">
        <f t="array" ref="F1358">XLOOKUP(A1358,IMDB_Movies!I$2:I$3493,IMDB_Movies!P$2:P$3493)</f>
        <v>0</v>
      </c>
    </row>
    <row r="1359">
      <c r="A1359" s="24" t="s">
        <v>4814</v>
      </c>
      <c r="B1359" s="35">
        <f t="array" ref="B1359">XLOOKUP(A1359,IMDB_Movies!I$2:I$3493,IMDB_Movies!Q$2:Q$3493)</f>
        <v>17646272</v>
      </c>
      <c r="E1359" s="24" t="s">
        <v>4814</v>
      </c>
      <c r="F1359" s="36">
        <f t="array" ref="F1359">XLOOKUP(A1359,IMDB_Movies!I$2:I$3493,IMDB_Movies!P$2:P$3493)</f>
        <v>0</v>
      </c>
    </row>
    <row r="1360">
      <c r="A1360" s="11" t="s">
        <v>4817</v>
      </c>
      <c r="B1360" s="35">
        <f t="array" ref="B1360">XLOOKUP(A1360,IMDB_Movies!I$2:I$3493,IMDB_Movies!Q$2:Q$3493)</f>
        <v>787759</v>
      </c>
      <c r="E1360" s="11" t="s">
        <v>4817</v>
      </c>
      <c r="F1360" s="36">
        <f t="array" ref="F1360">XLOOKUP(A1360,IMDB_Movies!I$2:I$3493,IMDB_Movies!P$2:P$3493)</f>
        <v>0</v>
      </c>
    </row>
    <row r="1361">
      <c r="A1361" s="20" t="s">
        <v>4820</v>
      </c>
      <c r="B1361" s="35">
        <f t="array" ref="B1361">XLOOKUP(A1361,IMDB_Movies!I$2:I$3493,IMDB_Movies!Q$2:Q$3493)</f>
        <v>0</v>
      </c>
      <c r="E1361" s="20" t="s">
        <v>4820</v>
      </c>
      <c r="F1361" s="36">
        <f t="array" ref="F1361">XLOOKUP(A1361,IMDB_Movies!I$2:I$3493,IMDB_Movies!P$2:P$3493)</f>
        <v>7003620</v>
      </c>
    </row>
    <row r="1362">
      <c r="A1362" s="11" t="s">
        <v>4825</v>
      </c>
      <c r="B1362" s="35">
        <f t="array" ref="B1362">XLOOKUP(A1362,IMDB_Movies!I$2:I$3493,IMDB_Movies!Q$2:Q$3493)</f>
        <v>18816646</v>
      </c>
      <c r="E1362" s="11" t="s">
        <v>4825</v>
      </c>
      <c r="F1362" s="36">
        <f t="array" ref="F1362">XLOOKUP(A1362,IMDB_Movies!I$2:I$3493,IMDB_Movies!P$2:P$3493)</f>
        <v>0</v>
      </c>
    </row>
    <row r="1363">
      <c r="A1363" s="11" t="s">
        <v>4827</v>
      </c>
      <c r="B1363" s="35">
        <f t="array" ref="B1363">XLOOKUP(A1363,IMDB_Movies!I$2:I$3493,IMDB_Movies!Q$2:Q$3493)</f>
        <v>25536708</v>
      </c>
      <c r="E1363" s="11" t="s">
        <v>4827</v>
      </c>
      <c r="F1363" s="36">
        <f t="array" ref="F1363">XLOOKUP(A1363,IMDB_Movies!I$2:I$3493,IMDB_Movies!P$2:P$3493)</f>
        <v>0</v>
      </c>
    </row>
    <row r="1364">
      <c r="A1364" s="28" t="s">
        <v>4829</v>
      </c>
      <c r="B1364" s="35">
        <f t="array" ref="B1364">XLOOKUP(A1364,IMDB_Movies!I$2:I$3493,IMDB_Movies!Q$2:Q$3493)</f>
        <v>531428</v>
      </c>
      <c r="E1364" s="28" t="s">
        <v>4829</v>
      </c>
      <c r="F1364" s="36">
        <f t="array" ref="F1364">XLOOKUP(A1364,IMDB_Movies!I$2:I$3493,IMDB_Movies!P$2:P$3493)</f>
        <v>0</v>
      </c>
    </row>
    <row r="1365">
      <c r="A1365" s="28" t="s">
        <v>4834</v>
      </c>
      <c r="B1365" s="35">
        <f t="array" ref="B1365">XLOOKUP(A1365,IMDB_Movies!I$2:I$3493,IMDB_Movies!Q$2:Q$3493)</f>
        <v>10482822</v>
      </c>
      <c r="E1365" s="28" t="s">
        <v>4834</v>
      </c>
      <c r="F1365" s="36">
        <f t="array" ref="F1365">XLOOKUP(A1365,IMDB_Movies!I$2:I$3493,IMDB_Movies!P$2:P$3493)</f>
        <v>0</v>
      </c>
    </row>
    <row r="1366">
      <c r="A1366" s="11" t="s">
        <v>4837</v>
      </c>
      <c r="B1366" s="35">
        <f t="array" ref="B1366">XLOOKUP(A1366,IMDB_Movies!I$2:I$3493,IMDB_Movies!Q$2:Q$3493)</f>
        <v>0</v>
      </c>
      <c r="E1366" s="11" t="s">
        <v>4837</v>
      </c>
      <c r="F1366" s="36">
        <f t="array" ref="F1366">XLOOKUP(A1366,IMDB_Movies!I$2:I$3493,IMDB_Movies!P$2:P$3493)</f>
        <v>15419483</v>
      </c>
    </row>
    <row r="1367">
      <c r="A1367" s="24" t="s">
        <v>4841</v>
      </c>
      <c r="B1367" s="35">
        <f t="array" ref="B1367">XLOOKUP(A1367,IMDB_Movies!I$2:I$3493,IMDB_Movies!Q$2:Q$3493)</f>
        <v>0</v>
      </c>
      <c r="E1367" s="24" t="s">
        <v>4841</v>
      </c>
      <c r="F1367" s="36">
        <f t="array" ref="F1367">XLOOKUP(A1367,IMDB_Movies!I$2:I$3493,IMDB_Movies!P$2:P$3493)</f>
        <v>1651777</v>
      </c>
    </row>
    <row r="1368">
      <c r="A1368" s="11" t="s">
        <v>4844</v>
      </c>
      <c r="B1368" s="35">
        <f t="array" ref="B1368">XLOOKUP(A1368,IMDB_Movies!I$2:I$3493,IMDB_Movies!Q$2:Q$3493)</f>
        <v>0</v>
      </c>
      <c r="E1368" s="11" t="s">
        <v>4844</v>
      </c>
      <c r="F1368" s="36">
        <f t="array" ref="F1368">XLOOKUP(A1368,IMDB_Movies!I$2:I$3493,IMDB_Movies!P$2:P$3493)</f>
        <v>301331</v>
      </c>
    </row>
    <row r="1369">
      <c r="A1369" s="20" t="s">
        <v>4846</v>
      </c>
      <c r="B1369" s="35">
        <f t="array" ref="B1369">XLOOKUP(A1369,IMDB_Movies!I$2:I$3493,IMDB_Movies!Q$2:Q$3493)</f>
        <v>0</v>
      </c>
      <c r="E1369" s="20" t="s">
        <v>4846</v>
      </c>
      <c r="F1369" s="36">
        <f t="array" ref="F1369">XLOOKUP(A1369,IMDB_Movies!I$2:I$3493,IMDB_Movies!P$2:P$3493)</f>
        <v>96447667</v>
      </c>
    </row>
    <row r="1370">
      <c r="A1370" s="28" t="s">
        <v>4848</v>
      </c>
      <c r="B1370" s="35">
        <f t="array" ref="B1370">XLOOKUP(A1370,IMDB_Movies!I$2:I$3493,IMDB_Movies!Q$2:Q$3493)</f>
        <v>0</v>
      </c>
      <c r="E1370" s="28" t="s">
        <v>4848</v>
      </c>
      <c r="F1370" s="36">
        <f t="array" ref="F1370">XLOOKUP(A1370,IMDB_Movies!I$2:I$3493,IMDB_Movies!P$2:P$3493)</f>
        <v>50313314</v>
      </c>
    </row>
    <row r="1371">
      <c r="A1371" s="11" t="s">
        <v>4852</v>
      </c>
      <c r="B1371" s="35">
        <f t="array" ref="B1371">XLOOKUP(A1371,IMDB_Movies!I$2:I$3493,IMDB_Movies!Q$2:Q$3493)</f>
        <v>6185756</v>
      </c>
      <c r="E1371" s="11" t="s">
        <v>4852</v>
      </c>
      <c r="F1371" s="36">
        <f t="array" ref="F1371">XLOOKUP(A1371,IMDB_Movies!I$2:I$3493,IMDB_Movies!P$2:P$3493)</f>
        <v>0</v>
      </c>
    </row>
    <row r="1372">
      <c r="A1372" s="11" t="s">
        <v>4854</v>
      </c>
      <c r="B1372" s="35">
        <f t="array" ref="B1372">XLOOKUP(A1372,IMDB_Movies!I$2:I$3493,IMDB_Movies!Q$2:Q$3493)</f>
        <v>14292206</v>
      </c>
      <c r="E1372" s="11" t="s">
        <v>4854</v>
      </c>
      <c r="F1372" s="36">
        <f t="array" ref="F1372">XLOOKUP(A1372,IMDB_Movies!I$2:I$3493,IMDB_Movies!P$2:P$3493)</f>
        <v>0</v>
      </c>
    </row>
    <row r="1373">
      <c r="A1373" s="24" t="s">
        <v>4857</v>
      </c>
      <c r="B1373" s="35">
        <f t="array" ref="B1373">XLOOKUP(A1373,IMDB_Movies!I$2:I$3493,IMDB_Movies!Q$2:Q$3493)</f>
        <v>4346385</v>
      </c>
      <c r="E1373" s="24" t="s">
        <v>4857</v>
      </c>
      <c r="F1373" s="36">
        <f t="array" ref="F1373">XLOOKUP(A1373,IMDB_Movies!I$2:I$3493,IMDB_Movies!P$2:P$3493)</f>
        <v>0</v>
      </c>
    </row>
    <row r="1374">
      <c r="A1374" s="24" t="s">
        <v>4860</v>
      </c>
      <c r="B1374" s="35">
        <f t="array" ref="B1374">XLOOKUP(A1374,IMDB_Movies!I$2:I$3493,IMDB_Movies!Q$2:Q$3493)</f>
        <v>24599087</v>
      </c>
      <c r="E1374" s="24" t="s">
        <v>4860</v>
      </c>
      <c r="F1374" s="36">
        <f t="array" ref="F1374">XLOOKUP(A1374,IMDB_Movies!I$2:I$3493,IMDB_Movies!P$2:P$3493)</f>
        <v>0</v>
      </c>
    </row>
    <row r="1375">
      <c r="A1375" s="24" t="s">
        <v>4863</v>
      </c>
      <c r="B1375" s="35">
        <f t="array" ref="B1375">XLOOKUP(A1375,IMDB_Movies!I$2:I$3493,IMDB_Movies!Q$2:Q$3493)</f>
        <v>0</v>
      </c>
      <c r="E1375" s="24" t="s">
        <v>4863</v>
      </c>
      <c r="F1375" s="36">
        <f t="array" ref="F1375">XLOOKUP(A1375,IMDB_Movies!I$2:I$3493,IMDB_Movies!P$2:P$3493)</f>
        <v>13064616</v>
      </c>
    </row>
    <row r="1376">
      <c r="A1376" s="20" t="s">
        <v>4866</v>
      </c>
      <c r="B1376" s="35">
        <f t="array" ref="B1376">XLOOKUP(A1376,IMDB_Movies!I$2:I$3493,IMDB_Movies!Q$2:Q$3493)</f>
        <v>3731172</v>
      </c>
      <c r="E1376" s="20" t="s">
        <v>4866</v>
      </c>
      <c r="F1376" s="36">
        <f t="array" ref="F1376">XLOOKUP(A1376,IMDB_Movies!I$2:I$3493,IMDB_Movies!P$2:P$3493)</f>
        <v>0</v>
      </c>
    </row>
    <row r="1377">
      <c r="A1377" s="11" t="s">
        <v>4868</v>
      </c>
      <c r="B1377" s="35">
        <f t="array" ref="B1377">XLOOKUP(A1377,IMDB_Movies!I$2:I$3493,IMDB_Movies!Q$2:Q$3493)</f>
        <v>0</v>
      </c>
      <c r="E1377" s="11" t="s">
        <v>4868</v>
      </c>
      <c r="F1377" s="36">
        <f t="array" ref="F1377">XLOOKUP(A1377,IMDB_Movies!I$2:I$3493,IMDB_Movies!P$2:P$3493)</f>
        <v>15829874</v>
      </c>
    </row>
    <row r="1378">
      <c r="A1378" s="32" t="s">
        <v>4872</v>
      </c>
      <c r="B1378" s="35">
        <f t="array" ref="B1378">XLOOKUP(A1378,IMDB_Movies!I$2:I$3493,IMDB_Movies!Q$2:Q$3493)</f>
        <v>2726412</v>
      </c>
      <c r="E1378" s="32" t="s">
        <v>4872</v>
      </c>
      <c r="F1378" s="36">
        <f t="array" ref="F1378">XLOOKUP(A1378,IMDB_Movies!I$2:I$3493,IMDB_Movies!P$2:P$3493)</f>
        <v>0</v>
      </c>
    </row>
    <row r="1379">
      <c r="A1379" s="11" t="s">
        <v>4875</v>
      </c>
      <c r="B1379" s="35">
        <f t="array" ref="B1379">XLOOKUP(A1379,IMDB_Movies!I$2:I$3493,IMDB_Movies!Q$2:Q$3493)</f>
        <v>0</v>
      </c>
      <c r="E1379" s="11" t="s">
        <v>4875</v>
      </c>
      <c r="F1379" s="36">
        <f t="array" ref="F1379">XLOOKUP(A1379,IMDB_Movies!I$2:I$3493,IMDB_Movies!P$2:P$3493)</f>
        <v>106386216</v>
      </c>
    </row>
    <row r="1380">
      <c r="A1380" s="24" t="s">
        <v>4879</v>
      </c>
      <c r="B1380" s="35">
        <f t="array" ref="B1380">XLOOKUP(A1380,IMDB_Movies!I$2:I$3493,IMDB_Movies!Q$2:Q$3493)</f>
        <v>8950114</v>
      </c>
      <c r="E1380" s="24" t="s">
        <v>4879</v>
      </c>
      <c r="F1380" s="36">
        <f t="array" ref="F1380">XLOOKUP(A1380,IMDB_Movies!I$2:I$3493,IMDB_Movies!P$2:P$3493)</f>
        <v>0</v>
      </c>
    </row>
    <row r="1381">
      <c r="A1381" s="20" t="s">
        <v>4881</v>
      </c>
      <c r="B1381" s="35">
        <f t="array" ref="B1381">XLOOKUP(A1381,IMDB_Movies!I$2:I$3493,IMDB_Movies!Q$2:Q$3493)</f>
        <v>0</v>
      </c>
      <c r="E1381" s="20" t="s">
        <v>4881</v>
      </c>
      <c r="F1381" s="36">
        <f t="array" ref="F1381">XLOOKUP(A1381,IMDB_Movies!I$2:I$3493,IMDB_Movies!P$2:P$3493)</f>
        <v>22124400</v>
      </c>
    </row>
    <row r="1382">
      <c r="A1382" s="20" t="s">
        <v>4883</v>
      </c>
      <c r="B1382" s="35">
        <f t="array" ref="B1382">XLOOKUP(A1382,IMDB_Movies!I$2:I$3493,IMDB_Movies!Q$2:Q$3493)</f>
        <v>27989147</v>
      </c>
      <c r="E1382" s="20" t="s">
        <v>4883</v>
      </c>
      <c r="F1382" s="36">
        <f t="array" ref="F1382">XLOOKUP(A1382,IMDB_Movies!I$2:I$3493,IMDB_Movies!P$2:P$3493)</f>
        <v>0</v>
      </c>
    </row>
    <row r="1383">
      <c r="A1383" s="11" t="s">
        <v>4886</v>
      </c>
      <c r="B1383" s="35">
        <f t="array" ref="B1383">XLOOKUP(A1383,IMDB_Movies!I$2:I$3493,IMDB_Movies!Q$2:Q$3493)</f>
        <v>90200974</v>
      </c>
      <c r="E1383" s="11" t="s">
        <v>4886</v>
      </c>
      <c r="F1383" s="36">
        <f t="array" ref="F1383">XLOOKUP(A1383,IMDB_Movies!I$2:I$3493,IMDB_Movies!P$2:P$3493)</f>
        <v>0</v>
      </c>
    </row>
    <row r="1384">
      <c r="A1384" s="32" t="s">
        <v>4888</v>
      </c>
      <c r="B1384" s="35">
        <f t="array" ref="B1384">XLOOKUP(A1384,IMDB_Movies!I$2:I$3493,IMDB_Movies!Q$2:Q$3493)</f>
        <v>0</v>
      </c>
      <c r="E1384" s="32" t="s">
        <v>4888</v>
      </c>
      <c r="F1384" s="36">
        <f t="array" ref="F1384">XLOOKUP(A1384,IMDB_Movies!I$2:I$3493,IMDB_Movies!P$2:P$3493)</f>
        <v>75019340</v>
      </c>
    </row>
    <row r="1385">
      <c r="A1385" s="28" t="s">
        <v>4890</v>
      </c>
      <c r="B1385" s="35">
        <f t="array" ref="B1385">XLOOKUP(A1385,IMDB_Movies!I$2:I$3493,IMDB_Movies!Q$2:Q$3493)</f>
        <v>16855194</v>
      </c>
      <c r="E1385" s="28" t="s">
        <v>4890</v>
      </c>
      <c r="F1385" s="36">
        <f t="array" ref="F1385">XLOOKUP(A1385,IMDB_Movies!I$2:I$3493,IMDB_Movies!P$2:P$3493)</f>
        <v>0</v>
      </c>
    </row>
    <row r="1386">
      <c r="A1386" s="32" t="s">
        <v>4893</v>
      </c>
      <c r="B1386" s="35">
        <f t="array" ref="B1386">XLOOKUP(A1386,IMDB_Movies!I$2:I$3493,IMDB_Movies!Q$2:Q$3493)</f>
        <v>18503478</v>
      </c>
      <c r="E1386" s="32" t="s">
        <v>4893</v>
      </c>
      <c r="F1386" s="36">
        <f t="array" ref="F1386">XLOOKUP(A1386,IMDB_Movies!I$2:I$3493,IMDB_Movies!P$2:P$3493)</f>
        <v>0</v>
      </c>
    </row>
    <row r="1387">
      <c r="A1387" s="11" t="s">
        <v>4895</v>
      </c>
      <c r="B1387" s="35">
        <f t="array" ref="B1387">XLOOKUP(A1387,IMDB_Movies!I$2:I$3493,IMDB_Movies!Q$2:Q$3493)</f>
        <v>0</v>
      </c>
      <c r="E1387" s="11" t="s">
        <v>4895</v>
      </c>
      <c r="F1387" s="36">
        <f t="array" ref="F1387">XLOOKUP(A1387,IMDB_Movies!I$2:I$3493,IMDB_Movies!P$2:P$3493)</f>
        <v>3009155</v>
      </c>
    </row>
    <row r="1388">
      <c r="A1388" s="24" t="s">
        <v>4899</v>
      </c>
      <c r="B1388" s="35">
        <f t="array" ref="B1388">XLOOKUP(A1388,IMDB_Movies!I$2:I$3493,IMDB_Movies!Q$2:Q$3493)</f>
        <v>0</v>
      </c>
      <c r="E1388" s="24" t="s">
        <v>4899</v>
      </c>
      <c r="F1388" s="36">
        <f t="array" ref="F1388">XLOOKUP(A1388,IMDB_Movies!I$2:I$3493,IMDB_Movies!P$2:P$3493)</f>
        <v>2262293</v>
      </c>
    </row>
    <row r="1389">
      <c r="A1389" s="24" t="s">
        <v>4902</v>
      </c>
      <c r="B1389" s="35">
        <f t="array" ref="B1389">XLOOKUP(A1389,IMDB_Movies!I$2:I$3493,IMDB_Movies!Q$2:Q$3493)</f>
        <v>0</v>
      </c>
      <c r="E1389" s="24" t="s">
        <v>4902</v>
      </c>
      <c r="F1389" s="36">
        <f t="array" ref="F1389">XLOOKUP(A1389,IMDB_Movies!I$2:I$3493,IMDB_Movies!P$2:P$3493)</f>
        <v>23583175</v>
      </c>
    </row>
    <row r="1390">
      <c r="A1390" s="11" t="s">
        <v>4905</v>
      </c>
      <c r="B1390" s="35">
        <f t="array" ref="B1390">XLOOKUP(A1390,IMDB_Movies!I$2:I$3493,IMDB_Movies!Q$2:Q$3493)</f>
        <v>0</v>
      </c>
      <c r="E1390" s="11" t="s">
        <v>4905</v>
      </c>
      <c r="F1390" s="36">
        <f t="array" ref="F1390">XLOOKUP(A1390,IMDB_Movies!I$2:I$3493,IMDB_Movies!P$2:P$3493)</f>
        <v>324804</v>
      </c>
    </row>
    <row r="1391">
      <c r="A1391" s="32" t="s">
        <v>4908</v>
      </c>
      <c r="B1391" s="35">
        <f t="array" ref="B1391">XLOOKUP(A1391,IMDB_Movies!I$2:I$3493,IMDB_Movies!Q$2:Q$3493)</f>
        <v>1093965</v>
      </c>
      <c r="E1391" s="32" t="s">
        <v>4908</v>
      </c>
      <c r="F1391" s="36">
        <f t="array" ref="F1391">XLOOKUP(A1391,IMDB_Movies!I$2:I$3493,IMDB_Movies!P$2:P$3493)</f>
        <v>0</v>
      </c>
    </row>
    <row r="1392">
      <c r="A1392" s="11" t="s">
        <v>4910</v>
      </c>
      <c r="B1392" s="35">
        <f t="array" ref="B1392">XLOOKUP(A1392,IMDB_Movies!I$2:I$3493,IMDB_Movies!Q$2:Q$3493)</f>
        <v>4907170</v>
      </c>
      <c r="E1392" s="11" t="s">
        <v>4910</v>
      </c>
      <c r="F1392" s="36">
        <f t="array" ref="F1392">XLOOKUP(A1392,IMDB_Movies!I$2:I$3493,IMDB_Movies!P$2:P$3493)</f>
        <v>0</v>
      </c>
    </row>
    <row r="1393">
      <c r="A1393" s="11" t="s">
        <v>4914</v>
      </c>
      <c r="B1393" s="35">
        <f t="array" ref="B1393">XLOOKUP(A1393,IMDB_Movies!I$2:I$3493,IMDB_Movies!Q$2:Q$3493)</f>
        <v>0</v>
      </c>
      <c r="E1393" s="11" t="s">
        <v>4914</v>
      </c>
      <c r="F1393" s="36">
        <f t="array" ref="F1393">XLOOKUP(A1393,IMDB_Movies!I$2:I$3493,IMDB_Movies!P$2:P$3493)</f>
        <v>2596914</v>
      </c>
    </row>
    <row r="1394">
      <c r="A1394" s="24" t="s">
        <v>4916</v>
      </c>
      <c r="B1394" s="35">
        <f t="array" ref="B1394">XLOOKUP(A1394,IMDB_Movies!I$2:I$3493,IMDB_Movies!Q$2:Q$3493)</f>
        <v>0</v>
      </c>
      <c r="E1394" s="24" t="s">
        <v>4916</v>
      </c>
      <c r="F1394" s="36">
        <f t="array" ref="F1394">XLOOKUP(A1394,IMDB_Movies!I$2:I$3493,IMDB_Movies!P$2:P$3493)</f>
        <v>6033556</v>
      </c>
    </row>
    <row r="1395">
      <c r="A1395" s="20" t="s">
        <v>4918</v>
      </c>
      <c r="B1395" s="35">
        <f t="array" ref="B1395">XLOOKUP(A1395,IMDB_Movies!I$2:I$3493,IMDB_Movies!Q$2:Q$3493)</f>
        <v>456793</v>
      </c>
      <c r="E1395" s="20" t="s">
        <v>4918</v>
      </c>
      <c r="F1395" s="36">
        <f t="array" ref="F1395">XLOOKUP(A1395,IMDB_Movies!I$2:I$3493,IMDB_Movies!P$2:P$3493)</f>
        <v>0</v>
      </c>
    </row>
    <row r="1396">
      <c r="A1396" s="11" t="s">
        <v>4921</v>
      </c>
      <c r="B1396" s="35">
        <f t="array" ref="B1396">XLOOKUP(A1396,IMDB_Movies!I$2:I$3493,IMDB_Movies!Q$2:Q$3493)</f>
        <v>0</v>
      </c>
      <c r="E1396" s="11" t="s">
        <v>4921</v>
      </c>
      <c r="F1396" s="36">
        <f t="array" ref="F1396">XLOOKUP(A1396,IMDB_Movies!I$2:I$3493,IMDB_Movies!P$2:P$3493)</f>
        <v>65389560</v>
      </c>
    </row>
    <row r="1397">
      <c r="A1397" s="11" t="s">
        <v>4923</v>
      </c>
      <c r="B1397" s="35">
        <f t="array" ref="B1397">XLOOKUP(A1397,IMDB_Movies!I$2:I$3493,IMDB_Movies!Q$2:Q$3493)</f>
        <v>0</v>
      </c>
      <c r="E1397" s="11" t="s">
        <v>4923</v>
      </c>
      <c r="F1397" s="36">
        <f t="array" ref="F1397">XLOOKUP(A1397,IMDB_Movies!I$2:I$3493,IMDB_Movies!P$2:P$3493)</f>
        <v>27470017</v>
      </c>
    </row>
    <row r="1398">
      <c r="A1398" s="20" t="s">
        <v>4925</v>
      </c>
      <c r="B1398" s="35">
        <f t="array" ref="B1398">XLOOKUP(A1398,IMDB_Movies!I$2:I$3493,IMDB_Movies!Q$2:Q$3493)</f>
        <v>0</v>
      </c>
      <c r="E1398" s="20" t="s">
        <v>4925</v>
      </c>
      <c r="F1398" s="36">
        <f t="array" ref="F1398">XLOOKUP(A1398,IMDB_Movies!I$2:I$3493,IMDB_Movies!P$2:P$3493)</f>
        <v>144705587</v>
      </c>
    </row>
    <row r="1399">
      <c r="A1399" s="28" t="s">
        <v>4929</v>
      </c>
      <c r="B1399" s="35">
        <f t="array" ref="B1399">XLOOKUP(A1399,IMDB_Movies!I$2:I$3493,IMDB_Movies!Q$2:Q$3493)</f>
        <v>0</v>
      </c>
      <c r="E1399" s="28" t="s">
        <v>4929</v>
      </c>
      <c r="F1399" s="36">
        <f t="array" ref="F1399">XLOOKUP(A1399,IMDB_Movies!I$2:I$3493,IMDB_Movies!P$2:P$3493)</f>
        <v>7381787</v>
      </c>
    </row>
    <row r="1400">
      <c r="A1400" s="32" t="s">
        <v>4933</v>
      </c>
      <c r="B1400" s="35">
        <f t="array" ref="B1400">XLOOKUP(A1400,IMDB_Movies!I$2:I$3493,IMDB_Movies!Q$2:Q$3493)</f>
        <v>2279629</v>
      </c>
      <c r="E1400" s="32" t="s">
        <v>4933</v>
      </c>
      <c r="F1400" s="36">
        <f t="array" ref="F1400">XLOOKUP(A1400,IMDB_Movies!I$2:I$3493,IMDB_Movies!P$2:P$3493)</f>
        <v>0</v>
      </c>
    </row>
    <row r="1401">
      <c r="A1401" s="20" t="s">
        <v>4935</v>
      </c>
      <c r="B1401" s="35">
        <f t="array" ref="B1401">XLOOKUP(A1401,IMDB_Movies!I$2:I$3493,IMDB_Movies!Q$2:Q$3493)</f>
        <v>0</v>
      </c>
      <c r="E1401" s="20" t="s">
        <v>4935</v>
      </c>
      <c r="F1401" s="36">
        <f t="array" ref="F1401">XLOOKUP(A1401,IMDB_Movies!I$2:I$3493,IMDB_Movies!P$2:P$3493)</f>
        <v>85512915</v>
      </c>
    </row>
    <row r="1402">
      <c r="A1402" s="20" t="s">
        <v>4937</v>
      </c>
      <c r="B1402" s="35">
        <f t="array" ref="B1402">XLOOKUP(A1402,IMDB_Movies!I$2:I$3493,IMDB_Movies!Q$2:Q$3493)</f>
        <v>0</v>
      </c>
      <c r="E1402" s="20" t="s">
        <v>4937</v>
      </c>
      <c r="F1402" s="36">
        <f t="array" ref="F1402">XLOOKUP(A1402,IMDB_Movies!I$2:I$3493,IMDB_Movies!P$2:P$3493)</f>
        <v>29507053</v>
      </c>
    </row>
    <row r="1403">
      <c r="A1403" s="24" t="s">
        <v>4939</v>
      </c>
      <c r="B1403" s="35">
        <f t="array" ref="B1403">XLOOKUP(A1403,IMDB_Movies!I$2:I$3493,IMDB_Movies!Q$2:Q$3493)</f>
        <v>19700000</v>
      </c>
      <c r="E1403" s="24" t="s">
        <v>4939</v>
      </c>
      <c r="F1403" s="36">
        <f t="array" ref="F1403">XLOOKUP(A1403,IMDB_Movies!I$2:I$3493,IMDB_Movies!P$2:P$3493)</f>
        <v>0</v>
      </c>
    </row>
    <row r="1404">
      <c r="A1404" s="24" t="s">
        <v>4944</v>
      </c>
      <c r="B1404" s="35">
        <f t="array" ref="B1404">XLOOKUP(A1404,IMDB_Movies!I$2:I$3493,IMDB_Movies!Q$2:Q$3493)</f>
        <v>0</v>
      </c>
      <c r="E1404" s="24" t="s">
        <v>4944</v>
      </c>
      <c r="F1404" s="36">
        <f t="array" ref="F1404">XLOOKUP(A1404,IMDB_Movies!I$2:I$3493,IMDB_Movies!P$2:P$3493)</f>
        <v>1957978</v>
      </c>
    </row>
    <row r="1405">
      <c r="A1405" s="28" t="s">
        <v>4948</v>
      </c>
      <c r="B1405" s="35">
        <f t="array" ref="B1405">XLOOKUP(A1405,IMDB_Movies!I$2:I$3493,IMDB_Movies!Q$2:Q$3493)</f>
        <v>905404</v>
      </c>
      <c r="E1405" s="28" t="s">
        <v>4948</v>
      </c>
      <c r="F1405" s="36">
        <f t="array" ref="F1405">XLOOKUP(A1405,IMDB_Movies!I$2:I$3493,IMDB_Movies!P$2:P$3493)</f>
        <v>0</v>
      </c>
    </row>
    <row r="1406">
      <c r="A1406" s="24" t="s">
        <v>4951</v>
      </c>
      <c r="B1406" s="35">
        <f t="array" ref="B1406">XLOOKUP(A1406,IMDB_Movies!I$2:I$3493,IMDB_Movies!Q$2:Q$3493)</f>
        <v>0</v>
      </c>
      <c r="E1406" s="24" t="s">
        <v>4951</v>
      </c>
      <c r="F1406" s="36">
        <f t="array" ref="F1406">XLOOKUP(A1406,IMDB_Movies!I$2:I$3493,IMDB_Movies!P$2:P$3493)</f>
        <v>761283</v>
      </c>
    </row>
    <row r="1407">
      <c r="A1407" s="11" t="s">
        <v>4954</v>
      </c>
      <c r="B1407" s="35">
        <f t="array" ref="B1407">XLOOKUP(A1407,IMDB_Movies!I$2:I$3493,IMDB_Movies!Q$2:Q$3493)</f>
        <v>0</v>
      </c>
      <c r="E1407" s="11" t="s">
        <v>4954</v>
      </c>
      <c r="F1407" s="36">
        <f t="array" ref="F1407">XLOOKUP(A1407,IMDB_Movies!I$2:I$3493,IMDB_Movies!P$2:P$3493)</f>
        <v>31174897</v>
      </c>
    </row>
    <row r="1408">
      <c r="A1408" s="20" t="s">
        <v>4956</v>
      </c>
      <c r="B1408" s="35">
        <f t="array" ref="B1408">XLOOKUP(A1408,IMDB_Movies!I$2:I$3493,IMDB_Movies!Q$2:Q$3493)</f>
        <v>0</v>
      </c>
      <c r="E1408" s="20" t="s">
        <v>4956</v>
      </c>
      <c r="F1408" s="36">
        <f t="array" ref="F1408">XLOOKUP(A1408,IMDB_Movies!I$2:I$3493,IMDB_Movies!P$2:P$3493)</f>
        <v>20378000</v>
      </c>
    </row>
    <row r="1409">
      <c r="A1409" s="24" t="s">
        <v>4959</v>
      </c>
      <c r="B1409" s="35">
        <f t="array" ref="B1409">XLOOKUP(A1409,IMDB_Movies!I$2:I$3493,IMDB_Movies!Q$2:Q$3493)</f>
        <v>0</v>
      </c>
      <c r="E1409" s="24" t="s">
        <v>4959</v>
      </c>
      <c r="F1409" s="36">
        <f t="array" ref="F1409">XLOOKUP(A1409,IMDB_Movies!I$2:I$3493,IMDB_Movies!P$2:P$3493)</f>
        <v>13422556</v>
      </c>
    </row>
    <row r="1410">
      <c r="A1410" s="20" t="s">
        <v>4963</v>
      </c>
      <c r="B1410" s="35">
        <f t="array" ref="B1410">XLOOKUP(A1410,IMDB_Movies!I$2:I$3493,IMDB_Movies!Q$2:Q$3493)</f>
        <v>165959</v>
      </c>
      <c r="E1410" s="20" t="s">
        <v>4963</v>
      </c>
      <c r="F1410" s="36">
        <f t="array" ref="F1410">XLOOKUP(A1410,IMDB_Movies!I$2:I$3493,IMDB_Movies!P$2:P$3493)</f>
        <v>0</v>
      </c>
    </row>
    <row r="1411">
      <c r="A1411" s="11" t="s">
        <v>4966</v>
      </c>
      <c r="B1411" s="35">
        <f t="array" ref="B1411">XLOOKUP(A1411,IMDB_Movies!I$2:I$3493,IMDB_Movies!Q$2:Q$3493)</f>
        <v>8505389</v>
      </c>
      <c r="E1411" s="11" t="s">
        <v>4966</v>
      </c>
      <c r="F1411" s="36">
        <f t="array" ref="F1411">XLOOKUP(A1411,IMDB_Movies!I$2:I$3493,IMDB_Movies!P$2:P$3493)</f>
        <v>0</v>
      </c>
    </row>
    <row r="1412">
      <c r="A1412" s="11" t="s">
        <v>4969</v>
      </c>
      <c r="B1412" s="35">
        <f t="array" ref="B1412">XLOOKUP(A1412,IMDB_Movies!I$2:I$3493,IMDB_Movies!Q$2:Q$3493)</f>
        <v>0</v>
      </c>
      <c r="E1412" s="11" t="s">
        <v>4969</v>
      </c>
      <c r="F1412" s="36">
        <f t="array" ref="F1412">XLOOKUP(A1412,IMDB_Movies!I$2:I$3493,IMDB_Movies!P$2:P$3493)</f>
        <v>84805005</v>
      </c>
    </row>
    <row r="1413">
      <c r="A1413" s="20" t="s">
        <v>4972</v>
      </c>
      <c r="B1413" s="35">
        <f t="array" ref="B1413">XLOOKUP(A1413,IMDB_Movies!I$2:I$3493,IMDB_Movies!Q$2:Q$3493)</f>
        <v>15667676</v>
      </c>
      <c r="E1413" s="20" t="s">
        <v>4972</v>
      </c>
      <c r="F1413" s="36">
        <f t="array" ref="F1413">XLOOKUP(A1413,IMDB_Movies!I$2:I$3493,IMDB_Movies!P$2:P$3493)</f>
        <v>0</v>
      </c>
    </row>
    <row r="1414">
      <c r="A1414" s="32" t="s">
        <v>4976</v>
      </c>
      <c r="B1414" s="35">
        <f t="array" ref="B1414">XLOOKUP(A1414,IMDB_Movies!I$2:I$3493,IMDB_Movies!Q$2:Q$3493)</f>
        <v>9996393</v>
      </c>
      <c r="E1414" s="32" t="s">
        <v>4976</v>
      </c>
      <c r="F1414" s="36">
        <f t="array" ref="F1414">XLOOKUP(A1414,IMDB_Movies!I$2:I$3493,IMDB_Movies!P$2:P$3493)</f>
        <v>0</v>
      </c>
    </row>
    <row r="1415">
      <c r="A1415" s="28" t="s">
        <v>4979</v>
      </c>
      <c r="B1415" s="35">
        <f t="array" ref="B1415">XLOOKUP(A1415,IMDB_Movies!I$2:I$3493,IMDB_Movies!Q$2:Q$3493)</f>
        <v>3206096</v>
      </c>
      <c r="E1415" s="28" t="s">
        <v>4979</v>
      </c>
      <c r="F1415" s="36">
        <f t="array" ref="F1415">XLOOKUP(A1415,IMDB_Movies!I$2:I$3493,IMDB_Movies!P$2:P$3493)</f>
        <v>0</v>
      </c>
    </row>
    <row r="1416">
      <c r="A1416" s="11" t="s">
        <v>4981</v>
      </c>
      <c r="B1416" s="35">
        <f t="array" ref="B1416">XLOOKUP(A1416,IMDB_Movies!I$2:I$3493,IMDB_Movies!Q$2:Q$3493)</f>
        <v>19871876</v>
      </c>
      <c r="E1416" s="11" t="s">
        <v>4981</v>
      </c>
      <c r="F1416" s="36">
        <f t="array" ref="F1416">XLOOKUP(A1416,IMDB_Movies!I$2:I$3493,IMDB_Movies!P$2:P$3493)</f>
        <v>0</v>
      </c>
    </row>
    <row r="1417">
      <c r="A1417" s="28" t="s">
        <v>4985</v>
      </c>
      <c r="B1417" s="35">
        <f t="array" ref="B1417">XLOOKUP(A1417,IMDB_Movies!I$2:I$3493,IMDB_Movies!Q$2:Q$3493)</f>
        <v>4287928</v>
      </c>
      <c r="E1417" s="28" t="s">
        <v>4985</v>
      </c>
      <c r="F1417" s="36">
        <f t="array" ref="F1417">XLOOKUP(A1417,IMDB_Movies!I$2:I$3493,IMDB_Movies!P$2:P$3493)</f>
        <v>0</v>
      </c>
    </row>
    <row r="1418">
      <c r="A1418" s="11" t="s">
        <v>4987</v>
      </c>
      <c r="B1418" s="35">
        <f t="array" ref="B1418">XLOOKUP(A1418,IMDB_Movies!I$2:I$3493,IMDB_Movies!Q$2:Q$3493)</f>
        <v>0</v>
      </c>
      <c r="E1418" s="11" t="s">
        <v>4987</v>
      </c>
      <c r="F1418" s="36">
        <f t="array" ref="F1418">XLOOKUP(A1418,IMDB_Movies!I$2:I$3493,IMDB_Movies!P$2:P$3493)</f>
        <v>61468960</v>
      </c>
    </row>
    <row r="1419">
      <c r="A1419" s="11" t="s">
        <v>4989</v>
      </c>
      <c r="B1419" s="35">
        <f t="array" ref="B1419">XLOOKUP(A1419,IMDB_Movies!I$2:I$3493,IMDB_Movies!Q$2:Q$3493)</f>
        <v>0</v>
      </c>
      <c r="E1419" s="11" t="s">
        <v>4989</v>
      </c>
      <c r="F1419" s="36">
        <f t="array" ref="F1419">XLOOKUP(A1419,IMDB_Movies!I$2:I$3493,IMDB_Movies!P$2:P$3493)</f>
        <v>24400000</v>
      </c>
    </row>
    <row r="1420">
      <c r="A1420" s="28" t="s">
        <v>4991</v>
      </c>
      <c r="B1420" s="35">
        <f t="array" ref="B1420">XLOOKUP(A1420,IMDB_Movies!I$2:I$3493,IMDB_Movies!Q$2:Q$3493)</f>
        <v>0</v>
      </c>
      <c r="E1420" s="28" t="s">
        <v>4991</v>
      </c>
      <c r="F1420" s="36">
        <f t="array" ref="F1420">XLOOKUP(A1420,IMDB_Movies!I$2:I$3493,IMDB_Movies!P$2:P$3493)</f>
        <v>35428137</v>
      </c>
    </row>
    <row r="1421">
      <c r="A1421" s="11" t="s">
        <v>4995</v>
      </c>
      <c r="B1421" s="35">
        <f t="array" ref="B1421">XLOOKUP(A1421,IMDB_Movies!I$2:I$3493,IMDB_Movies!Q$2:Q$3493)</f>
        <v>14926452</v>
      </c>
      <c r="E1421" s="11" t="s">
        <v>4995</v>
      </c>
      <c r="F1421" s="36">
        <f t="array" ref="F1421">XLOOKUP(A1421,IMDB_Movies!I$2:I$3493,IMDB_Movies!P$2:P$3493)</f>
        <v>0</v>
      </c>
    </row>
    <row r="1422">
      <c r="A1422" s="11" t="s">
        <v>4999</v>
      </c>
      <c r="B1422" s="35">
        <f t="array" ref="B1422">XLOOKUP(A1422,IMDB_Movies!I$2:I$3493,IMDB_Movies!Q$2:Q$3493)</f>
        <v>27130631</v>
      </c>
      <c r="E1422" s="11" t="s">
        <v>4999</v>
      </c>
      <c r="F1422" s="36">
        <f t="array" ref="F1422">XLOOKUP(A1422,IMDB_Movies!I$2:I$3493,IMDB_Movies!P$2:P$3493)</f>
        <v>0</v>
      </c>
    </row>
    <row r="1423">
      <c r="A1423" s="20" t="s">
        <v>5002</v>
      </c>
      <c r="B1423" s="35">
        <f t="array" ref="B1423">XLOOKUP(A1423,IMDB_Movies!I$2:I$3493,IMDB_Movies!Q$2:Q$3493)</f>
        <v>0</v>
      </c>
      <c r="E1423" s="20" t="s">
        <v>5002</v>
      </c>
      <c r="F1423" s="36">
        <f t="array" ref="F1423">XLOOKUP(A1423,IMDB_Movies!I$2:I$3493,IMDB_Movies!P$2:P$3493)</f>
        <v>160147615</v>
      </c>
    </row>
    <row r="1424">
      <c r="A1424" s="11" t="s">
        <v>5005</v>
      </c>
      <c r="B1424" s="35">
        <f t="array" ref="B1424">XLOOKUP(A1424,IMDB_Movies!I$2:I$3493,IMDB_Movies!Q$2:Q$3493)</f>
        <v>0</v>
      </c>
      <c r="E1424" s="11" t="s">
        <v>5005</v>
      </c>
      <c r="F1424" s="36">
        <f t="array" ref="F1424">XLOOKUP(A1424,IMDB_Movies!I$2:I$3493,IMDB_Movies!P$2:P$3493)</f>
        <v>24037564</v>
      </c>
    </row>
    <row r="1425">
      <c r="A1425" s="20" t="s">
        <v>5008</v>
      </c>
      <c r="B1425" s="35">
        <f t="array" ref="B1425">XLOOKUP(A1425,IMDB_Movies!I$2:I$3493,IMDB_Movies!Q$2:Q$3493)</f>
        <v>0</v>
      </c>
      <c r="E1425" s="20" t="s">
        <v>5008</v>
      </c>
      <c r="F1425" s="36">
        <f t="array" ref="F1425">XLOOKUP(A1425,IMDB_Movies!I$2:I$3493,IMDB_Movies!P$2:P$3493)</f>
        <v>131507</v>
      </c>
    </row>
    <row r="1426">
      <c r="A1426" s="20" t="s">
        <v>5012</v>
      </c>
      <c r="B1426" s="35">
        <f t="array" ref="B1426">XLOOKUP(A1426,IMDB_Movies!I$2:I$3493,IMDB_Movies!Q$2:Q$3493)</f>
        <v>7678961</v>
      </c>
      <c r="E1426" s="20" t="s">
        <v>5012</v>
      </c>
      <c r="F1426" s="36">
        <f t="array" ref="F1426">XLOOKUP(A1426,IMDB_Movies!I$2:I$3493,IMDB_Movies!P$2:P$3493)</f>
        <v>0</v>
      </c>
    </row>
    <row r="1427">
      <c r="A1427" s="11" t="s">
        <v>5016</v>
      </c>
      <c r="B1427" s="35">
        <f t="array" ref="B1427">XLOOKUP(A1427,IMDB_Movies!I$2:I$3493,IMDB_Movies!Q$2:Q$3493)</f>
        <v>4983934</v>
      </c>
      <c r="E1427" s="11" t="s">
        <v>5016</v>
      </c>
      <c r="F1427" s="36">
        <f t="array" ref="F1427">XLOOKUP(A1427,IMDB_Movies!I$2:I$3493,IMDB_Movies!P$2:P$3493)</f>
        <v>0</v>
      </c>
    </row>
    <row r="1428">
      <c r="A1428" s="11" t="s">
        <v>5018</v>
      </c>
      <c r="B1428" s="35">
        <f t="array" ref="B1428">XLOOKUP(A1428,IMDB_Movies!I$2:I$3493,IMDB_Movies!Q$2:Q$3493)</f>
        <v>0</v>
      </c>
      <c r="E1428" s="11" t="s">
        <v>5018</v>
      </c>
      <c r="F1428" s="36">
        <f t="array" ref="F1428">XLOOKUP(A1428,IMDB_Movies!I$2:I$3493,IMDB_Movies!P$2:P$3493)</f>
        <v>89692572</v>
      </c>
    </row>
    <row r="1429">
      <c r="A1429" s="24" t="s">
        <v>5021</v>
      </c>
      <c r="B1429" s="35">
        <f t="array" ref="B1429">XLOOKUP(A1429,IMDB_Movies!I$2:I$3493,IMDB_Movies!Q$2:Q$3493)</f>
        <v>0</v>
      </c>
      <c r="E1429" s="24" t="s">
        <v>5021</v>
      </c>
      <c r="F1429" s="36">
        <f t="array" ref="F1429">XLOOKUP(A1429,IMDB_Movies!I$2:I$3493,IMDB_Movies!P$2:P$3493)</f>
        <v>17850000</v>
      </c>
    </row>
    <row r="1430">
      <c r="A1430" s="20" t="s">
        <v>5023</v>
      </c>
      <c r="B1430" s="35">
        <f t="array" ref="B1430">XLOOKUP(A1430,IMDB_Movies!I$2:I$3493,IMDB_Movies!Q$2:Q$3493)</f>
        <v>0</v>
      </c>
      <c r="E1430" s="20" t="s">
        <v>5023</v>
      </c>
      <c r="F1430" s="36">
        <f t="array" ref="F1430">XLOOKUP(A1430,IMDB_Movies!I$2:I$3493,IMDB_Movies!P$2:P$3493)</f>
        <v>1177215</v>
      </c>
    </row>
    <row r="1431">
      <c r="A1431" s="20" t="s">
        <v>5026</v>
      </c>
      <c r="B1431" s="35">
        <f t="array" ref="B1431">XLOOKUP(A1431,IMDB_Movies!I$2:I$3493,IMDB_Movies!Q$2:Q$3493)</f>
        <v>12602611</v>
      </c>
      <c r="E1431" s="20" t="s">
        <v>5026</v>
      </c>
      <c r="F1431" s="36">
        <f t="array" ref="F1431">XLOOKUP(A1431,IMDB_Movies!I$2:I$3493,IMDB_Movies!P$2:P$3493)</f>
        <v>0</v>
      </c>
    </row>
    <row r="1432">
      <c r="A1432" s="20" t="s">
        <v>5029</v>
      </c>
      <c r="B1432" s="35">
        <f t="array" ref="B1432">XLOOKUP(A1432,IMDB_Movies!I$2:I$3493,IMDB_Movies!Q$2:Q$3493)</f>
        <v>0</v>
      </c>
      <c r="E1432" s="20" t="s">
        <v>5029</v>
      </c>
      <c r="F1432" s="36">
        <f t="array" ref="F1432">XLOOKUP(A1432,IMDB_Movies!I$2:I$3493,IMDB_Movies!P$2:P$3493)</f>
        <v>69470202</v>
      </c>
    </row>
    <row r="1433">
      <c r="A1433" s="20" t="s">
        <v>5032</v>
      </c>
      <c r="B1433" s="35">
        <f t="array" ref="B1433">XLOOKUP(A1433,IMDB_Movies!I$2:I$3493,IMDB_Movies!Q$2:Q$3493)</f>
        <v>33328495</v>
      </c>
      <c r="E1433" s="20" t="s">
        <v>5032</v>
      </c>
      <c r="F1433" s="36">
        <f t="array" ref="F1433">XLOOKUP(A1433,IMDB_Movies!I$2:I$3493,IMDB_Movies!P$2:P$3493)</f>
        <v>0</v>
      </c>
    </row>
    <row r="1434">
      <c r="A1434" s="24" t="s">
        <v>5034</v>
      </c>
      <c r="B1434" s="35">
        <f t="array" ref="B1434">XLOOKUP(A1434,IMDB_Movies!I$2:I$3493,IMDB_Movies!Q$2:Q$3493)</f>
        <v>33716560</v>
      </c>
      <c r="E1434" s="24" t="s">
        <v>5034</v>
      </c>
      <c r="F1434" s="36">
        <f t="array" ref="F1434">XLOOKUP(A1434,IMDB_Movies!I$2:I$3493,IMDB_Movies!P$2:P$3493)</f>
        <v>0</v>
      </c>
    </row>
    <row r="1435">
      <c r="A1435" s="24" t="s">
        <v>5037</v>
      </c>
      <c r="B1435" s="35">
        <f t="array" ref="B1435">XLOOKUP(A1435,IMDB_Movies!I$2:I$3493,IMDB_Movies!Q$2:Q$3493)</f>
        <v>25032818</v>
      </c>
      <c r="E1435" s="24" t="s">
        <v>5037</v>
      </c>
      <c r="F1435" s="36">
        <f t="array" ref="F1435">XLOOKUP(A1435,IMDB_Movies!I$2:I$3493,IMDB_Movies!P$2:P$3493)</f>
        <v>0</v>
      </c>
    </row>
    <row r="1436">
      <c r="A1436" s="20" t="s">
        <v>5041</v>
      </c>
      <c r="B1436" s="35">
        <f t="array" ref="B1436">XLOOKUP(A1436,IMDB_Movies!I$2:I$3493,IMDB_Movies!Q$2:Q$3493)</f>
        <v>0</v>
      </c>
      <c r="E1436" s="20" t="s">
        <v>5041</v>
      </c>
      <c r="F1436" s="36">
        <f t="array" ref="F1436">XLOOKUP(A1436,IMDB_Movies!I$2:I$3493,IMDB_Movies!P$2:P$3493)</f>
        <v>377783777</v>
      </c>
    </row>
    <row r="1437">
      <c r="A1437" s="11" t="s">
        <v>5043</v>
      </c>
      <c r="B1437" s="35">
        <f t="array" ref="B1437">XLOOKUP(A1437,IMDB_Movies!I$2:I$3493,IMDB_Movies!Q$2:Q$3493)</f>
        <v>7302852</v>
      </c>
      <c r="E1437" s="11" t="s">
        <v>5043</v>
      </c>
      <c r="F1437" s="36">
        <f t="array" ref="F1437">XLOOKUP(A1437,IMDB_Movies!I$2:I$3493,IMDB_Movies!P$2:P$3493)</f>
        <v>0</v>
      </c>
    </row>
    <row r="1438">
      <c r="A1438" s="20" t="s">
        <v>5045</v>
      </c>
      <c r="B1438" s="35">
        <f t="array" ref="B1438">XLOOKUP(A1438,IMDB_Movies!I$2:I$3493,IMDB_Movies!Q$2:Q$3493)</f>
        <v>66359574</v>
      </c>
      <c r="E1438" s="20" t="s">
        <v>5045</v>
      </c>
      <c r="F1438" s="36">
        <f t="array" ref="F1438">XLOOKUP(A1438,IMDB_Movies!I$2:I$3493,IMDB_Movies!P$2:P$3493)</f>
        <v>0</v>
      </c>
    </row>
    <row r="1439">
      <c r="A1439" s="20" t="s">
        <v>5048</v>
      </c>
      <c r="B1439" s="35">
        <f t="array" ref="B1439">XLOOKUP(A1439,IMDB_Movies!I$2:I$3493,IMDB_Movies!Q$2:Q$3493)</f>
        <v>0</v>
      </c>
      <c r="E1439" s="20" t="s">
        <v>5048</v>
      </c>
      <c r="F1439" s="36">
        <f t="array" ref="F1439">XLOOKUP(A1439,IMDB_Movies!I$2:I$3493,IMDB_Movies!P$2:P$3493)</f>
        <v>100000</v>
      </c>
    </row>
    <row r="1440">
      <c r="A1440" s="32" t="s">
        <v>5050</v>
      </c>
      <c r="B1440" s="35">
        <f t="array" ref="B1440">XLOOKUP(A1440,IMDB_Movies!I$2:I$3493,IMDB_Movies!Q$2:Q$3493)</f>
        <v>0</v>
      </c>
      <c r="E1440" s="32" t="s">
        <v>5050</v>
      </c>
      <c r="F1440" s="36">
        <f t="array" ref="F1440">XLOOKUP(A1440,IMDB_Movies!I$2:I$3493,IMDB_Movies!P$2:P$3493)</f>
        <v>11188905</v>
      </c>
    </row>
    <row r="1441">
      <c r="A1441" s="11" t="s">
        <v>5053</v>
      </c>
      <c r="B1441" s="35">
        <f t="array" ref="B1441">XLOOKUP(A1441,IMDB_Movies!I$2:I$3493,IMDB_Movies!Q$2:Q$3493)</f>
        <v>35222993</v>
      </c>
      <c r="E1441" s="11" t="s">
        <v>5053</v>
      </c>
      <c r="F1441" s="36">
        <f t="array" ref="F1441">XLOOKUP(A1441,IMDB_Movies!I$2:I$3493,IMDB_Movies!P$2:P$3493)</f>
        <v>0</v>
      </c>
    </row>
    <row r="1442">
      <c r="A1442" s="11" t="s">
        <v>5057</v>
      </c>
      <c r="B1442" s="35">
        <f t="array" ref="B1442">XLOOKUP(A1442,IMDB_Movies!I$2:I$3493,IMDB_Movies!Q$2:Q$3493)</f>
        <v>2127109510</v>
      </c>
      <c r="E1442" s="11" t="s">
        <v>5057</v>
      </c>
      <c r="F1442" s="36">
        <f t="array" ref="F1442">XLOOKUP(A1442,IMDB_Movies!I$2:I$3493,IMDB_Movies!P$2:P$3493)</f>
        <v>0</v>
      </c>
    </row>
    <row r="1443">
      <c r="A1443" s="24" t="s">
        <v>5060</v>
      </c>
      <c r="B1443" s="35">
        <f t="array" ref="B1443">XLOOKUP(A1443,IMDB_Movies!I$2:I$3493,IMDB_Movies!Q$2:Q$3493)</f>
        <v>0</v>
      </c>
      <c r="E1443" s="24" t="s">
        <v>5060</v>
      </c>
      <c r="F1443" s="36">
        <f t="array" ref="F1443">XLOOKUP(A1443,IMDB_Movies!I$2:I$3493,IMDB_Movies!P$2:P$3493)</f>
        <v>36468315</v>
      </c>
    </row>
    <row r="1444">
      <c r="A1444" s="24" t="s">
        <v>5065</v>
      </c>
      <c r="B1444" s="35">
        <f t="array" ref="B1444">XLOOKUP(A1444,IMDB_Movies!I$2:I$3493,IMDB_Movies!Q$2:Q$3493)</f>
        <v>11000000</v>
      </c>
      <c r="E1444" s="24" t="s">
        <v>5065</v>
      </c>
      <c r="F1444" s="36">
        <f t="array" ref="F1444">XLOOKUP(A1444,IMDB_Movies!I$2:I$3493,IMDB_Movies!P$2:P$3493)</f>
        <v>0</v>
      </c>
    </row>
    <row r="1445">
      <c r="A1445" s="16" t="s">
        <v>5069</v>
      </c>
      <c r="B1445" s="35">
        <f t="array" ref="B1445">XLOOKUP(A1445,IMDB_Movies!I$2:I$3493,IMDB_Movies!Q$2:Q$3493)</f>
        <v>0</v>
      </c>
      <c r="E1445" s="16" t="s">
        <v>5069</v>
      </c>
      <c r="F1445" s="36">
        <f t="array" ref="F1445">XLOOKUP(A1445,IMDB_Movies!I$2:I$3493,IMDB_Movies!P$2:P$3493)</f>
        <v>11900000</v>
      </c>
    </row>
    <row r="1446">
      <c r="A1446" s="32" t="s">
        <v>5072</v>
      </c>
      <c r="B1446" s="35">
        <f t="array" ref="B1446">XLOOKUP(A1446,IMDB_Movies!I$2:I$3493,IMDB_Movies!Q$2:Q$3493)</f>
        <v>5708430</v>
      </c>
      <c r="E1446" s="32" t="s">
        <v>5072</v>
      </c>
      <c r="F1446" s="36">
        <f t="array" ref="F1446">XLOOKUP(A1446,IMDB_Movies!I$2:I$3493,IMDB_Movies!P$2:P$3493)</f>
        <v>0</v>
      </c>
    </row>
    <row r="1447">
      <c r="A1447" s="11" t="s">
        <v>5075</v>
      </c>
      <c r="B1447" s="35">
        <f t="array" ref="B1447">XLOOKUP(A1447,IMDB_Movies!I$2:I$3493,IMDB_Movies!Q$2:Q$3493)</f>
        <v>3368360</v>
      </c>
      <c r="E1447" s="11" t="s">
        <v>5075</v>
      </c>
      <c r="F1447" s="36">
        <f t="array" ref="F1447">XLOOKUP(A1447,IMDB_Movies!I$2:I$3493,IMDB_Movies!P$2:P$3493)</f>
        <v>0</v>
      </c>
    </row>
    <row r="1448">
      <c r="A1448" s="11" t="s">
        <v>5079</v>
      </c>
      <c r="B1448" s="35">
        <f t="array" ref="B1448">XLOOKUP(A1448,IMDB_Movies!I$2:I$3493,IMDB_Movies!Q$2:Q$3493)</f>
        <v>0</v>
      </c>
      <c r="E1448" s="11" t="s">
        <v>5079</v>
      </c>
      <c r="F1448" s="36">
        <f t="array" ref="F1448">XLOOKUP(A1448,IMDB_Movies!I$2:I$3493,IMDB_Movies!P$2:P$3493)</f>
        <v>117387272</v>
      </c>
    </row>
    <row r="1449">
      <c r="A1449" s="20" t="s">
        <v>5083</v>
      </c>
      <c r="B1449" s="35">
        <f t="array" ref="B1449">XLOOKUP(A1449,IMDB_Movies!I$2:I$3493,IMDB_Movies!Q$2:Q$3493)</f>
        <v>0</v>
      </c>
      <c r="E1449" s="20" t="s">
        <v>5083</v>
      </c>
      <c r="F1449" s="36">
        <f t="array" ref="F1449">XLOOKUP(A1449,IMDB_Movies!I$2:I$3493,IMDB_Movies!P$2:P$3493)</f>
        <v>7655201</v>
      </c>
    </row>
    <row r="1450">
      <c r="A1450" s="20" t="s">
        <v>5087</v>
      </c>
      <c r="B1450" s="35">
        <f t="array" ref="B1450">XLOOKUP(A1450,IMDB_Movies!I$2:I$3493,IMDB_Movies!Q$2:Q$3493)</f>
        <v>0</v>
      </c>
      <c r="E1450" s="20" t="s">
        <v>5087</v>
      </c>
      <c r="F1450" s="36">
        <f t="array" ref="F1450">XLOOKUP(A1450,IMDB_Movies!I$2:I$3493,IMDB_Movies!P$2:P$3493)</f>
        <v>652835</v>
      </c>
    </row>
    <row r="1451">
      <c r="A1451" s="24" t="s">
        <v>5089</v>
      </c>
      <c r="B1451" s="35">
        <f t="array" ref="B1451">XLOOKUP(A1451,IMDB_Movies!I$2:I$3493,IMDB_Movies!Q$2:Q$3493)</f>
        <v>0</v>
      </c>
      <c r="E1451" s="24" t="s">
        <v>5089</v>
      </c>
      <c r="F1451" s="36">
        <f t="array" ref="F1451">XLOOKUP(A1451,IMDB_Movies!I$2:I$3493,IMDB_Movies!P$2:P$3493)</f>
        <v>52387997</v>
      </c>
    </row>
    <row r="1452">
      <c r="A1452" s="20" t="s">
        <v>5093</v>
      </c>
      <c r="B1452" s="35">
        <f t="array" ref="B1452">XLOOKUP(A1452,IMDB_Movies!I$2:I$3493,IMDB_Movies!Q$2:Q$3493)</f>
        <v>14994117</v>
      </c>
      <c r="E1452" s="20" t="s">
        <v>5093</v>
      </c>
      <c r="F1452" s="36">
        <f t="array" ref="F1452">XLOOKUP(A1452,IMDB_Movies!I$2:I$3493,IMDB_Movies!P$2:P$3493)</f>
        <v>0</v>
      </c>
    </row>
    <row r="1453">
      <c r="A1453" s="20" t="s">
        <v>5097</v>
      </c>
      <c r="B1453" s="35">
        <f t="array" ref="B1453">XLOOKUP(A1453,IMDB_Movies!I$2:I$3493,IMDB_Movies!Q$2:Q$3493)</f>
        <v>0</v>
      </c>
      <c r="E1453" s="20" t="s">
        <v>5097</v>
      </c>
      <c r="F1453" s="36">
        <f t="array" ref="F1453">XLOOKUP(A1453,IMDB_Movies!I$2:I$3493,IMDB_Movies!P$2:P$3493)</f>
        <v>1590010</v>
      </c>
    </row>
    <row r="1454">
      <c r="A1454" s="32" t="s">
        <v>5100</v>
      </c>
      <c r="B1454" s="35">
        <f t="array" ref="B1454">XLOOKUP(A1454,IMDB_Movies!I$2:I$3493,IMDB_Movies!Q$2:Q$3493)</f>
        <v>0</v>
      </c>
      <c r="E1454" s="32" t="s">
        <v>5100</v>
      </c>
      <c r="F1454" s="36">
        <f t="array" ref="F1454">XLOOKUP(A1454,IMDB_Movies!I$2:I$3493,IMDB_Movies!P$2:P$3493)</f>
        <v>45264608</v>
      </c>
    </row>
    <row r="1455">
      <c r="A1455" s="28" t="s">
        <v>5104</v>
      </c>
      <c r="B1455" s="35">
        <f t="array" ref="B1455">XLOOKUP(A1455,IMDB_Movies!I$2:I$3493,IMDB_Movies!Q$2:Q$3493)</f>
        <v>0</v>
      </c>
      <c r="E1455" s="28" t="s">
        <v>5104</v>
      </c>
      <c r="F1455" s="36">
        <f t="array" ref="F1455">XLOOKUP(A1455,IMDB_Movies!I$2:I$3493,IMDB_Movies!P$2:P$3493)</f>
        <v>1703287</v>
      </c>
    </row>
    <row r="1456">
      <c r="A1456" s="28" t="s">
        <v>5107</v>
      </c>
      <c r="B1456" s="35">
        <f t="array" ref="B1456">XLOOKUP(A1456,IMDB_Movies!I$2:I$3493,IMDB_Movies!Q$2:Q$3493)</f>
        <v>0</v>
      </c>
      <c r="E1456" s="28" t="s">
        <v>5107</v>
      </c>
      <c r="F1456" s="36">
        <f t="array" ref="F1456">XLOOKUP(A1456,IMDB_Movies!I$2:I$3493,IMDB_Movies!P$2:P$3493)</f>
        <v>6383298</v>
      </c>
    </row>
    <row r="1457">
      <c r="A1457" s="20" t="s">
        <v>5111</v>
      </c>
      <c r="B1457" s="35">
        <f t="array" ref="B1457">XLOOKUP(A1457,IMDB_Movies!I$2:I$3493,IMDB_Movies!Q$2:Q$3493)</f>
        <v>0</v>
      </c>
      <c r="E1457" s="20" t="s">
        <v>5111</v>
      </c>
      <c r="F1457" s="36">
        <f t="array" ref="F1457">XLOOKUP(A1457,IMDB_Movies!I$2:I$3493,IMDB_Movies!P$2:P$3493)</f>
        <v>1409668</v>
      </c>
    </row>
    <row r="1458">
      <c r="A1458" s="20" t="s">
        <v>5115</v>
      </c>
      <c r="B1458" s="35">
        <f t="array" ref="B1458">XLOOKUP(A1458,IMDB_Movies!I$2:I$3493,IMDB_Movies!Q$2:Q$3493)</f>
        <v>32310542</v>
      </c>
      <c r="E1458" s="20" t="s">
        <v>5115</v>
      </c>
      <c r="F1458" s="36">
        <f t="array" ref="F1458">XLOOKUP(A1458,IMDB_Movies!I$2:I$3493,IMDB_Movies!P$2:P$3493)</f>
        <v>0</v>
      </c>
    </row>
    <row r="1459">
      <c r="A1459" s="11" t="s">
        <v>5119</v>
      </c>
      <c r="B1459" s="35">
        <f t="array" ref="B1459">XLOOKUP(A1459,IMDB_Movies!I$2:I$3493,IMDB_Movies!Q$2:Q$3493)</f>
        <v>49971</v>
      </c>
      <c r="E1459" s="11" t="s">
        <v>5119</v>
      </c>
      <c r="F1459" s="36">
        <f t="array" ref="F1459">XLOOKUP(A1459,IMDB_Movies!I$2:I$3493,IMDB_Movies!P$2:P$3493)</f>
        <v>0</v>
      </c>
    </row>
    <row r="1460">
      <c r="A1460" s="11" t="s">
        <v>5121</v>
      </c>
      <c r="B1460" s="35">
        <f t="array" ref="B1460">XLOOKUP(A1460,IMDB_Movies!I$2:I$3493,IMDB_Movies!Q$2:Q$3493)</f>
        <v>0</v>
      </c>
      <c r="E1460" s="11" t="s">
        <v>5121</v>
      </c>
      <c r="F1460" s="36">
        <f t="array" ref="F1460">XLOOKUP(A1460,IMDB_Movies!I$2:I$3493,IMDB_Movies!P$2:P$3493)</f>
        <v>6532308</v>
      </c>
    </row>
    <row r="1461">
      <c r="A1461" s="11" t="s">
        <v>5124</v>
      </c>
      <c r="B1461" s="35">
        <f t="array" ref="B1461">XLOOKUP(A1461,IMDB_Movies!I$2:I$3493,IMDB_Movies!Q$2:Q$3493)</f>
        <v>0</v>
      </c>
      <c r="E1461" s="11" t="s">
        <v>5124</v>
      </c>
      <c r="F1461" s="36">
        <f t="array" ref="F1461">XLOOKUP(A1461,IMDB_Movies!I$2:I$3493,IMDB_Movies!P$2:P$3493)</f>
        <v>99541238</v>
      </c>
    </row>
    <row r="1462">
      <c r="A1462" s="28" t="s">
        <v>5128</v>
      </c>
      <c r="B1462" s="35">
        <f t="array" ref="B1462">XLOOKUP(A1462,IMDB_Movies!I$2:I$3493,IMDB_Movies!Q$2:Q$3493)</f>
        <v>23720770</v>
      </c>
      <c r="E1462" s="28" t="s">
        <v>5128</v>
      </c>
      <c r="F1462" s="36">
        <f t="array" ref="F1462">XLOOKUP(A1462,IMDB_Movies!I$2:I$3493,IMDB_Movies!P$2:P$3493)</f>
        <v>0</v>
      </c>
    </row>
    <row r="1463">
      <c r="A1463" s="24" t="s">
        <v>5130</v>
      </c>
      <c r="B1463" s="35">
        <f t="array" ref="B1463">XLOOKUP(A1463,IMDB_Movies!I$2:I$3493,IMDB_Movies!Q$2:Q$3493)</f>
        <v>0</v>
      </c>
      <c r="E1463" s="24" t="s">
        <v>5130</v>
      </c>
      <c r="F1463" s="36">
        <f t="array" ref="F1463">XLOOKUP(A1463,IMDB_Movies!I$2:I$3493,IMDB_Movies!P$2:P$3493)</f>
        <v>89732962</v>
      </c>
    </row>
    <row r="1464">
      <c r="A1464" s="11" t="s">
        <v>5135</v>
      </c>
      <c r="B1464" s="35">
        <f t="array" ref="B1464">XLOOKUP(A1464,IMDB_Movies!I$2:I$3493,IMDB_Movies!Q$2:Q$3493)</f>
        <v>19647348</v>
      </c>
      <c r="E1464" s="11" t="s">
        <v>5135</v>
      </c>
      <c r="F1464" s="36">
        <f t="array" ref="F1464">XLOOKUP(A1464,IMDB_Movies!I$2:I$3493,IMDB_Movies!P$2:P$3493)</f>
        <v>0</v>
      </c>
    </row>
    <row r="1465">
      <c r="A1465" s="20" t="s">
        <v>5139</v>
      </c>
      <c r="B1465" s="35">
        <f t="array" ref="B1465">XLOOKUP(A1465,IMDB_Movies!I$2:I$3493,IMDB_Movies!Q$2:Q$3493)</f>
        <v>4841843</v>
      </c>
      <c r="E1465" s="20" t="s">
        <v>5139</v>
      </c>
      <c r="F1465" s="36">
        <f t="array" ref="F1465">XLOOKUP(A1465,IMDB_Movies!I$2:I$3493,IMDB_Movies!P$2:P$3493)</f>
        <v>0</v>
      </c>
    </row>
    <row r="1466">
      <c r="A1466" s="24" t="s">
        <v>5143</v>
      </c>
      <c r="B1466" s="35">
        <f t="array" ref="B1466">XLOOKUP(A1466,IMDB_Movies!I$2:I$3493,IMDB_Movies!Q$2:Q$3493)</f>
        <v>0</v>
      </c>
      <c r="E1466" s="24" t="s">
        <v>5143</v>
      </c>
      <c r="F1466" s="36">
        <f t="array" ref="F1466">XLOOKUP(A1466,IMDB_Movies!I$2:I$3493,IMDB_Movies!P$2:P$3493)</f>
        <v>33553787</v>
      </c>
    </row>
    <row r="1467">
      <c r="A1467" s="20" t="s">
        <v>5146</v>
      </c>
      <c r="B1467" s="35">
        <f t="array" ref="B1467">XLOOKUP(A1467,IMDB_Movies!I$2:I$3493,IMDB_Movies!Q$2:Q$3493)</f>
        <v>0</v>
      </c>
      <c r="E1467" s="20" t="s">
        <v>5146</v>
      </c>
      <c r="F1467" s="36">
        <f t="array" ref="F1467">XLOOKUP(A1467,IMDB_Movies!I$2:I$3493,IMDB_Movies!P$2:P$3493)</f>
        <v>43346930</v>
      </c>
    </row>
    <row r="1468">
      <c r="A1468" s="11" t="s">
        <v>5149</v>
      </c>
      <c r="B1468" s="35">
        <f t="array" ref="B1468">XLOOKUP(A1468,IMDB_Movies!I$2:I$3493,IMDB_Movies!Q$2:Q$3493)</f>
        <v>25458771</v>
      </c>
      <c r="E1468" s="11" t="s">
        <v>5149</v>
      </c>
      <c r="F1468" s="36">
        <f t="array" ref="F1468">XLOOKUP(A1468,IMDB_Movies!I$2:I$3493,IMDB_Movies!P$2:P$3493)</f>
        <v>0</v>
      </c>
    </row>
    <row r="1469">
      <c r="A1469" s="11" t="s">
        <v>5152</v>
      </c>
      <c r="B1469" s="35">
        <f t="array" ref="B1469">XLOOKUP(A1469,IMDB_Movies!I$2:I$3493,IMDB_Movies!Q$2:Q$3493)</f>
        <v>24697039</v>
      </c>
      <c r="E1469" s="11" t="s">
        <v>5152</v>
      </c>
      <c r="F1469" s="36">
        <f t="array" ref="F1469">XLOOKUP(A1469,IMDB_Movies!I$2:I$3493,IMDB_Movies!P$2:P$3493)</f>
        <v>0</v>
      </c>
    </row>
    <row r="1470">
      <c r="A1470" s="11" t="s">
        <v>5155</v>
      </c>
      <c r="B1470" s="35">
        <f t="array" ref="B1470">XLOOKUP(A1470,IMDB_Movies!I$2:I$3493,IMDB_Movies!Q$2:Q$3493)</f>
        <v>39600000</v>
      </c>
      <c r="E1470" s="11" t="s">
        <v>5155</v>
      </c>
      <c r="F1470" s="36">
        <f t="array" ref="F1470">XLOOKUP(A1470,IMDB_Movies!I$2:I$3493,IMDB_Movies!P$2:P$3493)</f>
        <v>0</v>
      </c>
    </row>
    <row r="1471">
      <c r="A1471" s="20" t="s">
        <v>5158</v>
      </c>
      <c r="B1471" s="35">
        <f t="array" ref="B1471">XLOOKUP(A1471,IMDB_Movies!I$2:I$3493,IMDB_Movies!Q$2:Q$3493)</f>
        <v>7569012</v>
      </c>
      <c r="E1471" s="20" t="s">
        <v>5158</v>
      </c>
      <c r="F1471" s="36">
        <f t="array" ref="F1471">XLOOKUP(A1471,IMDB_Movies!I$2:I$3493,IMDB_Movies!P$2:P$3493)</f>
        <v>0</v>
      </c>
    </row>
    <row r="1472">
      <c r="A1472" s="11" t="s">
        <v>5160</v>
      </c>
      <c r="B1472" s="35">
        <f t="array" ref="B1472">XLOOKUP(A1472,IMDB_Movies!I$2:I$3493,IMDB_Movies!Q$2:Q$3493)</f>
        <v>22947259</v>
      </c>
      <c r="E1472" s="11" t="s">
        <v>5160</v>
      </c>
      <c r="F1472" s="36">
        <f t="array" ref="F1472">XLOOKUP(A1472,IMDB_Movies!I$2:I$3493,IMDB_Movies!P$2:P$3493)</f>
        <v>0</v>
      </c>
    </row>
    <row r="1473">
      <c r="A1473" s="20" t="s">
        <v>5163</v>
      </c>
      <c r="B1473" s="35">
        <f t="array" ref="B1473">XLOOKUP(A1473,IMDB_Movies!I$2:I$3493,IMDB_Movies!Q$2:Q$3493)</f>
        <v>22236956</v>
      </c>
      <c r="E1473" s="20" t="s">
        <v>5163</v>
      </c>
      <c r="F1473" s="36">
        <f t="array" ref="F1473">XLOOKUP(A1473,IMDB_Movies!I$2:I$3493,IMDB_Movies!P$2:P$3493)</f>
        <v>0</v>
      </c>
    </row>
    <row r="1474">
      <c r="A1474" s="16" t="s">
        <v>5167</v>
      </c>
      <c r="B1474" s="35">
        <f t="array" ref="B1474">XLOOKUP(A1474,IMDB_Movies!I$2:I$3493,IMDB_Movies!Q$2:Q$3493)</f>
        <v>22673938</v>
      </c>
      <c r="E1474" s="16" t="s">
        <v>5167</v>
      </c>
      <c r="F1474" s="36">
        <f t="array" ref="F1474">XLOOKUP(A1474,IMDB_Movies!I$2:I$3493,IMDB_Movies!P$2:P$3493)</f>
        <v>0</v>
      </c>
    </row>
    <row r="1475">
      <c r="A1475" s="24" t="s">
        <v>5171</v>
      </c>
      <c r="B1475" s="35">
        <f t="array" ref="B1475">XLOOKUP(A1475,IMDB_Movies!I$2:I$3493,IMDB_Movies!Q$2:Q$3493)</f>
        <v>0</v>
      </c>
      <c r="E1475" s="24" t="s">
        <v>5171</v>
      </c>
      <c r="F1475" s="36">
        <f t="array" ref="F1475">XLOOKUP(A1475,IMDB_Movies!I$2:I$3493,IMDB_Movies!P$2:P$3493)</f>
        <v>21304264</v>
      </c>
    </row>
    <row r="1476">
      <c r="A1476" s="11" t="s">
        <v>5173</v>
      </c>
      <c r="B1476" s="35">
        <f t="array" ref="B1476">XLOOKUP(A1476,IMDB_Movies!I$2:I$3493,IMDB_Movies!Q$2:Q$3493)</f>
        <v>0</v>
      </c>
      <c r="E1476" s="11" t="s">
        <v>5173</v>
      </c>
      <c r="F1476" s="36">
        <f t="array" ref="F1476">XLOOKUP(A1476,IMDB_Movies!I$2:I$3493,IMDB_Movies!P$2:P$3493)</f>
        <v>12621249</v>
      </c>
    </row>
    <row r="1477">
      <c r="A1477" s="32" t="s">
        <v>5175</v>
      </c>
      <c r="B1477" s="35">
        <f t="array" ref="B1477">XLOOKUP(A1477,IMDB_Movies!I$2:I$3493,IMDB_Movies!Q$2:Q$3493)</f>
        <v>0</v>
      </c>
      <c r="E1477" s="32" t="s">
        <v>5175</v>
      </c>
      <c r="F1477" s="36">
        <f t="array" ref="F1477">XLOOKUP(A1477,IMDB_Movies!I$2:I$3493,IMDB_Movies!P$2:P$3493)</f>
        <v>5004225</v>
      </c>
    </row>
    <row r="1478">
      <c r="A1478" s="24" t="s">
        <v>5178</v>
      </c>
      <c r="B1478" s="35">
        <f t="array" ref="B1478">XLOOKUP(A1478,IMDB_Movies!I$2:I$3493,IMDB_Movies!Q$2:Q$3493)</f>
        <v>0</v>
      </c>
      <c r="E1478" s="24" t="s">
        <v>5178</v>
      </c>
      <c r="F1478" s="36">
        <f t="array" ref="F1478">XLOOKUP(A1478,IMDB_Movies!I$2:I$3493,IMDB_Movies!P$2:P$3493)</f>
        <v>84222438</v>
      </c>
    </row>
    <row r="1479">
      <c r="A1479" s="11" t="s">
        <v>5182</v>
      </c>
      <c r="B1479" s="35">
        <f t="array" ref="B1479">XLOOKUP(A1479,IMDB_Movies!I$2:I$3493,IMDB_Movies!Q$2:Q$3493)</f>
        <v>0</v>
      </c>
      <c r="E1479" s="11" t="s">
        <v>5182</v>
      </c>
      <c r="F1479" s="36">
        <f t="array" ref="F1479">XLOOKUP(A1479,IMDB_Movies!I$2:I$3493,IMDB_Movies!P$2:P$3493)</f>
        <v>7368960</v>
      </c>
    </row>
    <row r="1480">
      <c r="A1480" s="20" t="s">
        <v>5185</v>
      </c>
      <c r="B1480" s="35">
        <f t="array" ref="B1480">XLOOKUP(A1480,IMDB_Movies!I$2:I$3493,IMDB_Movies!Q$2:Q$3493)</f>
        <v>7937613</v>
      </c>
      <c r="E1480" s="20" t="s">
        <v>5185</v>
      </c>
      <c r="F1480" s="36">
        <f t="array" ref="F1480">XLOOKUP(A1480,IMDB_Movies!I$2:I$3493,IMDB_Movies!P$2:P$3493)</f>
        <v>0</v>
      </c>
    </row>
    <row r="1481">
      <c r="A1481" s="20" t="s">
        <v>5188</v>
      </c>
      <c r="B1481" s="35">
        <f t="array" ref="B1481">XLOOKUP(A1481,IMDB_Movies!I$2:I$3493,IMDB_Movies!Q$2:Q$3493)</f>
        <v>139853928</v>
      </c>
      <c r="E1481" s="20" t="s">
        <v>5188</v>
      </c>
      <c r="F1481" s="36">
        <f t="array" ref="F1481">XLOOKUP(A1481,IMDB_Movies!I$2:I$3493,IMDB_Movies!P$2:P$3493)</f>
        <v>0</v>
      </c>
    </row>
    <row r="1482">
      <c r="A1482" s="11" t="s">
        <v>5191</v>
      </c>
      <c r="B1482" s="35">
        <f t="array" ref="B1482">XLOOKUP(A1482,IMDB_Movies!I$2:I$3493,IMDB_Movies!Q$2:Q$3493)</f>
        <v>0</v>
      </c>
      <c r="E1482" s="11" t="s">
        <v>5191</v>
      </c>
      <c r="F1482" s="36">
        <f t="array" ref="F1482">XLOOKUP(A1482,IMDB_Movies!I$2:I$3493,IMDB_Movies!P$2:P$3493)</f>
        <v>37322273</v>
      </c>
    </row>
    <row r="1483">
      <c r="A1483" s="11" t="s">
        <v>5195</v>
      </c>
      <c r="B1483" s="35">
        <f t="array" ref="B1483">XLOOKUP(A1483,IMDB_Movies!I$2:I$3493,IMDB_Movies!Q$2:Q$3493)</f>
        <v>76070659</v>
      </c>
      <c r="E1483" s="11" t="s">
        <v>5195</v>
      </c>
      <c r="F1483" s="36">
        <f t="array" ref="F1483">XLOOKUP(A1483,IMDB_Movies!I$2:I$3493,IMDB_Movies!P$2:P$3493)</f>
        <v>0</v>
      </c>
    </row>
    <row r="1484">
      <c r="A1484" s="20" t="s">
        <v>5200</v>
      </c>
      <c r="B1484" s="35">
        <f t="array" ref="B1484">XLOOKUP(A1484,IMDB_Movies!I$2:I$3493,IMDB_Movies!Q$2:Q$3493)</f>
        <v>0</v>
      </c>
      <c r="E1484" s="20" t="s">
        <v>5200</v>
      </c>
      <c r="F1484" s="36">
        <f t="array" ref="F1484">XLOOKUP(A1484,IMDB_Movies!I$2:I$3493,IMDB_Movies!P$2:P$3493)</f>
        <v>6800000</v>
      </c>
    </row>
    <row r="1485">
      <c r="A1485" s="28" t="s">
        <v>5202</v>
      </c>
      <c r="B1485" s="35">
        <f t="array" ref="B1485">XLOOKUP(A1485,IMDB_Movies!I$2:I$3493,IMDB_Movies!Q$2:Q$3493)</f>
        <v>39034803</v>
      </c>
      <c r="E1485" s="28" t="s">
        <v>5202</v>
      </c>
      <c r="F1485" s="36">
        <f t="array" ref="F1485">XLOOKUP(A1485,IMDB_Movies!I$2:I$3493,IMDB_Movies!P$2:P$3493)</f>
        <v>0</v>
      </c>
    </row>
    <row r="1486">
      <c r="A1486" s="16" t="s">
        <v>5205</v>
      </c>
      <c r="B1486" s="35">
        <f t="array" ref="B1486">XLOOKUP(A1486,IMDB_Movies!I$2:I$3493,IMDB_Movies!Q$2:Q$3493)</f>
        <v>2581732</v>
      </c>
      <c r="E1486" s="16" t="s">
        <v>5205</v>
      </c>
      <c r="F1486" s="36">
        <f t="array" ref="F1486">XLOOKUP(A1486,IMDB_Movies!I$2:I$3493,IMDB_Movies!P$2:P$3493)</f>
        <v>0</v>
      </c>
    </row>
    <row r="1487">
      <c r="A1487" s="11" t="s">
        <v>5207</v>
      </c>
      <c r="B1487" s="35">
        <f t="array" ref="B1487">XLOOKUP(A1487,IMDB_Movies!I$2:I$3493,IMDB_Movies!Q$2:Q$3493)</f>
        <v>0</v>
      </c>
      <c r="E1487" s="11" t="s">
        <v>5207</v>
      </c>
      <c r="F1487" s="36">
        <f t="array" ref="F1487">XLOOKUP(A1487,IMDB_Movies!I$2:I$3493,IMDB_Movies!P$2:P$3493)</f>
        <v>62749203</v>
      </c>
    </row>
    <row r="1488">
      <c r="A1488" s="24" t="s">
        <v>5209</v>
      </c>
      <c r="B1488" s="35">
        <f t="array" ref="B1488">XLOOKUP(A1488,IMDB_Movies!I$2:I$3493,IMDB_Movies!Q$2:Q$3493)</f>
        <v>36954460</v>
      </c>
      <c r="E1488" s="24" t="s">
        <v>5209</v>
      </c>
      <c r="F1488" s="36">
        <f t="array" ref="F1488">XLOOKUP(A1488,IMDB_Movies!I$2:I$3493,IMDB_Movies!P$2:P$3493)</f>
        <v>0</v>
      </c>
    </row>
    <row r="1489">
      <c r="A1489" s="28" t="s">
        <v>5213</v>
      </c>
      <c r="B1489" s="35">
        <f t="array" ref="B1489">XLOOKUP(A1489,IMDB_Movies!I$2:I$3493,IMDB_Movies!Q$2:Q$3493)</f>
        <v>99275</v>
      </c>
      <c r="E1489" s="28" t="s">
        <v>5213</v>
      </c>
      <c r="F1489" s="36">
        <f t="array" ref="F1489">XLOOKUP(A1489,IMDB_Movies!I$2:I$3493,IMDB_Movies!P$2:P$3493)</f>
        <v>0</v>
      </c>
    </row>
    <row r="1490">
      <c r="A1490" s="20" t="s">
        <v>5218</v>
      </c>
      <c r="B1490" s="35">
        <f t="array" ref="B1490">XLOOKUP(A1490,IMDB_Movies!I$2:I$3493,IMDB_Movies!Q$2:Q$3493)</f>
        <v>36624819</v>
      </c>
      <c r="E1490" s="20" t="s">
        <v>5218</v>
      </c>
      <c r="F1490" s="36">
        <f t="array" ref="F1490">XLOOKUP(A1490,IMDB_Movies!I$2:I$3493,IMDB_Movies!P$2:P$3493)</f>
        <v>0</v>
      </c>
    </row>
    <row r="1491">
      <c r="A1491" s="11" t="s">
        <v>5222</v>
      </c>
      <c r="B1491" s="35">
        <f t="array" ref="B1491">XLOOKUP(A1491,IMDB_Movies!I$2:I$3493,IMDB_Movies!Q$2:Q$3493)</f>
        <v>2400000</v>
      </c>
      <c r="E1491" s="11" t="s">
        <v>5222</v>
      </c>
      <c r="F1491" s="36">
        <f t="array" ref="F1491">XLOOKUP(A1491,IMDB_Movies!I$2:I$3493,IMDB_Movies!P$2:P$3493)</f>
        <v>0</v>
      </c>
    </row>
    <row r="1492">
      <c r="A1492" s="24" t="s">
        <v>5224</v>
      </c>
      <c r="B1492" s="35">
        <f t="array" ref="B1492">XLOOKUP(A1492,IMDB_Movies!I$2:I$3493,IMDB_Movies!Q$2:Q$3493)</f>
        <v>12946185</v>
      </c>
      <c r="E1492" s="24" t="s">
        <v>5224</v>
      </c>
      <c r="F1492" s="36">
        <f t="array" ref="F1492">XLOOKUP(A1492,IMDB_Movies!I$2:I$3493,IMDB_Movies!P$2:P$3493)</f>
        <v>0</v>
      </c>
    </row>
    <row r="1493">
      <c r="A1493" s="28" t="s">
        <v>5226</v>
      </c>
      <c r="B1493" s="35">
        <f t="array" ref="B1493">XLOOKUP(A1493,IMDB_Movies!I$2:I$3493,IMDB_Movies!Q$2:Q$3493)</f>
        <v>18752184</v>
      </c>
      <c r="E1493" s="28" t="s">
        <v>5226</v>
      </c>
      <c r="F1493" s="36">
        <f t="array" ref="F1493">XLOOKUP(A1493,IMDB_Movies!I$2:I$3493,IMDB_Movies!P$2:P$3493)</f>
        <v>0</v>
      </c>
    </row>
    <row r="1494">
      <c r="A1494" s="11" t="s">
        <v>5228</v>
      </c>
      <c r="B1494" s="35">
        <f t="array" ref="B1494">XLOOKUP(A1494,IMDB_Movies!I$2:I$3493,IMDB_Movies!Q$2:Q$3493)</f>
        <v>0</v>
      </c>
      <c r="E1494" s="11" t="s">
        <v>5228</v>
      </c>
      <c r="F1494" s="36">
        <f t="array" ref="F1494">XLOOKUP(A1494,IMDB_Movies!I$2:I$3493,IMDB_Movies!P$2:P$3493)</f>
        <v>8232624</v>
      </c>
    </row>
    <row r="1495">
      <c r="A1495" s="11" t="s">
        <v>5230</v>
      </c>
      <c r="B1495" s="35">
        <f t="array" ref="B1495">XLOOKUP(A1495,IMDB_Movies!I$2:I$3493,IMDB_Movies!Q$2:Q$3493)</f>
        <v>0</v>
      </c>
      <c r="E1495" s="11" t="s">
        <v>5230</v>
      </c>
      <c r="F1495" s="36">
        <f t="array" ref="F1495">XLOOKUP(A1495,IMDB_Movies!I$2:I$3493,IMDB_Movies!P$2:P$3493)</f>
        <v>2690677</v>
      </c>
    </row>
    <row r="1496">
      <c r="A1496" s="11" t="s">
        <v>5234</v>
      </c>
      <c r="B1496" s="35">
        <f t="array" ref="B1496">XLOOKUP(A1496,IMDB_Movies!I$2:I$3493,IMDB_Movies!Q$2:Q$3493)</f>
        <v>399545745</v>
      </c>
      <c r="E1496" s="11" t="s">
        <v>5234</v>
      </c>
      <c r="F1496" s="36">
        <f t="array" ref="F1496">XLOOKUP(A1496,IMDB_Movies!I$2:I$3493,IMDB_Movies!P$2:P$3493)</f>
        <v>0</v>
      </c>
    </row>
    <row r="1497">
      <c r="A1497" s="11" t="s">
        <v>5238</v>
      </c>
      <c r="B1497" s="35">
        <f t="array" ref="B1497">XLOOKUP(A1497,IMDB_Movies!I$2:I$3493,IMDB_Movies!Q$2:Q$3493)</f>
        <v>0</v>
      </c>
      <c r="E1497" s="11" t="s">
        <v>5238</v>
      </c>
      <c r="F1497" s="36">
        <f t="array" ref="F1497">XLOOKUP(A1497,IMDB_Movies!I$2:I$3493,IMDB_Movies!P$2:P$3493)</f>
        <v>135992840</v>
      </c>
    </row>
    <row r="1498">
      <c r="A1498" s="28" t="s">
        <v>5240</v>
      </c>
      <c r="B1498" s="35">
        <f t="array" ref="B1498">XLOOKUP(A1498,IMDB_Movies!I$2:I$3493,IMDB_Movies!Q$2:Q$3493)</f>
        <v>0</v>
      </c>
      <c r="E1498" s="28" t="s">
        <v>5240</v>
      </c>
      <c r="F1498" s="36">
        <f t="array" ref="F1498">XLOOKUP(A1498,IMDB_Movies!I$2:I$3493,IMDB_Movies!P$2:P$3493)</f>
        <v>155823397</v>
      </c>
    </row>
    <row r="1499">
      <c r="A1499" s="24" t="s">
        <v>5242</v>
      </c>
      <c r="B1499" s="35">
        <f t="array" ref="B1499">XLOOKUP(A1499,IMDB_Movies!I$2:I$3493,IMDB_Movies!Q$2:Q$3493)</f>
        <v>28329069</v>
      </c>
      <c r="E1499" s="24" t="s">
        <v>5242</v>
      </c>
      <c r="F1499" s="36">
        <f t="array" ref="F1499">XLOOKUP(A1499,IMDB_Movies!I$2:I$3493,IMDB_Movies!P$2:P$3493)</f>
        <v>0</v>
      </c>
    </row>
    <row r="1500">
      <c r="A1500" s="28" t="s">
        <v>5245</v>
      </c>
      <c r="B1500" s="35">
        <f t="array" ref="B1500">XLOOKUP(A1500,IMDB_Movies!I$2:I$3493,IMDB_Movies!Q$2:Q$3493)</f>
        <v>8199698</v>
      </c>
      <c r="E1500" s="28" t="s">
        <v>5245</v>
      </c>
      <c r="F1500" s="36">
        <f t="array" ref="F1500">XLOOKUP(A1500,IMDB_Movies!I$2:I$3493,IMDB_Movies!P$2:P$3493)</f>
        <v>0</v>
      </c>
    </row>
    <row r="1501">
      <c r="A1501" s="11" t="s">
        <v>5247</v>
      </c>
      <c r="B1501" s="35">
        <f t="array" ref="B1501">XLOOKUP(A1501,IMDB_Movies!I$2:I$3493,IMDB_Movies!Q$2:Q$3493)</f>
        <v>2195727</v>
      </c>
      <c r="E1501" s="11" t="s">
        <v>5247</v>
      </c>
      <c r="F1501" s="36">
        <f t="array" ref="F1501">XLOOKUP(A1501,IMDB_Movies!I$2:I$3493,IMDB_Movies!P$2:P$3493)</f>
        <v>0</v>
      </c>
    </row>
    <row r="1502">
      <c r="A1502" s="11" t="s">
        <v>5250</v>
      </c>
      <c r="B1502" s="35">
        <f t="array" ref="B1502">XLOOKUP(A1502,IMDB_Movies!I$2:I$3493,IMDB_Movies!Q$2:Q$3493)</f>
        <v>17430732</v>
      </c>
      <c r="E1502" s="11" t="s">
        <v>5250</v>
      </c>
      <c r="F1502" s="36">
        <f t="array" ref="F1502">XLOOKUP(A1502,IMDB_Movies!I$2:I$3493,IMDB_Movies!P$2:P$3493)</f>
        <v>0</v>
      </c>
    </row>
    <row r="1503">
      <c r="A1503" s="20" t="s">
        <v>5254</v>
      </c>
      <c r="B1503" s="35">
        <f t="array" ref="B1503">XLOOKUP(A1503,IMDB_Movies!I$2:I$3493,IMDB_Movies!Q$2:Q$3493)</f>
        <v>0</v>
      </c>
      <c r="E1503" s="20" t="s">
        <v>5254</v>
      </c>
      <c r="F1503" s="36">
        <f t="array" ref="F1503">XLOOKUP(A1503,IMDB_Movies!I$2:I$3493,IMDB_Movies!P$2:P$3493)</f>
        <v>37365600</v>
      </c>
    </row>
    <row r="1504">
      <c r="A1504" s="32" t="s">
        <v>5257</v>
      </c>
      <c r="B1504" s="35">
        <f t="array" ref="B1504">XLOOKUP(A1504,IMDB_Movies!I$2:I$3493,IMDB_Movies!Q$2:Q$3493)</f>
        <v>0</v>
      </c>
      <c r="E1504" s="32" t="s">
        <v>5257</v>
      </c>
      <c r="F1504" s="36">
        <f t="array" ref="F1504">XLOOKUP(A1504,IMDB_Movies!I$2:I$3493,IMDB_Movies!P$2:P$3493)</f>
        <v>62310175</v>
      </c>
    </row>
    <row r="1505">
      <c r="A1505" s="11" t="s">
        <v>5260</v>
      </c>
      <c r="B1505" s="35">
        <f t="array" ref="B1505">XLOOKUP(A1505,IMDB_Movies!I$2:I$3493,IMDB_Movies!Q$2:Q$3493)</f>
        <v>0</v>
      </c>
      <c r="E1505" s="11" t="s">
        <v>5260</v>
      </c>
      <c r="F1505" s="36">
        <f t="array" ref="F1505">XLOOKUP(A1505,IMDB_Movies!I$2:I$3493,IMDB_Movies!P$2:P$3493)</f>
        <v>1081498</v>
      </c>
    </row>
    <row r="1506">
      <c r="A1506" s="24" t="s">
        <v>5263</v>
      </c>
      <c r="B1506" s="35">
        <f t="array" ref="B1506">XLOOKUP(A1506,IMDB_Movies!I$2:I$3493,IMDB_Movies!Q$2:Q$3493)</f>
        <v>0</v>
      </c>
      <c r="E1506" s="24" t="s">
        <v>5263</v>
      </c>
      <c r="F1506" s="36">
        <f t="array" ref="F1506">XLOOKUP(A1506,IMDB_Movies!I$2:I$3493,IMDB_Movies!P$2:P$3493)</f>
        <v>80292856</v>
      </c>
    </row>
    <row r="1507">
      <c r="A1507" s="11" t="s">
        <v>5265</v>
      </c>
      <c r="B1507" s="35">
        <f t="array" ref="B1507">XLOOKUP(A1507,IMDB_Movies!I$2:I$3493,IMDB_Movies!Q$2:Q$3493)</f>
        <v>0</v>
      </c>
      <c r="E1507" s="11" t="s">
        <v>5265</v>
      </c>
      <c r="F1507" s="36">
        <f t="array" ref="F1507">XLOOKUP(A1507,IMDB_Movies!I$2:I$3493,IMDB_Movies!P$2:P$3493)</f>
        <v>36643346</v>
      </c>
    </row>
    <row r="1508">
      <c r="A1508" s="20" t="s">
        <v>5268</v>
      </c>
      <c r="B1508" s="35">
        <f t="array" ref="B1508">XLOOKUP(A1508,IMDB_Movies!I$2:I$3493,IMDB_Movies!Q$2:Q$3493)</f>
        <v>0</v>
      </c>
      <c r="E1508" s="20" t="s">
        <v>5268</v>
      </c>
      <c r="F1508" s="36">
        <f t="array" ref="F1508">XLOOKUP(A1508,IMDB_Movies!I$2:I$3493,IMDB_Movies!P$2:P$3493)</f>
        <v>3290318</v>
      </c>
    </row>
    <row r="1509">
      <c r="A1509" s="20" t="s">
        <v>5270</v>
      </c>
      <c r="B1509" s="35">
        <f t="array" ref="B1509">XLOOKUP(A1509,IMDB_Movies!I$2:I$3493,IMDB_Movies!Q$2:Q$3493)</f>
        <v>0</v>
      </c>
      <c r="E1509" s="20" t="s">
        <v>5270</v>
      </c>
      <c r="F1509" s="36">
        <f t="array" ref="F1509">XLOOKUP(A1509,IMDB_Movies!I$2:I$3493,IMDB_Movies!P$2:P$3493)</f>
        <v>2137776</v>
      </c>
    </row>
    <row r="1510">
      <c r="A1510" s="11" t="s">
        <v>5272</v>
      </c>
      <c r="B1510" s="35">
        <f t="array" ref="B1510">XLOOKUP(A1510,IMDB_Movies!I$2:I$3493,IMDB_Movies!Q$2:Q$3493)</f>
        <v>34547688</v>
      </c>
      <c r="E1510" s="11" t="s">
        <v>5272</v>
      </c>
      <c r="F1510" s="36">
        <f t="array" ref="F1510">XLOOKUP(A1510,IMDB_Movies!I$2:I$3493,IMDB_Movies!P$2:P$3493)</f>
        <v>0</v>
      </c>
    </row>
    <row r="1511">
      <c r="A1511" s="16" t="s">
        <v>5275</v>
      </c>
      <c r="B1511" s="35">
        <f t="array" ref="B1511">XLOOKUP(A1511,IMDB_Movies!I$2:I$3493,IMDB_Movies!Q$2:Q$3493)</f>
        <v>0</v>
      </c>
      <c r="E1511" s="16" t="s">
        <v>5275</v>
      </c>
      <c r="F1511" s="36">
        <f t="array" ref="F1511">XLOOKUP(A1511,IMDB_Movies!I$2:I$3493,IMDB_Movies!P$2:P$3493)</f>
        <v>3549339</v>
      </c>
    </row>
    <row r="1512">
      <c r="A1512" s="11" t="s">
        <v>5278</v>
      </c>
      <c r="B1512" s="35">
        <f t="array" ref="B1512">XLOOKUP(A1512,IMDB_Movies!I$2:I$3493,IMDB_Movies!Q$2:Q$3493)</f>
        <v>0</v>
      </c>
      <c r="E1512" s="11" t="s">
        <v>5278</v>
      </c>
      <c r="F1512" s="36">
        <f t="array" ref="F1512">XLOOKUP(A1512,IMDB_Movies!I$2:I$3493,IMDB_Movies!P$2:P$3493)</f>
        <v>13539321</v>
      </c>
    </row>
    <row r="1513">
      <c r="A1513" s="16" t="s">
        <v>5281</v>
      </c>
      <c r="B1513" s="35">
        <f t="array" ref="B1513">XLOOKUP(A1513,IMDB_Movies!I$2:I$3493,IMDB_Movies!Q$2:Q$3493)</f>
        <v>19443</v>
      </c>
      <c r="E1513" s="16" t="s">
        <v>5281</v>
      </c>
      <c r="F1513" s="36">
        <f t="array" ref="F1513">XLOOKUP(A1513,IMDB_Movies!I$2:I$3493,IMDB_Movies!P$2:P$3493)</f>
        <v>0</v>
      </c>
    </row>
    <row r="1514">
      <c r="A1514" s="11" t="s">
        <v>5286</v>
      </c>
      <c r="B1514" s="35">
        <f t="array" ref="B1514">XLOOKUP(A1514,IMDB_Movies!I$2:I$3493,IMDB_Movies!Q$2:Q$3493)</f>
        <v>10890678</v>
      </c>
      <c r="E1514" s="11" t="s">
        <v>5286</v>
      </c>
      <c r="F1514" s="36">
        <f t="array" ref="F1514">XLOOKUP(A1514,IMDB_Movies!I$2:I$3493,IMDB_Movies!P$2:P$3493)</f>
        <v>0</v>
      </c>
    </row>
    <row r="1515">
      <c r="A1515" s="24" t="s">
        <v>5288</v>
      </c>
      <c r="B1515" s="35">
        <f t="array" ref="B1515">XLOOKUP(A1515,IMDB_Movies!I$2:I$3493,IMDB_Movies!Q$2:Q$3493)</f>
        <v>0</v>
      </c>
      <c r="E1515" s="24" t="s">
        <v>5288</v>
      </c>
      <c r="F1515" s="36">
        <f t="array" ref="F1515">XLOOKUP(A1515,IMDB_Movies!I$2:I$3493,IMDB_Movies!P$2:P$3493)</f>
        <v>3984028</v>
      </c>
    </row>
    <row r="1516">
      <c r="A1516" s="11" t="s">
        <v>5292</v>
      </c>
      <c r="B1516" s="35">
        <f t="array" ref="B1516">XLOOKUP(A1516,IMDB_Movies!I$2:I$3493,IMDB_Movies!Q$2:Q$3493)</f>
        <v>0</v>
      </c>
      <c r="E1516" s="11" t="s">
        <v>5292</v>
      </c>
      <c r="F1516" s="36">
        <f t="array" ref="F1516">XLOOKUP(A1516,IMDB_Movies!I$2:I$3493,IMDB_Movies!P$2:P$3493)</f>
        <v>11605861</v>
      </c>
    </row>
    <row r="1517">
      <c r="A1517" s="20" t="s">
        <v>5295</v>
      </c>
      <c r="B1517" s="35">
        <f t="array" ref="B1517">XLOOKUP(A1517,IMDB_Movies!I$2:I$3493,IMDB_Movies!Q$2:Q$3493)</f>
        <v>0</v>
      </c>
      <c r="E1517" s="20" t="s">
        <v>5295</v>
      </c>
      <c r="F1517" s="36">
        <f t="array" ref="F1517">XLOOKUP(A1517,IMDB_Movies!I$2:I$3493,IMDB_Movies!P$2:P$3493)</f>
        <v>2575718</v>
      </c>
    </row>
    <row r="1518">
      <c r="A1518" s="11" t="s">
        <v>5298</v>
      </c>
      <c r="B1518" s="35">
        <f t="array" ref="B1518">XLOOKUP(A1518,IMDB_Movies!I$2:I$3493,IMDB_Movies!Q$2:Q$3493)</f>
        <v>22698869</v>
      </c>
      <c r="E1518" s="11" t="s">
        <v>5298</v>
      </c>
      <c r="F1518" s="36">
        <f t="array" ref="F1518">XLOOKUP(A1518,IMDB_Movies!I$2:I$3493,IMDB_Movies!P$2:P$3493)</f>
        <v>0</v>
      </c>
    </row>
    <row r="1519">
      <c r="A1519" s="28" t="s">
        <v>5300</v>
      </c>
      <c r="B1519" s="35">
        <f t="array" ref="B1519">XLOOKUP(A1519,IMDB_Movies!I$2:I$3493,IMDB_Movies!Q$2:Q$3493)</f>
        <v>0</v>
      </c>
      <c r="E1519" s="28" t="s">
        <v>5300</v>
      </c>
      <c r="F1519" s="36">
        <f t="array" ref="F1519">XLOOKUP(A1519,IMDB_Movies!I$2:I$3493,IMDB_Movies!P$2:P$3493)</f>
        <v>9563543</v>
      </c>
    </row>
    <row r="1520">
      <c r="A1520" s="11" t="s">
        <v>5304</v>
      </c>
      <c r="B1520" s="35">
        <f t="array" ref="B1520">XLOOKUP(A1520,IMDB_Movies!I$2:I$3493,IMDB_Movies!Q$2:Q$3493)</f>
        <v>3157942</v>
      </c>
      <c r="E1520" s="11" t="s">
        <v>5304</v>
      </c>
      <c r="F1520" s="36">
        <f t="array" ref="F1520">XLOOKUP(A1520,IMDB_Movies!I$2:I$3493,IMDB_Movies!P$2:P$3493)</f>
        <v>0</v>
      </c>
    </row>
    <row r="1521">
      <c r="A1521" s="11" t="s">
        <v>5307</v>
      </c>
      <c r="B1521" s="35">
        <f t="array" ref="B1521">XLOOKUP(A1521,IMDB_Movies!I$2:I$3493,IMDB_Movies!Q$2:Q$3493)</f>
        <v>18918217</v>
      </c>
      <c r="E1521" s="11" t="s">
        <v>5307</v>
      </c>
      <c r="F1521" s="36">
        <f t="array" ref="F1521">XLOOKUP(A1521,IMDB_Movies!I$2:I$3493,IMDB_Movies!P$2:P$3493)</f>
        <v>0</v>
      </c>
    </row>
    <row r="1522">
      <c r="A1522" s="11" t="s">
        <v>5310</v>
      </c>
      <c r="B1522" s="35">
        <f t="array" ref="B1522">XLOOKUP(A1522,IMDB_Movies!I$2:I$3493,IMDB_Movies!Q$2:Q$3493)</f>
        <v>0</v>
      </c>
      <c r="E1522" s="11" t="s">
        <v>5310</v>
      </c>
      <c r="F1522" s="36">
        <f t="array" ref="F1522">XLOOKUP(A1522,IMDB_Movies!I$2:I$3493,IMDB_Movies!P$2:P$3493)</f>
        <v>200000</v>
      </c>
    </row>
    <row r="1523">
      <c r="A1523" s="11" t="s">
        <v>5313</v>
      </c>
      <c r="B1523" s="35">
        <f t="array" ref="B1523">XLOOKUP(A1523,IMDB_Movies!I$2:I$3493,IMDB_Movies!Q$2:Q$3493)</f>
        <v>4021435</v>
      </c>
      <c r="E1523" s="11" t="s">
        <v>5313</v>
      </c>
      <c r="F1523" s="36">
        <f t="array" ref="F1523">XLOOKUP(A1523,IMDB_Movies!I$2:I$3493,IMDB_Movies!P$2:P$3493)</f>
        <v>0</v>
      </c>
    </row>
    <row r="1524">
      <c r="A1524" s="28" t="s">
        <v>5315</v>
      </c>
      <c r="B1524" s="35">
        <f t="array" ref="B1524">XLOOKUP(A1524,IMDB_Movies!I$2:I$3493,IMDB_Movies!Q$2:Q$3493)</f>
        <v>0</v>
      </c>
      <c r="E1524" s="28" t="s">
        <v>5315</v>
      </c>
      <c r="F1524" s="36">
        <f t="array" ref="F1524">XLOOKUP(A1524,IMDB_Movies!I$2:I$3493,IMDB_Movies!P$2:P$3493)</f>
        <v>34172251</v>
      </c>
    </row>
    <row r="1525">
      <c r="A1525" s="11" t="s">
        <v>5317</v>
      </c>
      <c r="B1525" s="35">
        <f t="array" ref="B1525">XLOOKUP(A1525,IMDB_Movies!I$2:I$3493,IMDB_Movies!Q$2:Q$3493)</f>
        <v>11348338</v>
      </c>
      <c r="E1525" s="11" t="s">
        <v>5317</v>
      </c>
      <c r="F1525" s="36">
        <f t="array" ref="F1525">XLOOKUP(A1525,IMDB_Movies!I$2:I$3493,IMDB_Movies!P$2:P$3493)</f>
        <v>0</v>
      </c>
    </row>
    <row r="1526">
      <c r="A1526" s="28" t="s">
        <v>5320</v>
      </c>
      <c r="B1526" s="35">
        <f t="array" ref="B1526">XLOOKUP(A1526,IMDB_Movies!I$2:I$3493,IMDB_Movies!Q$2:Q$3493)</f>
        <v>0</v>
      </c>
      <c r="E1526" s="28" t="s">
        <v>5320</v>
      </c>
      <c r="F1526" s="36">
        <f t="array" ref="F1526">XLOOKUP(A1526,IMDB_Movies!I$2:I$3493,IMDB_Movies!P$2:P$3493)</f>
        <v>22877959</v>
      </c>
    </row>
    <row r="1527">
      <c r="A1527" s="24" t="s">
        <v>5323</v>
      </c>
      <c r="B1527" s="35">
        <f t="array" ref="B1527">XLOOKUP(A1527,IMDB_Movies!I$2:I$3493,IMDB_Movies!Q$2:Q$3493)</f>
        <v>0</v>
      </c>
      <c r="E1527" s="24" t="s">
        <v>5323</v>
      </c>
      <c r="F1527" s="36">
        <f t="array" ref="F1527">XLOOKUP(A1527,IMDB_Movies!I$2:I$3493,IMDB_Movies!P$2:P$3493)</f>
        <v>48800000</v>
      </c>
    </row>
    <row r="1528">
      <c r="A1528" s="16" t="s">
        <v>5327</v>
      </c>
      <c r="B1528" s="35">
        <f t="array" ref="B1528">XLOOKUP(A1528,IMDB_Movies!I$2:I$3493,IMDB_Movies!Q$2:Q$3493)</f>
        <v>0</v>
      </c>
      <c r="E1528" s="16" t="s">
        <v>5327</v>
      </c>
      <c r="F1528" s="36">
        <f t="array" ref="F1528">XLOOKUP(A1528,IMDB_Movies!I$2:I$3493,IMDB_Movies!P$2:P$3493)</f>
        <v>682273</v>
      </c>
    </row>
    <row r="1529">
      <c r="A1529" s="11" t="s">
        <v>5330</v>
      </c>
      <c r="B1529" s="35">
        <f t="array" ref="B1529">XLOOKUP(A1529,IMDB_Movies!I$2:I$3493,IMDB_Movies!Q$2:Q$3493)</f>
        <v>0</v>
      </c>
      <c r="E1529" s="11" t="s">
        <v>5330</v>
      </c>
      <c r="F1529" s="36">
        <f t="array" ref="F1529">XLOOKUP(A1529,IMDB_Movies!I$2:I$3493,IMDB_Movies!P$2:P$3493)</f>
        <v>13014536</v>
      </c>
    </row>
    <row r="1530">
      <c r="A1530" s="20" t="s">
        <v>5332</v>
      </c>
      <c r="B1530" s="35">
        <f t="array" ref="B1530">XLOOKUP(A1530,IMDB_Movies!I$2:I$3493,IMDB_Movies!Q$2:Q$3493)</f>
        <v>0</v>
      </c>
      <c r="E1530" s="20" t="s">
        <v>5332</v>
      </c>
      <c r="F1530" s="36">
        <f t="array" ref="F1530">XLOOKUP(A1530,IMDB_Movies!I$2:I$3493,IMDB_Movies!P$2:P$3493)</f>
        <v>24400000</v>
      </c>
    </row>
    <row r="1531">
      <c r="A1531" s="20" t="s">
        <v>5335</v>
      </c>
      <c r="B1531" s="35">
        <f t="array" ref="B1531">XLOOKUP(A1531,IMDB_Movies!I$2:I$3493,IMDB_Movies!Q$2:Q$3493)</f>
        <v>24720320</v>
      </c>
      <c r="E1531" s="20" t="s">
        <v>5335</v>
      </c>
      <c r="F1531" s="36">
        <f t="array" ref="F1531">XLOOKUP(A1531,IMDB_Movies!I$2:I$3493,IMDB_Movies!P$2:P$3493)</f>
        <v>0</v>
      </c>
    </row>
    <row r="1532">
      <c r="A1532" s="11" t="s">
        <v>5338</v>
      </c>
      <c r="B1532" s="35">
        <f t="array" ref="B1532">XLOOKUP(A1532,IMDB_Movies!I$2:I$3493,IMDB_Movies!Q$2:Q$3493)</f>
        <v>278739</v>
      </c>
      <c r="E1532" s="11" t="s">
        <v>5338</v>
      </c>
      <c r="F1532" s="36">
        <f t="array" ref="F1532">XLOOKUP(A1532,IMDB_Movies!I$2:I$3493,IMDB_Movies!P$2:P$3493)</f>
        <v>0</v>
      </c>
    </row>
    <row r="1533">
      <c r="A1533" s="24" t="s">
        <v>5340</v>
      </c>
      <c r="B1533" s="35">
        <f t="array" ref="B1533">XLOOKUP(A1533,IMDB_Movies!I$2:I$3493,IMDB_Movies!Q$2:Q$3493)</f>
        <v>0</v>
      </c>
      <c r="E1533" s="24" t="s">
        <v>5340</v>
      </c>
      <c r="F1533" s="36">
        <f t="array" ref="F1533">XLOOKUP(A1533,IMDB_Movies!I$2:I$3493,IMDB_Movies!P$2:P$3493)</f>
        <v>115096820</v>
      </c>
    </row>
    <row r="1534">
      <c r="A1534" s="24" t="s">
        <v>5345</v>
      </c>
      <c r="B1534" s="35">
        <f t="array" ref="B1534">XLOOKUP(A1534,IMDB_Movies!I$2:I$3493,IMDB_Movies!Q$2:Q$3493)</f>
        <v>69382160</v>
      </c>
      <c r="E1534" s="24" t="s">
        <v>5345</v>
      </c>
      <c r="F1534" s="36">
        <f t="array" ref="F1534">XLOOKUP(A1534,IMDB_Movies!I$2:I$3493,IMDB_Movies!P$2:P$3493)</f>
        <v>0</v>
      </c>
    </row>
    <row r="1535">
      <c r="A1535" s="11" t="s">
        <v>5348</v>
      </c>
      <c r="B1535" s="35">
        <f t="array" ref="B1535">XLOOKUP(A1535,IMDB_Movies!I$2:I$3493,IMDB_Movies!Q$2:Q$3493)</f>
        <v>4998280</v>
      </c>
      <c r="E1535" s="11" t="s">
        <v>5348</v>
      </c>
      <c r="F1535" s="36">
        <f t="array" ref="F1535">XLOOKUP(A1535,IMDB_Movies!I$2:I$3493,IMDB_Movies!P$2:P$3493)</f>
        <v>0</v>
      </c>
    </row>
    <row r="1536">
      <c r="A1536" s="11" t="s">
        <v>5352</v>
      </c>
      <c r="B1536" s="35">
        <f t="array" ref="B1536">XLOOKUP(A1536,IMDB_Movies!I$2:I$3493,IMDB_Movies!Q$2:Q$3493)</f>
        <v>0</v>
      </c>
      <c r="E1536" s="11" t="s">
        <v>5352</v>
      </c>
      <c r="F1536" s="36">
        <f t="array" ref="F1536">XLOOKUP(A1536,IMDB_Movies!I$2:I$3493,IMDB_Movies!P$2:P$3493)</f>
        <v>27800000</v>
      </c>
    </row>
    <row r="1537">
      <c r="A1537" s="11" t="s">
        <v>5356</v>
      </c>
      <c r="B1537" s="35">
        <f t="array" ref="B1537">XLOOKUP(A1537,IMDB_Movies!I$2:I$3493,IMDB_Movies!Q$2:Q$3493)</f>
        <v>0</v>
      </c>
      <c r="E1537" s="11" t="s">
        <v>5356</v>
      </c>
      <c r="F1537" s="36">
        <f t="array" ref="F1537">XLOOKUP(A1537,IMDB_Movies!I$2:I$3493,IMDB_Movies!P$2:P$3493)</f>
        <v>9858926</v>
      </c>
    </row>
    <row r="1538">
      <c r="A1538" s="24" t="s">
        <v>5361</v>
      </c>
      <c r="B1538" s="35">
        <f t="array" ref="B1538">XLOOKUP(A1538,IMDB_Movies!I$2:I$3493,IMDB_Movies!Q$2:Q$3493)</f>
        <v>7467810</v>
      </c>
      <c r="E1538" s="24" t="s">
        <v>5361</v>
      </c>
      <c r="F1538" s="36">
        <f t="array" ref="F1538">XLOOKUP(A1538,IMDB_Movies!I$2:I$3493,IMDB_Movies!P$2:P$3493)</f>
        <v>0</v>
      </c>
    </row>
    <row r="1539">
      <c r="A1539" s="11" t="s">
        <v>5363</v>
      </c>
      <c r="B1539" s="35">
        <f t="array" ref="B1539">XLOOKUP(A1539,IMDB_Movies!I$2:I$3493,IMDB_Movies!Q$2:Q$3493)</f>
        <v>13334037</v>
      </c>
      <c r="E1539" s="11" t="s">
        <v>5363</v>
      </c>
      <c r="F1539" s="36">
        <f t="array" ref="F1539">XLOOKUP(A1539,IMDB_Movies!I$2:I$3493,IMDB_Movies!P$2:P$3493)</f>
        <v>0</v>
      </c>
    </row>
    <row r="1540">
      <c r="A1540" s="32" t="s">
        <v>5366</v>
      </c>
      <c r="B1540" s="35">
        <f t="array" ref="B1540">XLOOKUP(A1540,IMDB_Movies!I$2:I$3493,IMDB_Movies!Q$2:Q$3493)</f>
        <v>0</v>
      </c>
      <c r="E1540" s="32" t="s">
        <v>5366</v>
      </c>
      <c r="F1540" s="36">
        <f t="array" ref="F1540">XLOOKUP(A1540,IMDB_Movies!I$2:I$3493,IMDB_Movies!P$2:P$3493)</f>
        <v>73005002</v>
      </c>
    </row>
    <row r="1541">
      <c r="A1541" s="32" t="s">
        <v>5369</v>
      </c>
      <c r="B1541" s="35">
        <f t="array" ref="B1541">XLOOKUP(A1541,IMDB_Movies!I$2:I$3493,IMDB_Movies!Q$2:Q$3493)</f>
        <v>8368161</v>
      </c>
      <c r="E1541" s="32" t="s">
        <v>5369</v>
      </c>
      <c r="F1541" s="36">
        <f t="array" ref="F1541">XLOOKUP(A1541,IMDB_Movies!I$2:I$3493,IMDB_Movies!P$2:P$3493)</f>
        <v>0</v>
      </c>
    </row>
    <row r="1542">
      <c r="A1542" s="20" t="s">
        <v>5373</v>
      </c>
      <c r="B1542" s="35">
        <f t="array" ref="B1542">XLOOKUP(A1542,IMDB_Movies!I$2:I$3493,IMDB_Movies!Q$2:Q$3493)</f>
        <v>6939142</v>
      </c>
      <c r="E1542" s="20" t="s">
        <v>5373</v>
      </c>
      <c r="F1542" s="36">
        <f t="array" ref="F1542">XLOOKUP(A1542,IMDB_Movies!I$2:I$3493,IMDB_Movies!P$2:P$3493)</f>
        <v>0</v>
      </c>
    </row>
    <row r="1543">
      <c r="A1543" s="11" t="s">
        <v>5377</v>
      </c>
      <c r="B1543" s="35">
        <f t="array" ref="B1543">XLOOKUP(A1543,IMDB_Movies!I$2:I$3493,IMDB_Movies!Q$2:Q$3493)</f>
        <v>0</v>
      </c>
      <c r="E1543" s="11" t="s">
        <v>5377</v>
      </c>
      <c r="F1543" s="36">
        <f t="array" ref="F1543">XLOOKUP(A1543,IMDB_Movies!I$2:I$3493,IMDB_Movies!P$2:P$3493)</f>
        <v>15422828</v>
      </c>
    </row>
    <row r="1544">
      <c r="A1544" s="20" t="s">
        <v>5380</v>
      </c>
      <c r="B1544" s="35">
        <f t="array" ref="B1544">XLOOKUP(A1544,IMDB_Movies!I$2:I$3493,IMDB_Movies!Q$2:Q$3493)</f>
        <v>11464232</v>
      </c>
      <c r="E1544" s="20" t="s">
        <v>5380</v>
      </c>
      <c r="F1544" s="36">
        <f t="array" ref="F1544">XLOOKUP(A1544,IMDB_Movies!I$2:I$3493,IMDB_Movies!P$2:P$3493)</f>
        <v>0</v>
      </c>
    </row>
    <row r="1545">
      <c r="A1545" s="24" t="s">
        <v>5384</v>
      </c>
      <c r="B1545" s="35">
        <f t="array" ref="B1545">XLOOKUP(A1545,IMDB_Movies!I$2:I$3493,IMDB_Movies!Q$2:Q$3493)</f>
        <v>0</v>
      </c>
      <c r="E1545" s="24" t="s">
        <v>5384</v>
      </c>
      <c r="F1545" s="36">
        <f t="array" ref="F1545">XLOOKUP(A1545,IMDB_Movies!I$2:I$3493,IMDB_Movies!P$2:P$3493)</f>
        <v>91519448</v>
      </c>
    </row>
    <row r="1546">
      <c r="A1546" s="32" t="s">
        <v>5387</v>
      </c>
      <c r="B1546" s="35">
        <f t="array" ref="B1546">XLOOKUP(A1546,IMDB_Movies!I$2:I$3493,IMDB_Movies!Q$2:Q$3493)</f>
        <v>201659</v>
      </c>
      <c r="E1546" s="32" t="s">
        <v>5387</v>
      </c>
      <c r="F1546" s="36">
        <f t="array" ref="F1546">XLOOKUP(A1546,IMDB_Movies!I$2:I$3493,IMDB_Movies!P$2:P$3493)</f>
        <v>0</v>
      </c>
    </row>
    <row r="1547">
      <c r="A1547" s="28" t="s">
        <v>5390</v>
      </c>
      <c r="B1547" s="35">
        <f t="array" ref="B1547">XLOOKUP(A1547,IMDB_Movies!I$2:I$3493,IMDB_Movies!Q$2:Q$3493)</f>
        <v>345923</v>
      </c>
      <c r="E1547" s="28" t="s">
        <v>5390</v>
      </c>
      <c r="F1547" s="36">
        <f t="array" ref="F1547">XLOOKUP(A1547,IMDB_Movies!I$2:I$3493,IMDB_Movies!P$2:P$3493)</f>
        <v>0</v>
      </c>
    </row>
    <row r="1548">
      <c r="A1548" s="11" t="s">
        <v>5392</v>
      </c>
      <c r="B1548" s="35">
        <f t="array" ref="B1548">XLOOKUP(A1548,IMDB_Movies!I$2:I$3493,IMDB_Movies!Q$2:Q$3493)</f>
        <v>0</v>
      </c>
      <c r="E1548" s="11" t="s">
        <v>5392</v>
      </c>
      <c r="F1548" s="36">
        <f t="array" ref="F1548">XLOOKUP(A1548,IMDB_Movies!I$2:I$3493,IMDB_Movies!P$2:P$3493)</f>
        <v>28895417</v>
      </c>
    </row>
    <row r="1549">
      <c r="A1549" s="11" t="s">
        <v>5396</v>
      </c>
      <c r="B1549" s="35">
        <f t="array" ref="B1549">XLOOKUP(A1549,IMDB_Movies!I$2:I$3493,IMDB_Movies!Q$2:Q$3493)</f>
        <v>43129431</v>
      </c>
      <c r="E1549" s="11" t="s">
        <v>5396</v>
      </c>
      <c r="F1549" s="36">
        <f t="array" ref="F1549">XLOOKUP(A1549,IMDB_Movies!I$2:I$3493,IMDB_Movies!P$2:P$3493)</f>
        <v>0</v>
      </c>
    </row>
    <row r="1550">
      <c r="A1550" s="11" t="s">
        <v>5399</v>
      </c>
      <c r="B1550" s="35">
        <f t="array" ref="B1550">XLOOKUP(A1550,IMDB_Movies!I$2:I$3493,IMDB_Movies!Q$2:Q$3493)</f>
        <v>0</v>
      </c>
      <c r="E1550" s="11" t="s">
        <v>5399</v>
      </c>
      <c r="F1550" s="36">
        <f t="array" ref="F1550">XLOOKUP(A1550,IMDB_Movies!I$2:I$3493,IMDB_Movies!P$2:P$3493)</f>
        <v>32614858</v>
      </c>
    </row>
    <row r="1551">
      <c r="A1551" s="20" t="s">
        <v>5402</v>
      </c>
      <c r="B1551" s="35">
        <f t="array" ref="B1551">XLOOKUP(A1551,IMDB_Movies!I$2:I$3493,IMDB_Movies!Q$2:Q$3493)</f>
        <v>0</v>
      </c>
      <c r="E1551" s="20" t="s">
        <v>5402</v>
      </c>
      <c r="F1551" s="36">
        <f t="array" ref="F1551">XLOOKUP(A1551,IMDB_Movies!I$2:I$3493,IMDB_Movies!P$2:P$3493)</f>
        <v>22670733</v>
      </c>
    </row>
    <row r="1552">
      <c r="A1552" s="16" t="s">
        <v>5406</v>
      </c>
      <c r="B1552" s="35">
        <f t="array" ref="B1552">XLOOKUP(A1552,IMDB_Movies!I$2:I$3493,IMDB_Movies!Q$2:Q$3493)</f>
        <v>0</v>
      </c>
      <c r="E1552" s="16" t="s">
        <v>5406</v>
      </c>
      <c r="F1552" s="36">
        <f t="array" ref="F1552">XLOOKUP(A1552,IMDB_Movies!I$2:I$3493,IMDB_Movies!P$2:P$3493)</f>
        <v>2844929</v>
      </c>
    </row>
    <row r="1553">
      <c r="A1553" s="11" t="s">
        <v>5408</v>
      </c>
      <c r="B1553" s="35">
        <f t="array" ref="B1553">XLOOKUP(A1553,IMDB_Movies!I$2:I$3493,IMDB_Movies!Q$2:Q$3493)</f>
        <v>0</v>
      </c>
      <c r="E1553" s="11" t="s">
        <v>5408</v>
      </c>
      <c r="F1553" s="36">
        <f t="array" ref="F1553">XLOOKUP(A1553,IMDB_Movies!I$2:I$3493,IMDB_Movies!P$2:P$3493)</f>
        <v>20687587</v>
      </c>
    </row>
    <row r="1554">
      <c r="A1554" s="11" t="s">
        <v>5411</v>
      </c>
      <c r="B1554" s="35">
        <f t="array" ref="B1554">XLOOKUP(A1554,IMDB_Movies!I$2:I$3493,IMDB_Movies!Q$2:Q$3493)</f>
        <v>0</v>
      </c>
      <c r="E1554" s="11" t="s">
        <v>5411</v>
      </c>
      <c r="F1554" s="36">
        <f t="array" ref="F1554">XLOOKUP(A1554,IMDB_Movies!I$2:I$3493,IMDB_Movies!P$2:P$3493)</f>
        <v>19234747</v>
      </c>
    </row>
    <row r="1555">
      <c r="A1555" s="11" t="s">
        <v>5413</v>
      </c>
      <c r="B1555" s="35">
        <f t="array" ref="B1555">XLOOKUP(A1555,IMDB_Movies!I$2:I$3493,IMDB_Movies!Q$2:Q$3493)</f>
        <v>0</v>
      </c>
      <c r="E1555" s="11" t="s">
        <v>5413</v>
      </c>
      <c r="F1555" s="36">
        <f t="array" ref="F1555">XLOOKUP(A1555,IMDB_Movies!I$2:I$3493,IMDB_Movies!P$2:P$3493)</f>
        <v>224374454</v>
      </c>
    </row>
    <row r="1556">
      <c r="A1556" s="20" t="s">
        <v>5415</v>
      </c>
      <c r="B1556" s="35">
        <f t="array" ref="B1556">XLOOKUP(A1556,IMDB_Movies!I$2:I$3493,IMDB_Movies!Q$2:Q$3493)</f>
        <v>0</v>
      </c>
      <c r="E1556" s="20" t="s">
        <v>5415</v>
      </c>
      <c r="F1556" s="36">
        <f t="array" ref="F1556">XLOOKUP(A1556,IMDB_Movies!I$2:I$3493,IMDB_Movies!P$2:P$3493)</f>
        <v>9677</v>
      </c>
    </row>
    <row r="1557">
      <c r="A1557" s="20" t="s">
        <v>5417</v>
      </c>
      <c r="B1557" s="35">
        <f t="array" ref="B1557">XLOOKUP(A1557,IMDB_Movies!I$2:I$3493,IMDB_Movies!Q$2:Q$3493)</f>
        <v>7373095</v>
      </c>
      <c r="E1557" s="20" t="s">
        <v>5417</v>
      </c>
      <c r="F1557" s="36">
        <f t="array" ref="F1557">XLOOKUP(A1557,IMDB_Movies!I$2:I$3493,IMDB_Movies!P$2:P$3493)</f>
        <v>0</v>
      </c>
    </row>
    <row r="1558">
      <c r="A1558" s="20" t="s">
        <v>5419</v>
      </c>
      <c r="B1558" s="35">
        <f t="array" ref="B1558">XLOOKUP(A1558,IMDB_Movies!I$2:I$3493,IMDB_Movies!Q$2:Q$3493)</f>
        <v>0</v>
      </c>
      <c r="E1558" s="20" t="s">
        <v>5419</v>
      </c>
      <c r="F1558" s="36">
        <f t="array" ref="F1558">XLOOKUP(A1558,IMDB_Movies!I$2:I$3493,IMDB_Movies!P$2:P$3493)</f>
        <v>83740650</v>
      </c>
    </row>
    <row r="1559">
      <c r="A1559" s="32" t="s">
        <v>5422</v>
      </c>
      <c r="B1559" s="35">
        <f t="array" ref="B1559">XLOOKUP(A1559,IMDB_Movies!I$2:I$3493,IMDB_Movies!Q$2:Q$3493)</f>
        <v>0</v>
      </c>
      <c r="E1559" s="32" t="s">
        <v>5422</v>
      </c>
      <c r="F1559" s="36">
        <f t="array" ref="F1559">XLOOKUP(A1559,IMDB_Movies!I$2:I$3493,IMDB_Movies!P$2:P$3493)</f>
        <v>15596227</v>
      </c>
    </row>
    <row r="1560">
      <c r="A1560" s="11" t="s">
        <v>5425</v>
      </c>
      <c r="B1560" s="35">
        <f t="array" ref="B1560">XLOOKUP(A1560,IMDB_Movies!I$2:I$3493,IMDB_Movies!Q$2:Q$3493)</f>
        <v>20412268</v>
      </c>
      <c r="E1560" s="11" t="s">
        <v>5425</v>
      </c>
      <c r="F1560" s="36">
        <f t="array" ref="F1560">XLOOKUP(A1560,IMDB_Movies!I$2:I$3493,IMDB_Movies!P$2:P$3493)</f>
        <v>0</v>
      </c>
    </row>
    <row r="1561">
      <c r="A1561" s="24" t="s">
        <v>5427</v>
      </c>
      <c r="B1561" s="35">
        <f t="array" ref="B1561">XLOOKUP(A1561,IMDB_Movies!I$2:I$3493,IMDB_Movies!Q$2:Q$3493)</f>
        <v>0</v>
      </c>
      <c r="E1561" s="24" t="s">
        <v>5427</v>
      </c>
      <c r="F1561" s="36">
        <f t="array" ref="F1561">XLOOKUP(A1561,IMDB_Movies!I$2:I$3493,IMDB_Movies!P$2:P$3493)</f>
        <v>49654900</v>
      </c>
    </row>
    <row r="1562">
      <c r="A1562" s="24" t="s">
        <v>5430</v>
      </c>
      <c r="B1562" s="35">
        <f t="array" ref="B1562">XLOOKUP(A1562,IMDB_Movies!I$2:I$3493,IMDB_Movies!Q$2:Q$3493)</f>
        <v>14549025</v>
      </c>
      <c r="E1562" s="24" t="s">
        <v>5430</v>
      </c>
      <c r="F1562" s="36">
        <f t="array" ref="F1562">XLOOKUP(A1562,IMDB_Movies!I$2:I$3493,IMDB_Movies!P$2:P$3493)</f>
        <v>0</v>
      </c>
    </row>
    <row r="1563">
      <c r="A1563" s="11" t="s">
        <v>5434</v>
      </c>
      <c r="B1563" s="35">
        <f t="array" ref="B1563">XLOOKUP(A1563,IMDB_Movies!I$2:I$3493,IMDB_Movies!Q$2:Q$3493)</f>
        <v>17231467</v>
      </c>
      <c r="E1563" s="11" t="s">
        <v>5434</v>
      </c>
      <c r="F1563" s="36">
        <f t="array" ref="F1563">XLOOKUP(A1563,IMDB_Movies!I$2:I$3493,IMDB_Movies!P$2:P$3493)</f>
        <v>0</v>
      </c>
    </row>
    <row r="1564">
      <c r="A1564" s="20" t="s">
        <v>5437</v>
      </c>
      <c r="B1564" s="35">
        <f t="array" ref="B1564">XLOOKUP(A1564,IMDB_Movies!I$2:I$3493,IMDB_Movies!Q$2:Q$3493)</f>
        <v>0</v>
      </c>
      <c r="E1564" s="20" t="s">
        <v>5437</v>
      </c>
      <c r="F1564" s="36">
        <f t="array" ref="F1564">XLOOKUP(A1564,IMDB_Movies!I$2:I$3493,IMDB_Movies!P$2:P$3493)</f>
        <v>181454367</v>
      </c>
    </row>
    <row r="1565">
      <c r="A1565" s="20" t="s">
        <v>5441</v>
      </c>
      <c r="B1565" s="35">
        <f t="array" ref="B1565">XLOOKUP(A1565,IMDB_Movies!I$2:I$3493,IMDB_Movies!Q$2:Q$3493)</f>
        <v>1217916</v>
      </c>
      <c r="E1565" s="20" t="s">
        <v>5441</v>
      </c>
      <c r="F1565" s="36">
        <f t="array" ref="F1565">XLOOKUP(A1565,IMDB_Movies!I$2:I$3493,IMDB_Movies!P$2:P$3493)</f>
        <v>0</v>
      </c>
    </row>
    <row r="1566">
      <c r="A1566" s="32" t="s">
        <v>5443</v>
      </c>
      <c r="B1566" s="35">
        <f t="array" ref="B1566">XLOOKUP(A1566,IMDB_Movies!I$2:I$3493,IMDB_Movies!Q$2:Q$3493)</f>
        <v>6470234</v>
      </c>
      <c r="E1566" s="32" t="s">
        <v>5443</v>
      </c>
      <c r="F1566" s="36">
        <f t="array" ref="F1566">XLOOKUP(A1566,IMDB_Movies!I$2:I$3493,IMDB_Movies!P$2:P$3493)</f>
        <v>0</v>
      </c>
    </row>
    <row r="1567">
      <c r="A1567" s="11" t="s">
        <v>5445</v>
      </c>
      <c r="B1567" s="35">
        <f t="array" ref="B1567">XLOOKUP(A1567,IMDB_Movies!I$2:I$3493,IMDB_Movies!Q$2:Q$3493)</f>
        <v>7443292</v>
      </c>
      <c r="E1567" s="11" t="s">
        <v>5445</v>
      </c>
      <c r="F1567" s="36">
        <f t="array" ref="F1567">XLOOKUP(A1567,IMDB_Movies!I$2:I$3493,IMDB_Movies!P$2:P$3493)</f>
        <v>0</v>
      </c>
    </row>
    <row r="1568">
      <c r="A1568" s="24" t="s">
        <v>5447</v>
      </c>
      <c r="B1568" s="35">
        <f t="array" ref="B1568">XLOOKUP(A1568,IMDB_Movies!I$2:I$3493,IMDB_Movies!Q$2:Q$3493)</f>
        <v>32973330</v>
      </c>
      <c r="E1568" s="24" t="s">
        <v>5447</v>
      </c>
      <c r="F1568" s="36">
        <f t="array" ref="F1568">XLOOKUP(A1568,IMDB_Movies!I$2:I$3493,IMDB_Movies!P$2:P$3493)</f>
        <v>0</v>
      </c>
    </row>
    <row r="1569">
      <c r="A1569" s="11" t="s">
        <v>5450</v>
      </c>
      <c r="B1569" s="35">
        <f t="array" ref="B1569">XLOOKUP(A1569,IMDB_Movies!I$2:I$3493,IMDB_Movies!Q$2:Q$3493)</f>
        <v>129828140</v>
      </c>
      <c r="E1569" s="11" t="s">
        <v>5450</v>
      </c>
      <c r="F1569" s="36">
        <f t="array" ref="F1569">XLOOKUP(A1569,IMDB_Movies!I$2:I$3493,IMDB_Movies!P$2:P$3493)</f>
        <v>0</v>
      </c>
    </row>
    <row r="1570">
      <c r="A1570" s="11" t="s">
        <v>5452</v>
      </c>
      <c r="B1570" s="35">
        <f t="array" ref="B1570">XLOOKUP(A1570,IMDB_Movies!I$2:I$3493,IMDB_Movies!Q$2:Q$3493)</f>
        <v>1472045</v>
      </c>
      <c r="E1570" s="11" t="s">
        <v>5452</v>
      </c>
      <c r="F1570" s="36">
        <f t="array" ref="F1570">XLOOKUP(A1570,IMDB_Movies!I$2:I$3493,IMDB_Movies!P$2:P$3493)</f>
        <v>0</v>
      </c>
    </row>
    <row r="1571">
      <c r="A1571" s="24" t="s">
        <v>5456</v>
      </c>
      <c r="B1571" s="35">
        <f t="array" ref="B1571">XLOOKUP(A1571,IMDB_Movies!I$2:I$3493,IMDB_Movies!Q$2:Q$3493)</f>
        <v>0</v>
      </c>
      <c r="E1571" s="24" t="s">
        <v>5456</v>
      </c>
      <c r="F1571" s="36">
        <f t="array" ref="F1571">XLOOKUP(A1571,IMDB_Movies!I$2:I$3493,IMDB_Movies!P$2:P$3493)</f>
        <v>242172</v>
      </c>
    </row>
    <row r="1572">
      <c r="A1572" s="11" t="s">
        <v>5458</v>
      </c>
      <c r="B1572" s="35">
        <f t="array" ref="B1572">XLOOKUP(A1572,IMDB_Movies!I$2:I$3493,IMDB_Movies!Q$2:Q$3493)</f>
        <v>0</v>
      </c>
      <c r="E1572" s="11" t="s">
        <v>5458</v>
      </c>
      <c r="F1572" s="36">
        <f t="array" ref="F1572">XLOOKUP(A1572,IMDB_Movies!I$2:I$3493,IMDB_Movies!P$2:P$3493)</f>
        <v>18635046</v>
      </c>
    </row>
    <row r="1573">
      <c r="A1573" s="11" t="s">
        <v>5462</v>
      </c>
      <c r="B1573" s="35">
        <f t="array" ref="B1573">XLOOKUP(A1573,IMDB_Movies!I$2:I$3493,IMDB_Movies!Q$2:Q$3493)</f>
        <v>64831323</v>
      </c>
      <c r="E1573" s="11" t="s">
        <v>5462</v>
      </c>
      <c r="F1573" s="36">
        <f t="array" ref="F1573">XLOOKUP(A1573,IMDB_Movies!I$2:I$3493,IMDB_Movies!P$2:P$3493)</f>
        <v>0</v>
      </c>
    </row>
    <row r="1574">
      <c r="A1574" s="11" t="s">
        <v>5465</v>
      </c>
      <c r="B1574" s="35">
        <f t="array" ref="B1574">XLOOKUP(A1574,IMDB_Movies!I$2:I$3493,IMDB_Movies!Q$2:Q$3493)</f>
        <v>0</v>
      </c>
      <c r="E1574" s="11" t="s">
        <v>5465</v>
      </c>
      <c r="F1574" s="36">
        <f t="array" ref="F1574">XLOOKUP(A1574,IMDB_Movies!I$2:I$3493,IMDB_Movies!P$2:P$3493)</f>
        <v>35305995</v>
      </c>
    </row>
    <row r="1575">
      <c r="A1575" s="32" t="s">
        <v>5467</v>
      </c>
      <c r="B1575" s="35">
        <f t="array" ref="B1575">XLOOKUP(A1575,IMDB_Movies!I$2:I$3493,IMDB_Movies!Q$2:Q$3493)</f>
        <v>0</v>
      </c>
      <c r="E1575" s="32" t="s">
        <v>5467</v>
      </c>
      <c r="F1575" s="36">
        <f t="array" ref="F1575">XLOOKUP(A1575,IMDB_Movies!I$2:I$3493,IMDB_Movies!P$2:P$3493)</f>
        <v>25454043</v>
      </c>
    </row>
    <row r="1576">
      <c r="A1576" s="32" t="s">
        <v>5469</v>
      </c>
      <c r="B1576" s="35">
        <f t="array" ref="B1576">XLOOKUP(A1576,IMDB_Movies!I$2:I$3493,IMDB_Movies!Q$2:Q$3493)</f>
        <v>10825346</v>
      </c>
      <c r="E1576" s="32" t="s">
        <v>5469</v>
      </c>
      <c r="F1576" s="36">
        <f t="array" ref="F1576">XLOOKUP(A1576,IMDB_Movies!I$2:I$3493,IMDB_Movies!P$2:P$3493)</f>
        <v>0</v>
      </c>
    </row>
    <row r="1577">
      <c r="A1577" s="20" t="s">
        <v>5471</v>
      </c>
      <c r="B1577" s="35">
        <f t="array" ref="B1577">XLOOKUP(A1577,IMDB_Movies!I$2:I$3493,IMDB_Movies!Q$2:Q$3493)</f>
        <v>28888740</v>
      </c>
      <c r="E1577" s="20" t="s">
        <v>5471</v>
      </c>
      <c r="F1577" s="36">
        <f t="array" ref="F1577">XLOOKUP(A1577,IMDB_Movies!I$2:I$3493,IMDB_Movies!P$2:P$3493)</f>
        <v>0</v>
      </c>
    </row>
    <row r="1578">
      <c r="A1578" s="11" t="s">
        <v>5474</v>
      </c>
      <c r="B1578" s="35">
        <f t="array" ref="B1578">XLOOKUP(A1578,IMDB_Movies!I$2:I$3493,IMDB_Movies!Q$2:Q$3493)</f>
        <v>0</v>
      </c>
      <c r="E1578" s="11" t="s">
        <v>5474</v>
      </c>
      <c r="F1578" s="36">
        <f t="array" ref="F1578">XLOOKUP(A1578,IMDB_Movies!I$2:I$3493,IMDB_Movies!P$2:P$3493)</f>
        <v>45929973</v>
      </c>
    </row>
    <row r="1579">
      <c r="A1579" s="11" t="s">
        <v>5476</v>
      </c>
      <c r="B1579" s="35">
        <f t="array" ref="B1579">XLOOKUP(A1579,IMDB_Movies!I$2:I$3493,IMDB_Movies!Q$2:Q$3493)</f>
        <v>0</v>
      </c>
      <c r="E1579" s="11" t="s">
        <v>5476</v>
      </c>
      <c r="F1579" s="36">
        <f t="array" ref="F1579">XLOOKUP(A1579,IMDB_Movies!I$2:I$3493,IMDB_Movies!P$2:P$3493)</f>
        <v>16144183</v>
      </c>
    </row>
    <row r="1580">
      <c r="A1580" s="24" t="s">
        <v>5478</v>
      </c>
      <c r="B1580" s="35">
        <f t="array" ref="B1580">XLOOKUP(A1580,IMDB_Movies!I$2:I$3493,IMDB_Movies!Q$2:Q$3493)</f>
        <v>30503417</v>
      </c>
      <c r="E1580" s="24" t="s">
        <v>5478</v>
      </c>
      <c r="F1580" s="36">
        <f t="array" ref="F1580">XLOOKUP(A1580,IMDB_Movies!I$2:I$3493,IMDB_Movies!P$2:P$3493)</f>
        <v>0</v>
      </c>
    </row>
    <row r="1581">
      <c r="A1581" s="20" t="s">
        <v>5480</v>
      </c>
      <c r="B1581" s="35">
        <f t="array" ref="B1581">XLOOKUP(A1581,IMDB_Movies!I$2:I$3493,IMDB_Movies!Q$2:Q$3493)</f>
        <v>0</v>
      </c>
      <c r="E1581" s="20" t="s">
        <v>5480</v>
      </c>
      <c r="F1581" s="36">
        <f t="array" ref="F1581">XLOOKUP(A1581,IMDB_Movies!I$2:I$3493,IMDB_Movies!P$2:P$3493)</f>
        <v>63930411</v>
      </c>
    </row>
    <row r="1582">
      <c r="A1582" s="28" t="s">
        <v>5483</v>
      </c>
      <c r="B1582" s="35">
        <f t="array" ref="B1582">XLOOKUP(A1582,IMDB_Movies!I$2:I$3493,IMDB_Movies!Q$2:Q$3493)</f>
        <v>15565274</v>
      </c>
      <c r="E1582" s="28" t="s">
        <v>5483</v>
      </c>
      <c r="F1582" s="36">
        <f t="array" ref="F1582">XLOOKUP(A1582,IMDB_Movies!I$2:I$3493,IMDB_Movies!P$2:P$3493)</f>
        <v>0</v>
      </c>
    </row>
    <row r="1583">
      <c r="A1583" s="20" t="s">
        <v>5488</v>
      </c>
      <c r="B1583" s="35">
        <f t="array" ref="B1583">XLOOKUP(A1583,IMDB_Movies!I$2:I$3493,IMDB_Movies!Q$2:Q$3493)</f>
        <v>0</v>
      </c>
      <c r="E1583" s="20" t="s">
        <v>5488</v>
      </c>
      <c r="F1583" s="36">
        <f t="array" ref="F1583">XLOOKUP(A1583,IMDB_Movies!I$2:I$3493,IMDB_Movies!P$2:P$3493)</f>
        <v>48622</v>
      </c>
    </row>
    <row r="1584">
      <c r="A1584" s="20" t="s">
        <v>5491</v>
      </c>
      <c r="B1584" s="35">
        <f t="array" ref="B1584">XLOOKUP(A1584,IMDB_Movies!I$2:I$3493,IMDB_Movies!Q$2:Q$3493)</f>
        <v>0</v>
      </c>
      <c r="E1584" s="20" t="s">
        <v>5491</v>
      </c>
      <c r="F1584" s="36">
        <f t="array" ref="F1584">XLOOKUP(A1584,IMDB_Movies!I$2:I$3493,IMDB_Movies!P$2:P$3493)</f>
        <v>2033920</v>
      </c>
    </row>
    <row r="1585">
      <c r="A1585" s="28" t="s">
        <v>5493</v>
      </c>
      <c r="B1585" s="35">
        <f t="array" ref="B1585">XLOOKUP(A1585,IMDB_Movies!I$2:I$3493,IMDB_Movies!Q$2:Q$3493)</f>
        <v>48343151</v>
      </c>
      <c r="E1585" s="28" t="s">
        <v>5493</v>
      </c>
      <c r="F1585" s="36">
        <f t="array" ref="F1585">XLOOKUP(A1585,IMDB_Movies!I$2:I$3493,IMDB_Movies!P$2:P$3493)</f>
        <v>0</v>
      </c>
    </row>
    <row r="1586">
      <c r="A1586" s="24" t="s">
        <v>5496</v>
      </c>
      <c r="B1586" s="35">
        <f t="array" ref="B1586">XLOOKUP(A1586,IMDB_Movies!I$2:I$3493,IMDB_Movies!Q$2:Q$3493)</f>
        <v>0</v>
      </c>
      <c r="E1586" s="24" t="s">
        <v>5496</v>
      </c>
      <c r="F1586" s="36">
        <f t="array" ref="F1586">XLOOKUP(A1586,IMDB_Movies!I$2:I$3493,IMDB_Movies!P$2:P$3493)</f>
        <v>21359200</v>
      </c>
    </row>
    <row r="1587">
      <c r="A1587" s="20" t="s">
        <v>5498</v>
      </c>
      <c r="B1587" s="35">
        <f t="array" ref="B1587">XLOOKUP(A1587,IMDB_Movies!I$2:I$3493,IMDB_Movies!Q$2:Q$3493)</f>
        <v>24037529</v>
      </c>
      <c r="E1587" s="20" t="s">
        <v>5498</v>
      </c>
      <c r="F1587" s="36">
        <f t="array" ref="F1587">XLOOKUP(A1587,IMDB_Movies!I$2:I$3493,IMDB_Movies!P$2:P$3493)</f>
        <v>0</v>
      </c>
    </row>
    <row r="1588">
      <c r="A1588" s="24" t="s">
        <v>5500</v>
      </c>
      <c r="B1588" s="35">
        <f t="array" ref="B1588">XLOOKUP(A1588,IMDB_Movies!I$2:I$3493,IMDB_Movies!Q$2:Q$3493)</f>
        <v>0</v>
      </c>
      <c r="E1588" s="24" t="s">
        <v>5500</v>
      </c>
      <c r="F1588" s="36">
        <f t="array" ref="F1588">XLOOKUP(A1588,IMDB_Movies!I$2:I$3493,IMDB_Movies!P$2:P$3493)</f>
        <v>25400856</v>
      </c>
    </row>
    <row r="1589">
      <c r="A1589" s="11" t="s">
        <v>5504</v>
      </c>
      <c r="B1589" s="35">
        <f t="array" ref="B1589">XLOOKUP(A1589,IMDB_Movies!I$2:I$3493,IMDB_Movies!Q$2:Q$3493)</f>
        <v>0</v>
      </c>
      <c r="E1589" s="11" t="s">
        <v>5504</v>
      </c>
      <c r="F1589" s="36">
        <f t="array" ref="F1589">XLOOKUP(A1589,IMDB_Movies!I$2:I$3493,IMDB_Movies!P$2:P$3493)</f>
        <v>1743332</v>
      </c>
    </row>
    <row r="1590">
      <c r="A1590" s="24" t="s">
        <v>5508</v>
      </c>
      <c r="B1590" s="35">
        <f t="array" ref="B1590">XLOOKUP(A1590,IMDB_Movies!I$2:I$3493,IMDB_Movies!Q$2:Q$3493)</f>
        <v>12000000</v>
      </c>
      <c r="E1590" s="24" t="s">
        <v>5508</v>
      </c>
      <c r="F1590" s="36">
        <f t="array" ref="F1590">XLOOKUP(A1590,IMDB_Movies!I$2:I$3493,IMDB_Movies!P$2:P$3493)</f>
        <v>0</v>
      </c>
    </row>
    <row r="1591">
      <c r="A1591" s="24" t="s">
        <v>5510</v>
      </c>
      <c r="B1591" s="35">
        <f t="array" ref="B1591">XLOOKUP(A1591,IMDB_Movies!I$2:I$3493,IMDB_Movies!Q$2:Q$3493)</f>
        <v>84540684</v>
      </c>
      <c r="E1591" s="24" t="s">
        <v>5510</v>
      </c>
      <c r="F1591" s="36">
        <f t="array" ref="F1591">XLOOKUP(A1591,IMDB_Movies!I$2:I$3493,IMDB_Movies!P$2:P$3493)</f>
        <v>0</v>
      </c>
    </row>
    <row r="1592">
      <c r="A1592" s="11" t="s">
        <v>5513</v>
      </c>
      <c r="B1592" s="35">
        <f t="array" ref="B1592">XLOOKUP(A1592,IMDB_Movies!I$2:I$3493,IMDB_Movies!Q$2:Q$3493)</f>
        <v>18218547</v>
      </c>
      <c r="E1592" s="11" t="s">
        <v>5513</v>
      </c>
      <c r="F1592" s="36">
        <f t="array" ref="F1592">XLOOKUP(A1592,IMDB_Movies!I$2:I$3493,IMDB_Movies!P$2:P$3493)</f>
        <v>0</v>
      </c>
    </row>
    <row r="1593">
      <c r="A1593" s="20" t="s">
        <v>5515</v>
      </c>
      <c r="B1593" s="35">
        <f t="array" ref="B1593">XLOOKUP(A1593,IMDB_Movies!I$2:I$3493,IMDB_Movies!Q$2:Q$3493)</f>
        <v>0</v>
      </c>
      <c r="E1593" s="20" t="s">
        <v>5515</v>
      </c>
      <c r="F1593" s="36">
        <f t="array" ref="F1593">XLOOKUP(A1593,IMDB_Movies!I$2:I$3493,IMDB_Movies!P$2:P$3493)</f>
        <v>53350242</v>
      </c>
    </row>
    <row r="1594">
      <c r="A1594" s="32" t="s">
        <v>5519</v>
      </c>
      <c r="B1594" s="35">
        <f t="array" ref="B1594">XLOOKUP(A1594,IMDB_Movies!I$2:I$3493,IMDB_Movies!Q$2:Q$3493)</f>
        <v>4857000</v>
      </c>
      <c r="E1594" s="32" t="s">
        <v>5519</v>
      </c>
      <c r="F1594" s="36">
        <f t="array" ref="F1594">XLOOKUP(A1594,IMDB_Movies!I$2:I$3493,IMDB_Movies!P$2:P$3493)</f>
        <v>0</v>
      </c>
    </row>
    <row r="1595">
      <c r="A1595" s="11" t="s">
        <v>5522</v>
      </c>
      <c r="B1595" s="35">
        <f t="array" ref="B1595">XLOOKUP(A1595,IMDB_Movies!I$2:I$3493,IMDB_Movies!Q$2:Q$3493)</f>
        <v>204532</v>
      </c>
      <c r="E1595" s="11" t="s">
        <v>5522</v>
      </c>
      <c r="F1595" s="36">
        <f t="array" ref="F1595">XLOOKUP(A1595,IMDB_Movies!I$2:I$3493,IMDB_Movies!P$2:P$3493)</f>
        <v>0</v>
      </c>
    </row>
    <row r="1596">
      <c r="A1596" s="24" t="s">
        <v>5524</v>
      </c>
      <c r="B1596" s="35">
        <f t="array" ref="B1596">XLOOKUP(A1596,IMDB_Movies!I$2:I$3493,IMDB_Movies!Q$2:Q$3493)</f>
        <v>30784021</v>
      </c>
      <c r="E1596" s="24" t="s">
        <v>5524</v>
      </c>
      <c r="F1596" s="36">
        <f t="array" ref="F1596">XLOOKUP(A1596,IMDB_Movies!I$2:I$3493,IMDB_Movies!P$2:P$3493)</f>
        <v>0</v>
      </c>
    </row>
    <row r="1597">
      <c r="A1597" s="24" t="s">
        <v>5528</v>
      </c>
      <c r="B1597" s="35">
        <f t="array" ref="B1597">XLOOKUP(A1597,IMDB_Movies!I$2:I$3493,IMDB_Movies!Q$2:Q$3493)</f>
        <v>0</v>
      </c>
      <c r="E1597" s="24" t="s">
        <v>5528</v>
      </c>
      <c r="F1597" s="36">
        <f t="array" ref="F1597">XLOOKUP(A1597,IMDB_Movies!I$2:I$3493,IMDB_Movies!P$2:P$3493)</f>
        <v>32455275</v>
      </c>
    </row>
    <row r="1598">
      <c r="A1598" s="11" t="s">
        <v>5532</v>
      </c>
      <c r="B1598" s="35">
        <f t="array" ref="B1598">XLOOKUP(A1598,IMDB_Movies!I$2:I$3493,IMDB_Movies!Q$2:Q$3493)</f>
        <v>0</v>
      </c>
      <c r="E1598" s="11" t="s">
        <v>5532</v>
      </c>
      <c r="F1598" s="36">
        <f t="array" ref="F1598">XLOOKUP(A1598,IMDB_Movies!I$2:I$3493,IMDB_Movies!P$2:P$3493)</f>
        <v>406666</v>
      </c>
    </row>
    <row r="1599">
      <c r="A1599" s="24" t="s">
        <v>5535</v>
      </c>
      <c r="B1599" s="35">
        <f t="array" ref="B1599">XLOOKUP(A1599,IMDB_Movies!I$2:I$3493,IMDB_Movies!Q$2:Q$3493)</f>
        <v>0</v>
      </c>
      <c r="E1599" s="24" t="s">
        <v>5535</v>
      </c>
      <c r="F1599" s="36">
        <f t="array" ref="F1599">XLOOKUP(A1599,IMDB_Movies!I$2:I$3493,IMDB_Movies!P$2:P$3493)</f>
        <v>37253092</v>
      </c>
    </row>
    <row r="1600">
      <c r="A1600" s="32" t="s">
        <v>5539</v>
      </c>
      <c r="B1600" s="35">
        <f t="array" ref="B1600">XLOOKUP(A1600,IMDB_Movies!I$2:I$3493,IMDB_Movies!Q$2:Q$3493)</f>
        <v>0</v>
      </c>
      <c r="E1600" s="32" t="s">
        <v>5539</v>
      </c>
      <c r="F1600" s="36">
        <f t="array" ref="F1600">XLOOKUP(A1600,IMDB_Movies!I$2:I$3493,IMDB_Movies!P$2:P$3493)</f>
        <v>21285499</v>
      </c>
    </row>
    <row r="1601">
      <c r="A1601" s="11" t="s">
        <v>5542</v>
      </c>
      <c r="B1601" s="35">
        <f t="array" ref="B1601">XLOOKUP(A1601,IMDB_Movies!I$2:I$3493,IMDB_Movies!Q$2:Q$3493)</f>
        <v>0</v>
      </c>
      <c r="E1601" s="11" t="s">
        <v>5542</v>
      </c>
      <c r="F1601" s="36">
        <f t="array" ref="F1601">XLOOKUP(A1601,IMDB_Movies!I$2:I$3493,IMDB_Movies!P$2:P$3493)</f>
        <v>10396744</v>
      </c>
    </row>
    <row r="1602">
      <c r="A1602" s="32" t="s">
        <v>5545</v>
      </c>
      <c r="B1602" s="35">
        <f t="array" ref="B1602">XLOOKUP(A1602,IMDB_Movies!I$2:I$3493,IMDB_Movies!Q$2:Q$3493)</f>
        <v>0</v>
      </c>
      <c r="E1602" s="32" t="s">
        <v>5545</v>
      </c>
      <c r="F1602" s="36">
        <f t="array" ref="F1602">XLOOKUP(A1602,IMDB_Movies!I$2:I$3493,IMDB_Movies!P$2:P$3493)</f>
        <v>17450000</v>
      </c>
    </row>
    <row r="1603">
      <c r="A1603" s="20" t="s">
        <v>5547</v>
      </c>
      <c r="B1603" s="35">
        <f t="array" ref="B1603">XLOOKUP(A1603,IMDB_Movies!I$2:I$3493,IMDB_Movies!Q$2:Q$3493)</f>
        <v>0</v>
      </c>
      <c r="E1603" s="20" t="s">
        <v>5547</v>
      </c>
      <c r="F1603" s="36">
        <f t="array" ref="F1603">XLOOKUP(A1603,IMDB_Movies!I$2:I$3493,IMDB_Movies!P$2:P$3493)</f>
        <v>128821952</v>
      </c>
    </row>
    <row r="1604">
      <c r="A1604" s="32" t="s">
        <v>5551</v>
      </c>
      <c r="B1604" s="35">
        <f t="array" ref="B1604">XLOOKUP(A1604,IMDB_Movies!I$2:I$3493,IMDB_Movies!Q$2:Q$3493)</f>
        <v>0</v>
      </c>
      <c r="E1604" s="32" t="s">
        <v>5551</v>
      </c>
      <c r="F1604" s="36">
        <f t="array" ref="F1604">XLOOKUP(A1604,IMDB_Movies!I$2:I$3493,IMDB_Movies!P$2:P$3493)</f>
        <v>76975169</v>
      </c>
    </row>
    <row r="1605">
      <c r="A1605" s="28" t="s">
        <v>5553</v>
      </c>
      <c r="B1605" s="35">
        <f t="array" ref="B1605">XLOOKUP(A1605,IMDB_Movies!I$2:I$3493,IMDB_Movies!Q$2:Q$3493)</f>
        <v>28935714</v>
      </c>
      <c r="E1605" s="28" t="s">
        <v>5553</v>
      </c>
      <c r="F1605" s="36">
        <f t="array" ref="F1605">XLOOKUP(A1605,IMDB_Movies!I$2:I$3493,IMDB_Movies!P$2:P$3493)</f>
        <v>0</v>
      </c>
    </row>
    <row r="1606">
      <c r="A1606" s="24" t="s">
        <v>5555</v>
      </c>
      <c r="B1606" s="35">
        <f t="array" ref="B1606">XLOOKUP(A1606,IMDB_Movies!I$2:I$3493,IMDB_Movies!Q$2:Q$3493)</f>
        <v>0</v>
      </c>
      <c r="E1606" s="24" t="s">
        <v>5555</v>
      </c>
      <c r="F1606" s="36">
        <f t="array" ref="F1606">XLOOKUP(A1606,IMDB_Movies!I$2:I$3493,IMDB_Movies!P$2:P$3493)</f>
        <v>24327868</v>
      </c>
    </row>
    <row r="1607">
      <c r="A1607" s="11" t="s">
        <v>5558</v>
      </c>
      <c r="B1607" s="35">
        <f t="array" ref="B1607">XLOOKUP(A1607,IMDB_Movies!I$2:I$3493,IMDB_Movies!Q$2:Q$3493)</f>
        <v>0</v>
      </c>
      <c r="E1607" s="11" t="s">
        <v>5558</v>
      </c>
      <c r="F1607" s="36">
        <f t="array" ref="F1607">XLOOKUP(A1607,IMDB_Movies!I$2:I$3493,IMDB_Movies!P$2:P$3493)</f>
        <v>276625409</v>
      </c>
    </row>
    <row r="1608">
      <c r="A1608" s="20" t="s">
        <v>5561</v>
      </c>
      <c r="B1608" s="35">
        <f t="array" ref="B1608">XLOOKUP(A1608,IMDB_Movies!I$2:I$3493,IMDB_Movies!Q$2:Q$3493)</f>
        <v>13953505</v>
      </c>
      <c r="E1608" s="20" t="s">
        <v>5561</v>
      </c>
      <c r="F1608" s="36">
        <f t="array" ref="F1608">XLOOKUP(A1608,IMDB_Movies!I$2:I$3493,IMDB_Movies!P$2:P$3493)</f>
        <v>0</v>
      </c>
    </row>
    <row r="1609">
      <c r="A1609" s="20" t="s">
        <v>5565</v>
      </c>
      <c r="B1609" s="35">
        <f t="array" ref="B1609">XLOOKUP(A1609,IMDB_Movies!I$2:I$3493,IMDB_Movies!Q$2:Q$3493)</f>
        <v>451570</v>
      </c>
      <c r="E1609" s="20" t="s">
        <v>5565</v>
      </c>
      <c r="F1609" s="36">
        <f t="array" ref="F1609">XLOOKUP(A1609,IMDB_Movies!I$2:I$3493,IMDB_Movies!P$2:P$3493)</f>
        <v>0</v>
      </c>
    </row>
    <row r="1610">
      <c r="A1610" s="28" t="s">
        <v>5567</v>
      </c>
      <c r="B1610" s="35">
        <f t="array" ref="B1610">XLOOKUP(A1610,IMDB_Movies!I$2:I$3493,IMDB_Movies!Q$2:Q$3493)</f>
        <v>14664065</v>
      </c>
      <c r="E1610" s="28" t="s">
        <v>5567</v>
      </c>
      <c r="F1610" s="36">
        <f t="array" ref="F1610">XLOOKUP(A1610,IMDB_Movies!I$2:I$3493,IMDB_Movies!P$2:P$3493)</f>
        <v>0</v>
      </c>
    </row>
    <row r="1611">
      <c r="A1611" s="32" t="s">
        <v>5571</v>
      </c>
      <c r="B1611" s="35">
        <f t="array" ref="B1611">XLOOKUP(A1611,IMDB_Movies!I$2:I$3493,IMDB_Movies!Q$2:Q$3493)</f>
        <v>625893</v>
      </c>
      <c r="E1611" s="32" t="s">
        <v>5571</v>
      </c>
      <c r="F1611" s="36">
        <f t="array" ref="F1611">XLOOKUP(A1611,IMDB_Movies!I$2:I$3493,IMDB_Movies!P$2:P$3493)</f>
        <v>0</v>
      </c>
    </row>
    <row r="1612">
      <c r="A1612" s="20" t="s">
        <v>5575</v>
      </c>
      <c r="B1612" s="35">
        <f t="array" ref="B1612">XLOOKUP(A1612,IMDB_Movies!I$2:I$3493,IMDB_Movies!Q$2:Q$3493)</f>
        <v>88958772</v>
      </c>
      <c r="E1612" s="20" t="s">
        <v>5575</v>
      </c>
      <c r="F1612" s="36">
        <f t="array" ref="F1612">XLOOKUP(A1612,IMDB_Movies!I$2:I$3493,IMDB_Movies!P$2:P$3493)</f>
        <v>0</v>
      </c>
    </row>
    <row r="1613">
      <c r="A1613" s="28" t="s">
        <v>5578</v>
      </c>
      <c r="B1613" s="35">
        <f t="array" ref="B1613">XLOOKUP(A1613,IMDB_Movies!I$2:I$3493,IMDB_Movies!Q$2:Q$3493)</f>
        <v>0</v>
      </c>
      <c r="E1613" s="28" t="s">
        <v>5578</v>
      </c>
      <c r="F1613" s="36">
        <f t="array" ref="F1613">XLOOKUP(A1613,IMDB_Movies!I$2:I$3493,IMDB_Movies!P$2:P$3493)</f>
        <v>751715</v>
      </c>
    </row>
    <row r="1614">
      <c r="A1614" s="11" t="s">
        <v>5582</v>
      </c>
      <c r="B1614" s="35">
        <f t="array" ref="B1614">XLOOKUP(A1614,IMDB_Movies!I$2:I$3493,IMDB_Movies!Q$2:Q$3493)</f>
        <v>10904697</v>
      </c>
      <c r="E1614" s="11" t="s">
        <v>5582</v>
      </c>
      <c r="F1614" s="36">
        <f t="array" ref="F1614">XLOOKUP(A1614,IMDB_Movies!I$2:I$3493,IMDB_Movies!P$2:P$3493)</f>
        <v>0</v>
      </c>
    </row>
    <row r="1615">
      <c r="A1615" s="11" t="s">
        <v>5585</v>
      </c>
      <c r="B1615" s="35">
        <f t="array" ref="B1615">XLOOKUP(A1615,IMDB_Movies!I$2:I$3493,IMDB_Movies!Q$2:Q$3493)</f>
        <v>0</v>
      </c>
      <c r="E1615" s="11" t="s">
        <v>5585</v>
      </c>
      <c r="F1615" s="36">
        <f t="array" ref="F1615">XLOOKUP(A1615,IMDB_Movies!I$2:I$3493,IMDB_Movies!P$2:P$3493)</f>
        <v>16632614</v>
      </c>
    </row>
    <row r="1616">
      <c r="A1616" s="24" t="s">
        <v>5587</v>
      </c>
      <c r="B1616" s="35">
        <f t="array" ref="B1616">XLOOKUP(A1616,IMDB_Movies!I$2:I$3493,IMDB_Movies!Q$2:Q$3493)</f>
        <v>21775151</v>
      </c>
      <c r="E1616" s="24" t="s">
        <v>5587</v>
      </c>
      <c r="F1616" s="36">
        <f t="array" ref="F1616">XLOOKUP(A1616,IMDB_Movies!I$2:I$3493,IMDB_Movies!P$2:P$3493)</f>
        <v>0</v>
      </c>
    </row>
    <row r="1617">
      <c r="A1617" s="11" t="s">
        <v>5589</v>
      </c>
      <c r="B1617" s="35">
        <f t="array" ref="B1617">XLOOKUP(A1617,IMDB_Movies!I$2:I$3493,IMDB_Movies!Q$2:Q$3493)</f>
        <v>149237822</v>
      </c>
      <c r="E1617" s="11" t="s">
        <v>5589</v>
      </c>
      <c r="F1617" s="36">
        <f t="array" ref="F1617">XLOOKUP(A1617,IMDB_Movies!I$2:I$3493,IMDB_Movies!P$2:P$3493)</f>
        <v>0</v>
      </c>
    </row>
    <row r="1618">
      <c r="A1618" s="11" t="s">
        <v>5593</v>
      </c>
      <c r="B1618" s="35">
        <f t="array" ref="B1618">XLOOKUP(A1618,IMDB_Movies!I$2:I$3493,IMDB_Movies!Q$2:Q$3493)</f>
        <v>11975825</v>
      </c>
      <c r="E1618" s="11" t="s">
        <v>5593</v>
      </c>
      <c r="F1618" s="36">
        <f t="array" ref="F1618">XLOOKUP(A1618,IMDB_Movies!I$2:I$3493,IMDB_Movies!P$2:P$3493)</f>
        <v>0</v>
      </c>
    </row>
    <row r="1619">
      <c r="A1619" s="20" t="s">
        <v>5595</v>
      </c>
      <c r="B1619" s="35">
        <f t="array" ref="B1619">XLOOKUP(A1619,IMDB_Movies!I$2:I$3493,IMDB_Movies!Q$2:Q$3493)</f>
        <v>50616376</v>
      </c>
      <c r="E1619" s="20" t="s">
        <v>5595</v>
      </c>
      <c r="F1619" s="36">
        <f t="array" ref="F1619">XLOOKUP(A1619,IMDB_Movies!I$2:I$3493,IMDB_Movies!P$2:P$3493)</f>
        <v>0</v>
      </c>
    </row>
    <row r="1620">
      <c r="A1620" s="28" t="s">
        <v>5597</v>
      </c>
      <c r="B1620" s="35">
        <f t="array" ref="B1620">XLOOKUP(A1620,IMDB_Movies!I$2:I$3493,IMDB_Movies!Q$2:Q$3493)</f>
        <v>21482203</v>
      </c>
      <c r="E1620" s="28" t="s">
        <v>5597</v>
      </c>
      <c r="F1620" s="36">
        <f t="array" ref="F1620">XLOOKUP(A1620,IMDB_Movies!I$2:I$3493,IMDB_Movies!P$2:P$3493)</f>
        <v>0</v>
      </c>
    </row>
    <row r="1621">
      <c r="A1621" s="11" t="s">
        <v>5599</v>
      </c>
      <c r="B1621" s="35">
        <f t="array" ref="B1621">XLOOKUP(A1621,IMDB_Movies!I$2:I$3493,IMDB_Movies!Q$2:Q$3493)</f>
        <v>0</v>
      </c>
      <c r="E1621" s="11" t="s">
        <v>5599</v>
      </c>
      <c r="F1621" s="36">
        <f t="array" ref="F1621">XLOOKUP(A1621,IMDB_Movies!I$2:I$3493,IMDB_Movies!P$2:P$3493)</f>
        <v>82149590</v>
      </c>
    </row>
    <row r="1622">
      <c r="A1622" s="11" t="s">
        <v>5601</v>
      </c>
      <c r="B1622" s="35">
        <f t="array" ref="B1622">XLOOKUP(A1622,IMDB_Movies!I$2:I$3493,IMDB_Movies!Q$2:Q$3493)</f>
        <v>10221401</v>
      </c>
      <c r="E1622" s="11" t="s">
        <v>5601</v>
      </c>
      <c r="F1622" s="36">
        <f t="array" ref="F1622">XLOOKUP(A1622,IMDB_Movies!I$2:I$3493,IMDB_Movies!P$2:P$3493)</f>
        <v>0</v>
      </c>
    </row>
    <row r="1623">
      <c r="A1623" s="11" t="s">
        <v>5603</v>
      </c>
      <c r="B1623" s="35">
        <f t="array" ref="B1623">XLOOKUP(A1623,IMDB_Movies!I$2:I$3493,IMDB_Movies!Q$2:Q$3493)</f>
        <v>0</v>
      </c>
      <c r="E1623" s="11" t="s">
        <v>5603</v>
      </c>
      <c r="F1623" s="36">
        <f t="array" ref="F1623">XLOOKUP(A1623,IMDB_Movies!I$2:I$3493,IMDB_Movies!P$2:P$3493)</f>
        <v>2860839</v>
      </c>
    </row>
    <row r="1624">
      <c r="A1624" s="11" t="s">
        <v>5605</v>
      </c>
      <c r="B1624" s="35">
        <f t="array" ref="B1624">XLOOKUP(A1624,IMDB_Movies!I$2:I$3493,IMDB_Movies!Q$2:Q$3493)</f>
        <v>0</v>
      </c>
      <c r="E1624" s="11" t="s">
        <v>5605</v>
      </c>
      <c r="F1624" s="36">
        <f t="array" ref="F1624">XLOOKUP(A1624,IMDB_Movies!I$2:I$3493,IMDB_Movies!P$2:P$3493)</f>
        <v>4627372</v>
      </c>
    </row>
    <row r="1625">
      <c r="A1625" s="11" t="s">
        <v>5608</v>
      </c>
      <c r="B1625" s="35">
        <f t="array" ref="B1625">XLOOKUP(A1625,IMDB_Movies!I$2:I$3493,IMDB_Movies!Q$2:Q$3493)</f>
        <v>10896000</v>
      </c>
      <c r="E1625" s="11" t="s">
        <v>5608</v>
      </c>
      <c r="F1625" s="36">
        <f t="array" ref="F1625">XLOOKUP(A1625,IMDB_Movies!I$2:I$3493,IMDB_Movies!P$2:P$3493)</f>
        <v>0</v>
      </c>
    </row>
    <row r="1626">
      <c r="A1626" s="24" t="s">
        <v>5611</v>
      </c>
      <c r="B1626" s="35">
        <f t="array" ref="B1626">XLOOKUP(A1626,IMDB_Movies!I$2:I$3493,IMDB_Movies!Q$2:Q$3493)</f>
        <v>0</v>
      </c>
      <c r="E1626" s="24" t="s">
        <v>5611</v>
      </c>
      <c r="F1626" s="36">
        <f t="array" ref="F1626">XLOOKUP(A1626,IMDB_Movies!I$2:I$3493,IMDB_Movies!P$2:P$3493)</f>
        <v>14967035</v>
      </c>
    </row>
    <row r="1627">
      <c r="A1627" s="11" t="s">
        <v>5614</v>
      </c>
      <c r="B1627" s="35">
        <f t="array" ref="B1627">XLOOKUP(A1627,IMDB_Movies!I$2:I$3493,IMDB_Movies!Q$2:Q$3493)</f>
        <v>3962246</v>
      </c>
      <c r="E1627" s="11" t="s">
        <v>5614</v>
      </c>
      <c r="F1627" s="36">
        <f t="array" ref="F1627">XLOOKUP(A1627,IMDB_Movies!I$2:I$3493,IMDB_Movies!P$2:P$3493)</f>
        <v>0</v>
      </c>
    </row>
    <row r="1628">
      <c r="A1628" s="11" t="s">
        <v>5619</v>
      </c>
      <c r="B1628" s="35">
        <f t="array" ref="B1628">XLOOKUP(A1628,IMDB_Movies!I$2:I$3493,IMDB_Movies!Q$2:Q$3493)</f>
        <v>901776</v>
      </c>
      <c r="E1628" s="11" t="s">
        <v>5619</v>
      </c>
      <c r="F1628" s="36">
        <f t="array" ref="F1628">XLOOKUP(A1628,IMDB_Movies!I$2:I$3493,IMDB_Movies!P$2:P$3493)</f>
        <v>0</v>
      </c>
    </row>
    <row r="1629">
      <c r="A1629" s="11" t="s">
        <v>5623</v>
      </c>
      <c r="B1629" s="35">
        <f t="array" ref="B1629">XLOOKUP(A1629,IMDB_Movies!I$2:I$3493,IMDB_Movies!Q$2:Q$3493)</f>
        <v>0</v>
      </c>
      <c r="E1629" s="11" t="s">
        <v>5623</v>
      </c>
      <c r="F1629" s="36">
        <f t="array" ref="F1629">XLOOKUP(A1629,IMDB_Movies!I$2:I$3493,IMDB_Movies!P$2:P$3493)</f>
        <v>17067631</v>
      </c>
    </row>
    <row r="1630">
      <c r="A1630" s="20" t="s">
        <v>5626</v>
      </c>
      <c r="B1630" s="35">
        <f t="array" ref="B1630">XLOOKUP(A1630,IMDB_Movies!I$2:I$3493,IMDB_Movies!Q$2:Q$3493)</f>
        <v>0</v>
      </c>
      <c r="E1630" s="20" t="s">
        <v>5626</v>
      </c>
      <c r="F1630" s="36">
        <f t="array" ref="F1630">XLOOKUP(A1630,IMDB_Movies!I$2:I$3493,IMDB_Movies!P$2:P$3493)</f>
        <v>13687630</v>
      </c>
    </row>
    <row r="1631">
      <c r="A1631" s="28" t="s">
        <v>5630</v>
      </c>
      <c r="B1631" s="35">
        <f t="array" ref="B1631">XLOOKUP(A1631,IMDB_Movies!I$2:I$3493,IMDB_Movies!Q$2:Q$3493)</f>
        <v>0</v>
      </c>
      <c r="E1631" s="28" t="s">
        <v>5630</v>
      </c>
      <c r="F1631" s="36">
        <f t="array" ref="F1631">XLOOKUP(A1631,IMDB_Movies!I$2:I$3493,IMDB_Movies!P$2:P$3493)</f>
        <v>7553210</v>
      </c>
    </row>
    <row r="1632">
      <c r="A1632" s="20" t="s">
        <v>5632</v>
      </c>
      <c r="B1632" s="35">
        <f t="array" ref="B1632">XLOOKUP(A1632,IMDB_Movies!I$2:I$3493,IMDB_Movies!Q$2:Q$3493)</f>
        <v>19289545</v>
      </c>
      <c r="E1632" s="20" t="s">
        <v>5632</v>
      </c>
      <c r="F1632" s="36">
        <f t="array" ref="F1632">XLOOKUP(A1632,IMDB_Movies!I$2:I$3493,IMDB_Movies!P$2:P$3493)</f>
        <v>0</v>
      </c>
    </row>
    <row r="1633">
      <c r="A1633" s="11" t="s">
        <v>5635</v>
      </c>
      <c r="B1633" s="35">
        <f t="array" ref="B1633">XLOOKUP(A1633,IMDB_Movies!I$2:I$3493,IMDB_Movies!Q$2:Q$3493)</f>
        <v>1318980</v>
      </c>
      <c r="E1633" s="11" t="s">
        <v>5635</v>
      </c>
      <c r="F1633" s="36">
        <f t="array" ref="F1633">XLOOKUP(A1633,IMDB_Movies!I$2:I$3493,IMDB_Movies!P$2:P$3493)</f>
        <v>0</v>
      </c>
    </row>
    <row r="1634">
      <c r="A1634" s="20" t="s">
        <v>5640</v>
      </c>
      <c r="B1634" s="35">
        <f t="array" ref="B1634">XLOOKUP(A1634,IMDB_Movies!I$2:I$3493,IMDB_Movies!Q$2:Q$3493)</f>
        <v>11528148</v>
      </c>
      <c r="E1634" s="20" t="s">
        <v>5640</v>
      </c>
      <c r="F1634" s="36">
        <f t="array" ref="F1634">XLOOKUP(A1634,IMDB_Movies!I$2:I$3493,IMDB_Movies!P$2:P$3493)</f>
        <v>0</v>
      </c>
    </row>
    <row r="1635">
      <c r="A1635" s="11" t="s">
        <v>5643</v>
      </c>
      <c r="B1635" s="35">
        <f t="array" ref="B1635">XLOOKUP(A1635,IMDB_Movies!I$2:I$3493,IMDB_Movies!Q$2:Q$3493)</f>
        <v>0</v>
      </c>
      <c r="E1635" s="11" t="s">
        <v>5643</v>
      </c>
      <c r="F1635" s="36">
        <f t="array" ref="F1635">XLOOKUP(A1635,IMDB_Movies!I$2:I$3493,IMDB_Movies!P$2:P$3493)</f>
        <v>23382841</v>
      </c>
    </row>
    <row r="1636">
      <c r="A1636" s="11" t="s">
        <v>5647</v>
      </c>
      <c r="B1636" s="35">
        <f t="array" ref="B1636">XLOOKUP(A1636,IMDB_Movies!I$2:I$3493,IMDB_Movies!Q$2:Q$3493)</f>
        <v>8553105</v>
      </c>
      <c r="E1636" s="11" t="s">
        <v>5647</v>
      </c>
      <c r="F1636" s="36">
        <f t="array" ref="F1636">XLOOKUP(A1636,IMDB_Movies!I$2:I$3493,IMDB_Movies!P$2:P$3493)</f>
        <v>0</v>
      </c>
    </row>
    <row r="1637">
      <c r="A1637" s="20" t="s">
        <v>5651</v>
      </c>
      <c r="B1637" s="35">
        <f t="array" ref="B1637">XLOOKUP(A1637,IMDB_Movies!I$2:I$3493,IMDB_Movies!Q$2:Q$3493)</f>
        <v>13045798</v>
      </c>
      <c r="E1637" s="20" t="s">
        <v>5651</v>
      </c>
      <c r="F1637" s="36">
        <f t="array" ref="F1637">XLOOKUP(A1637,IMDB_Movies!I$2:I$3493,IMDB_Movies!P$2:P$3493)</f>
        <v>0</v>
      </c>
    </row>
    <row r="1638">
      <c r="A1638" s="11" t="s">
        <v>5653</v>
      </c>
      <c r="B1638" s="35">
        <f t="array" ref="B1638">XLOOKUP(A1638,IMDB_Movies!I$2:I$3493,IMDB_Movies!Q$2:Q$3493)</f>
        <v>4637692</v>
      </c>
      <c r="E1638" s="11" t="s">
        <v>5653</v>
      </c>
      <c r="F1638" s="36">
        <f t="array" ref="F1638">XLOOKUP(A1638,IMDB_Movies!I$2:I$3493,IMDB_Movies!P$2:P$3493)</f>
        <v>0</v>
      </c>
    </row>
    <row r="1639">
      <c r="A1639" s="11" t="s">
        <v>5657</v>
      </c>
      <c r="B1639" s="35">
        <f t="array" ref="B1639">XLOOKUP(A1639,IMDB_Movies!I$2:I$3493,IMDB_Movies!Q$2:Q$3493)</f>
        <v>0</v>
      </c>
      <c r="E1639" s="11" t="s">
        <v>5657</v>
      </c>
      <c r="F1639" s="36">
        <f t="array" ref="F1639">XLOOKUP(A1639,IMDB_Movies!I$2:I$3493,IMDB_Movies!P$2:P$3493)</f>
        <v>83025093</v>
      </c>
    </row>
    <row r="1640">
      <c r="A1640" s="20" t="s">
        <v>5660</v>
      </c>
      <c r="B1640" s="35">
        <f t="array" ref="B1640">XLOOKUP(A1640,IMDB_Movies!I$2:I$3493,IMDB_Movies!Q$2:Q$3493)</f>
        <v>0</v>
      </c>
      <c r="E1640" s="20" t="s">
        <v>5660</v>
      </c>
      <c r="F1640" s="36">
        <f t="array" ref="F1640">XLOOKUP(A1640,IMDB_Movies!I$2:I$3493,IMDB_Movies!P$2:P$3493)</f>
        <v>36527787</v>
      </c>
    </row>
    <row r="1641">
      <c r="A1641" s="32" t="s">
        <v>5662</v>
      </c>
      <c r="B1641" s="35">
        <f t="array" ref="B1641">XLOOKUP(A1641,IMDB_Movies!I$2:I$3493,IMDB_Movies!Q$2:Q$3493)</f>
        <v>0</v>
      </c>
      <c r="E1641" s="32" t="s">
        <v>5662</v>
      </c>
      <c r="F1641" s="36">
        <f t="array" ref="F1641">XLOOKUP(A1641,IMDB_Movies!I$2:I$3493,IMDB_Movies!P$2:P$3493)</f>
        <v>1200000</v>
      </c>
    </row>
    <row r="1642">
      <c r="A1642" s="20" t="s">
        <v>5665</v>
      </c>
      <c r="B1642" s="35">
        <f t="array" ref="B1642">XLOOKUP(A1642,IMDB_Movies!I$2:I$3493,IMDB_Movies!Q$2:Q$3493)</f>
        <v>0</v>
      </c>
      <c r="E1642" s="20" t="s">
        <v>5665</v>
      </c>
      <c r="F1642" s="36">
        <f t="array" ref="F1642">XLOOKUP(A1642,IMDB_Movies!I$2:I$3493,IMDB_Movies!P$2:P$3493)</f>
        <v>5740078</v>
      </c>
    </row>
    <row r="1643">
      <c r="A1643" s="24" t="s">
        <v>5668</v>
      </c>
      <c r="B1643" s="35">
        <f t="array" ref="B1643">XLOOKUP(A1643,IMDB_Movies!I$2:I$3493,IMDB_Movies!Q$2:Q$3493)</f>
        <v>13215568</v>
      </c>
      <c r="E1643" s="24" t="s">
        <v>5668</v>
      </c>
      <c r="F1643" s="36">
        <f t="array" ref="F1643">XLOOKUP(A1643,IMDB_Movies!I$2:I$3493,IMDB_Movies!P$2:P$3493)</f>
        <v>0</v>
      </c>
    </row>
    <row r="1644">
      <c r="A1644" s="20" t="s">
        <v>5671</v>
      </c>
      <c r="B1644" s="35">
        <f t="array" ref="B1644">XLOOKUP(A1644,IMDB_Movies!I$2:I$3493,IMDB_Movies!Q$2:Q$3493)</f>
        <v>1498907</v>
      </c>
      <c r="E1644" s="20" t="s">
        <v>5671</v>
      </c>
      <c r="F1644" s="36">
        <f t="array" ref="F1644">XLOOKUP(A1644,IMDB_Movies!I$2:I$3493,IMDB_Movies!P$2:P$3493)</f>
        <v>0</v>
      </c>
    </row>
    <row r="1645">
      <c r="A1645" s="11" t="s">
        <v>5673</v>
      </c>
      <c r="B1645" s="35">
        <f t="array" ref="B1645">XLOOKUP(A1645,IMDB_Movies!I$2:I$3493,IMDB_Movies!Q$2:Q$3493)</f>
        <v>1829786</v>
      </c>
      <c r="E1645" s="11" t="s">
        <v>5673</v>
      </c>
      <c r="F1645" s="36">
        <f t="array" ref="F1645">XLOOKUP(A1645,IMDB_Movies!I$2:I$3493,IMDB_Movies!P$2:P$3493)</f>
        <v>0</v>
      </c>
    </row>
    <row r="1646">
      <c r="A1646" s="11" t="s">
        <v>5676</v>
      </c>
      <c r="B1646" s="35">
        <f t="array" ref="B1646">XLOOKUP(A1646,IMDB_Movies!I$2:I$3493,IMDB_Movies!Q$2:Q$3493)</f>
        <v>0</v>
      </c>
      <c r="E1646" s="11" t="s">
        <v>5676</v>
      </c>
      <c r="F1646" s="36">
        <f t="array" ref="F1646">XLOOKUP(A1646,IMDB_Movies!I$2:I$3493,IMDB_Movies!P$2:P$3493)</f>
        <v>9387695</v>
      </c>
    </row>
    <row r="1647">
      <c r="A1647" s="24" t="s">
        <v>5681</v>
      </c>
      <c r="B1647" s="35">
        <f t="array" ref="B1647">XLOOKUP(A1647,IMDB_Movies!I$2:I$3493,IMDB_Movies!Q$2:Q$3493)</f>
        <v>5482285</v>
      </c>
      <c r="E1647" s="24" t="s">
        <v>5681</v>
      </c>
      <c r="F1647" s="36">
        <f t="array" ref="F1647">XLOOKUP(A1647,IMDB_Movies!I$2:I$3493,IMDB_Movies!P$2:P$3493)</f>
        <v>0</v>
      </c>
    </row>
    <row r="1648">
      <c r="A1648" s="11" t="s">
        <v>5684</v>
      </c>
      <c r="B1648" s="35">
        <f t="array" ref="B1648">XLOOKUP(A1648,IMDB_Movies!I$2:I$3493,IMDB_Movies!Q$2:Q$3493)</f>
        <v>0</v>
      </c>
      <c r="E1648" s="11" t="s">
        <v>5684</v>
      </c>
      <c r="F1648" s="36">
        <f t="array" ref="F1648">XLOOKUP(A1648,IMDB_Movies!I$2:I$3493,IMDB_Movies!P$2:P$3493)</f>
        <v>15086030</v>
      </c>
    </row>
    <row r="1649">
      <c r="A1649" s="11" t="s">
        <v>5688</v>
      </c>
      <c r="B1649" s="35">
        <f t="array" ref="B1649">XLOOKUP(A1649,IMDB_Movies!I$2:I$3493,IMDB_Movies!Q$2:Q$3493)</f>
        <v>0</v>
      </c>
      <c r="E1649" s="11" t="s">
        <v>5688</v>
      </c>
      <c r="F1649" s="36">
        <f t="array" ref="F1649">XLOOKUP(A1649,IMDB_Movies!I$2:I$3493,IMDB_Movies!P$2:P$3493)</f>
        <v>23334256</v>
      </c>
    </row>
    <row r="1650">
      <c r="A1650" s="20" t="s">
        <v>5690</v>
      </c>
      <c r="B1650" s="35">
        <f t="array" ref="B1650">XLOOKUP(A1650,IMDB_Movies!I$2:I$3493,IMDB_Movies!Q$2:Q$3493)</f>
        <v>0</v>
      </c>
      <c r="E1650" s="20" t="s">
        <v>5690</v>
      </c>
      <c r="F1650" s="36">
        <f t="array" ref="F1650">XLOOKUP(A1650,IMDB_Movies!I$2:I$3493,IMDB_Movies!P$2:P$3493)</f>
        <v>55720716</v>
      </c>
    </row>
    <row r="1651">
      <c r="A1651" s="24" t="s">
        <v>5692</v>
      </c>
      <c r="B1651" s="35">
        <f t="array" ref="B1651">XLOOKUP(A1651,IMDB_Movies!I$2:I$3493,IMDB_Movies!Q$2:Q$3493)</f>
        <v>8916034</v>
      </c>
      <c r="E1651" s="24" t="s">
        <v>5692</v>
      </c>
      <c r="F1651" s="36">
        <f t="array" ref="F1651">XLOOKUP(A1651,IMDB_Movies!I$2:I$3493,IMDB_Movies!P$2:P$3493)</f>
        <v>0</v>
      </c>
    </row>
    <row r="1652">
      <c r="A1652" s="11" t="s">
        <v>5694</v>
      </c>
      <c r="B1652" s="35">
        <f t="array" ref="B1652">XLOOKUP(A1652,IMDB_Movies!I$2:I$3493,IMDB_Movies!Q$2:Q$3493)</f>
        <v>0</v>
      </c>
      <c r="E1652" s="11" t="s">
        <v>5694</v>
      </c>
      <c r="F1652" s="36">
        <f t="array" ref="F1652">XLOOKUP(A1652,IMDB_Movies!I$2:I$3493,IMDB_Movies!P$2:P$3493)</f>
        <v>73371987</v>
      </c>
    </row>
    <row r="1653">
      <c r="A1653" s="20" t="s">
        <v>5697</v>
      </c>
      <c r="B1653" s="35">
        <f t="array" ref="B1653">XLOOKUP(A1653,IMDB_Movies!I$2:I$3493,IMDB_Movies!Q$2:Q$3493)</f>
        <v>0</v>
      </c>
      <c r="E1653" s="20" t="s">
        <v>5697</v>
      </c>
      <c r="F1653" s="36">
        <f t="array" ref="F1653">XLOOKUP(A1653,IMDB_Movies!I$2:I$3493,IMDB_Movies!P$2:P$3493)</f>
        <v>24281723</v>
      </c>
    </row>
    <row r="1654">
      <c r="A1654" s="11" t="s">
        <v>5700</v>
      </c>
      <c r="B1654" s="35">
        <f t="array" ref="B1654">XLOOKUP(A1654,IMDB_Movies!I$2:I$3493,IMDB_Movies!Q$2:Q$3493)</f>
        <v>0</v>
      </c>
      <c r="E1654" s="11" t="s">
        <v>5700</v>
      </c>
      <c r="F1654" s="36">
        <f t="array" ref="F1654">XLOOKUP(A1654,IMDB_Movies!I$2:I$3493,IMDB_Movies!P$2:P$3493)</f>
        <v>523568</v>
      </c>
    </row>
    <row r="1655">
      <c r="A1655" s="11" t="s">
        <v>5704</v>
      </c>
      <c r="B1655" s="35">
        <f t="array" ref="B1655">XLOOKUP(A1655,IMDB_Movies!I$2:I$3493,IMDB_Movies!Q$2:Q$3493)</f>
        <v>0</v>
      </c>
      <c r="E1655" s="11" t="s">
        <v>5704</v>
      </c>
      <c r="F1655" s="36">
        <f t="array" ref="F1655">XLOOKUP(A1655,IMDB_Movies!I$2:I$3493,IMDB_Movies!P$2:P$3493)</f>
        <v>8607223</v>
      </c>
    </row>
    <row r="1656">
      <c r="A1656" s="11" t="s">
        <v>5708</v>
      </c>
      <c r="B1656" s="35">
        <f t="array" ref="B1656">XLOOKUP(A1656,IMDB_Movies!I$2:I$3493,IMDB_Movies!Q$2:Q$3493)</f>
        <v>0</v>
      </c>
      <c r="E1656" s="11" t="s">
        <v>5708</v>
      </c>
      <c r="F1656" s="36">
        <f t="array" ref="F1656">XLOOKUP(A1656,IMDB_Movies!I$2:I$3493,IMDB_Movies!P$2:P$3493)</f>
        <v>18049082</v>
      </c>
    </row>
    <row r="1657">
      <c r="A1657" s="20" t="s">
        <v>5711</v>
      </c>
      <c r="B1657" s="35">
        <f t="array" ref="B1657">XLOOKUP(A1657,IMDB_Movies!I$2:I$3493,IMDB_Movies!Q$2:Q$3493)</f>
        <v>16702103</v>
      </c>
      <c r="E1657" s="20" t="s">
        <v>5711</v>
      </c>
      <c r="F1657" s="36">
        <f t="array" ref="F1657">XLOOKUP(A1657,IMDB_Movies!I$2:I$3493,IMDB_Movies!P$2:P$3493)</f>
        <v>0</v>
      </c>
    </row>
    <row r="1658">
      <c r="A1658" s="16" t="s">
        <v>5715</v>
      </c>
      <c r="B1658" s="35">
        <f t="array" ref="B1658">XLOOKUP(A1658,IMDB_Movies!I$2:I$3493,IMDB_Movies!Q$2:Q$3493)</f>
        <v>9455857</v>
      </c>
      <c r="E1658" s="16" t="s">
        <v>5715</v>
      </c>
      <c r="F1658" s="36">
        <f t="array" ref="F1658">XLOOKUP(A1658,IMDB_Movies!I$2:I$3493,IMDB_Movies!P$2:P$3493)</f>
        <v>0</v>
      </c>
    </row>
    <row r="1659">
      <c r="A1659" s="24" t="s">
        <v>5719</v>
      </c>
      <c r="B1659" s="35">
        <f t="array" ref="B1659">XLOOKUP(A1659,IMDB_Movies!I$2:I$3493,IMDB_Movies!Q$2:Q$3493)</f>
        <v>4920684</v>
      </c>
      <c r="E1659" s="24" t="s">
        <v>5719</v>
      </c>
      <c r="F1659" s="36">
        <f t="array" ref="F1659">XLOOKUP(A1659,IMDB_Movies!I$2:I$3493,IMDB_Movies!P$2:P$3493)</f>
        <v>0</v>
      </c>
    </row>
    <row r="1660">
      <c r="A1660" s="11" t="s">
        <v>5721</v>
      </c>
      <c r="B1660" s="35">
        <f t="array" ref="B1660">XLOOKUP(A1660,IMDB_Movies!I$2:I$3493,IMDB_Movies!Q$2:Q$3493)</f>
        <v>0</v>
      </c>
      <c r="E1660" s="11" t="s">
        <v>5721</v>
      </c>
      <c r="F1660" s="36">
        <f t="array" ref="F1660">XLOOKUP(A1660,IMDB_Movies!I$2:I$3493,IMDB_Movies!P$2:P$3493)</f>
        <v>30973336</v>
      </c>
    </row>
    <row r="1661">
      <c r="A1661" s="20" t="s">
        <v>5724</v>
      </c>
      <c r="B1661" s="35">
        <f t="array" ref="B1661">XLOOKUP(A1661,IMDB_Movies!I$2:I$3493,IMDB_Movies!Q$2:Q$3493)</f>
        <v>1380159</v>
      </c>
      <c r="E1661" s="20" t="s">
        <v>5724</v>
      </c>
      <c r="F1661" s="36">
        <f t="array" ref="F1661">XLOOKUP(A1661,IMDB_Movies!I$2:I$3493,IMDB_Movies!P$2:P$3493)</f>
        <v>0</v>
      </c>
    </row>
    <row r="1662">
      <c r="A1662" s="28" t="s">
        <v>5728</v>
      </c>
      <c r="B1662" s="35">
        <f t="array" ref="B1662">XLOOKUP(A1662,IMDB_Movies!I$2:I$3493,IMDB_Movies!Q$2:Q$3493)</f>
        <v>32675768</v>
      </c>
      <c r="E1662" s="28" t="s">
        <v>5728</v>
      </c>
      <c r="F1662" s="36">
        <f t="array" ref="F1662">XLOOKUP(A1662,IMDB_Movies!I$2:I$3493,IMDB_Movies!P$2:P$3493)</f>
        <v>0</v>
      </c>
    </row>
    <row r="1663">
      <c r="A1663" s="20" t="s">
        <v>5730</v>
      </c>
      <c r="B1663" s="35">
        <f t="array" ref="B1663">XLOOKUP(A1663,IMDB_Movies!I$2:I$3493,IMDB_Movies!Q$2:Q$3493)</f>
        <v>0</v>
      </c>
      <c r="E1663" s="20" t="s">
        <v>5730</v>
      </c>
      <c r="F1663" s="36">
        <f t="array" ref="F1663">XLOOKUP(A1663,IMDB_Movies!I$2:I$3493,IMDB_Movies!P$2:P$3493)</f>
        <v>38493982</v>
      </c>
    </row>
    <row r="1664">
      <c r="A1664" s="20" t="s">
        <v>5732</v>
      </c>
      <c r="B1664" s="35">
        <f t="array" ref="B1664">XLOOKUP(A1664,IMDB_Movies!I$2:I$3493,IMDB_Movies!Q$2:Q$3493)</f>
        <v>0</v>
      </c>
      <c r="E1664" s="20" t="s">
        <v>5732</v>
      </c>
      <c r="F1664" s="36">
        <f t="array" ref="F1664">XLOOKUP(A1664,IMDB_Movies!I$2:I$3493,IMDB_Movies!P$2:P$3493)</f>
        <v>27680195</v>
      </c>
    </row>
    <row r="1665">
      <c r="A1665" s="11" t="s">
        <v>5734</v>
      </c>
      <c r="B1665" s="35">
        <f t="array" ref="B1665">XLOOKUP(A1665,IMDB_Movies!I$2:I$3493,IMDB_Movies!Q$2:Q$3493)</f>
        <v>0</v>
      </c>
      <c r="E1665" s="11" t="s">
        <v>5734</v>
      </c>
      <c r="F1665" s="36">
        <f t="array" ref="F1665">XLOOKUP(A1665,IMDB_Movies!I$2:I$3493,IMDB_Movies!P$2:P$3493)</f>
        <v>6246959</v>
      </c>
    </row>
    <row r="1666">
      <c r="A1666" s="28" t="s">
        <v>5737</v>
      </c>
      <c r="B1666" s="35">
        <f t="array" ref="B1666">XLOOKUP(A1666,IMDB_Movies!I$2:I$3493,IMDB_Movies!Q$2:Q$3493)</f>
        <v>17419365</v>
      </c>
      <c r="E1666" s="28" t="s">
        <v>5737</v>
      </c>
      <c r="F1666" s="36">
        <f t="array" ref="F1666">XLOOKUP(A1666,IMDB_Movies!I$2:I$3493,IMDB_Movies!P$2:P$3493)</f>
        <v>0</v>
      </c>
    </row>
    <row r="1667">
      <c r="A1667" s="20" t="s">
        <v>5741</v>
      </c>
      <c r="B1667" s="35">
        <f t="array" ref="B1667">XLOOKUP(A1667,IMDB_Movies!I$2:I$3493,IMDB_Movies!Q$2:Q$3493)</f>
        <v>0</v>
      </c>
      <c r="E1667" s="20" t="s">
        <v>5741</v>
      </c>
      <c r="F1667" s="36">
        <f t="array" ref="F1667">XLOOKUP(A1667,IMDB_Movies!I$2:I$3493,IMDB_Movies!P$2:P$3493)</f>
        <v>34225164</v>
      </c>
    </row>
    <row r="1668">
      <c r="A1668" s="11" t="s">
        <v>5745</v>
      </c>
      <c r="B1668" s="35">
        <f t="array" ref="B1668">XLOOKUP(A1668,IMDB_Movies!I$2:I$3493,IMDB_Movies!Q$2:Q$3493)</f>
        <v>0</v>
      </c>
      <c r="E1668" s="11" t="s">
        <v>5745</v>
      </c>
      <c r="F1668" s="36">
        <f t="array" ref="F1668">XLOOKUP(A1668,IMDB_Movies!I$2:I$3493,IMDB_Movies!P$2:P$3493)</f>
        <v>7416109</v>
      </c>
    </row>
    <row r="1669">
      <c r="A1669" s="11" t="s">
        <v>5747</v>
      </c>
      <c r="B1669" s="35">
        <f t="array" ref="B1669">XLOOKUP(A1669,IMDB_Movies!I$2:I$3493,IMDB_Movies!Q$2:Q$3493)</f>
        <v>30573703</v>
      </c>
      <c r="E1669" s="11" t="s">
        <v>5747</v>
      </c>
      <c r="F1669" s="36">
        <f t="array" ref="F1669">XLOOKUP(A1669,IMDB_Movies!I$2:I$3493,IMDB_Movies!P$2:P$3493)</f>
        <v>0</v>
      </c>
    </row>
    <row r="1670">
      <c r="A1670" s="24" t="s">
        <v>5750</v>
      </c>
      <c r="B1670" s="35">
        <f t="array" ref="B1670">XLOOKUP(A1670,IMDB_Movies!I$2:I$3493,IMDB_Movies!Q$2:Q$3493)</f>
        <v>0</v>
      </c>
      <c r="E1670" s="24" t="s">
        <v>5750</v>
      </c>
      <c r="F1670" s="36">
        <f t="array" ref="F1670">XLOOKUP(A1670,IMDB_Movies!I$2:I$3493,IMDB_Movies!P$2:P$3493)</f>
        <v>902679</v>
      </c>
    </row>
    <row r="1671">
      <c r="A1671" s="24" t="s">
        <v>5753</v>
      </c>
      <c r="B1671" s="35">
        <f t="array" ref="B1671">XLOOKUP(A1671,IMDB_Movies!I$2:I$3493,IMDB_Movies!Q$2:Q$3493)</f>
        <v>5231584</v>
      </c>
      <c r="E1671" s="24" t="s">
        <v>5753</v>
      </c>
      <c r="F1671" s="36">
        <f t="array" ref="F1671">XLOOKUP(A1671,IMDB_Movies!I$2:I$3493,IMDB_Movies!P$2:P$3493)</f>
        <v>0</v>
      </c>
    </row>
    <row r="1672">
      <c r="A1672" s="11" t="s">
        <v>5757</v>
      </c>
      <c r="B1672" s="35">
        <f t="array" ref="B1672">XLOOKUP(A1672,IMDB_Movies!I$2:I$3493,IMDB_Movies!Q$2:Q$3493)</f>
        <v>5500000</v>
      </c>
      <c r="E1672" s="11" t="s">
        <v>5757</v>
      </c>
      <c r="F1672" s="36">
        <f t="array" ref="F1672">XLOOKUP(A1672,IMDB_Movies!I$2:I$3493,IMDB_Movies!P$2:P$3493)</f>
        <v>0</v>
      </c>
    </row>
    <row r="1673">
      <c r="A1673" s="16" t="s">
        <v>5759</v>
      </c>
      <c r="B1673" s="35">
        <f t="array" ref="B1673">XLOOKUP(A1673,IMDB_Movies!I$2:I$3493,IMDB_Movies!Q$2:Q$3493)</f>
        <v>0</v>
      </c>
      <c r="E1673" s="16" t="s">
        <v>5759</v>
      </c>
      <c r="F1673" s="36">
        <f t="array" ref="F1673">XLOOKUP(A1673,IMDB_Movies!I$2:I$3493,IMDB_Movies!P$2:P$3493)</f>
        <v>77692062</v>
      </c>
    </row>
    <row r="1674">
      <c r="A1674" s="28" t="s">
        <v>5761</v>
      </c>
      <c r="B1674" s="35">
        <f t="array" ref="B1674">XLOOKUP(A1674,IMDB_Movies!I$2:I$3493,IMDB_Movies!Q$2:Q$3493)</f>
        <v>19083691</v>
      </c>
      <c r="E1674" s="28" t="s">
        <v>5761</v>
      </c>
      <c r="F1674" s="36">
        <f t="array" ref="F1674">XLOOKUP(A1674,IMDB_Movies!I$2:I$3493,IMDB_Movies!P$2:P$3493)</f>
        <v>0</v>
      </c>
    </row>
    <row r="1675">
      <c r="A1675" s="20" t="s">
        <v>5765</v>
      </c>
      <c r="B1675" s="35">
        <f t="array" ref="B1675">XLOOKUP(A1675,IMDB_Movies!I$2:I$3493,IMDB_Movies!Q$2:Q$3493)</f>
        <v>0</v>
      </c>
      <c r="E1675" s="20" t="s">
        <v>5765</v>
      </c>
      <c r="F1675" s="36">
        <f t="array" ref="F1675">XLOOKUP(A1675,IMDB_Movies!I$2:I$3493,IMDB_Movies!P$2:P$3493)</f>
        <v>19100000</v>
      </c>
    </row>
    <row r="1676">
      <c r="A1676" s="24" t="s">
        <v>5768</v>
      </c>
      <c r="B1676" s="35">
        <f t="array" ref="B1676">XLOOKUP(A1676,IMDB_Movies!I$2:I$3493,IMDB_Movies!Q$2:Q$3493)</f>
        <v>0</v>
      </c>
      <c r="E1676" s="24" t="s">
        <v>5768</v>
      </c>
      <c r="F1676" s="36">
        <f t="array" ref="F1676">XLOOKUP(A1676,IMDB_Movies!I$2:I$3493,IMDB_Movies!P$2:P$3493)</f>
        <v>32200000</v>
      </c>
    </row>
    <row r="1677">
      <c r="A1677" s="20" t="s">
        <v>5770</v>
      </c>
      <c r="B1677" s="35">
        <f t="array" ref="B1677">XLOOKUP(A1677,IMDB_Movies!I$2:I$3493,IMDB_Movies!Q$2:Q$3493)</f>
        <v>0</v>
      </c>
      <c r="E1677" s="20" t="s">
        <v>5770</v>
      </c>
      <c r="F1677" s="36">
        <f t="array" ref="F1677">XLOOKUP(A1677,IMDB_Movies!I$2:I$3493,IMDB_Movies!P$2:P$3493)</f>
        <v>2688364</v>
      </c>
    </row>
    <row r="1678">
      <c r="A1678" s="24" t="s">
        <v>5773</v>
      </c>
      <c r="B1678" s="35">
        <f t="array" ref="B1678">XLOOKUP(A1678,IMDB_Movies!I$2:I$3493,IMDB_Movies!Q$2:Q$3493)</f>
        <v>696724557</v>
      </c>
      <c r="E1678" s="24" t="s">
        <v>5773</v>
      </c>
      <c r="F1678" s="36">
        <f t="array" ref="F1678">XLOOKUP(A1678,IMDB_Movies!I$2:I$3493,IMDB_Movies!P$2:P$3493)</f>
        <v>0</v>
      </c>
    </row>
    <row r="1679">
      <c r="A1679" s="11" t="s">
        <v>5775</v>
      </c>
      <c r="B1679" s="35">
        <f t="array" ref="B1679">XLOOKUP(A1679,IMDB_Movies!I$2:I$3493,IMDB_Movies!Q$2:Q$3493)</f>
        <v>22795993</v>
      </c>
      <c r="E1679" s="11" t="s">
        <v>5775</v>
      </c>
      <c r="F1679" s="36">
        <f t="array" ref="F1679">XLOOKUP(A1679,IMDB_Movies!I$2:I$3493,IMDB_Movies!P$2:P$3493)</f>
        <v>0</v>
      </c>
    </row>
    <row r="1680">
      <c r="A1680" s="11" t="s">
        <v>5778</v>
      </c>
      <c r="B1680" s="35">
        <f t="array" ref="B1680">XLOOKUP(A1680,IMDB_Movies!I$2:I$3493,IMDB_Movies!Q$2:Q$3493)</f>
        <v>0</v>
      </c>
      <c r="E1680" s="11" t="s">
        <v>5778</v>
      </c>
      <c r="F1680" s="36">
        <f t="array" ref="F1680">XLOOKUP(A1680,IMDB_Movies!I$2:I$3493,IMDB_Movies!P$2:P$3493)</f>
        <v>1659955</v>
      </c>
    </row>
    <row r="1681">
      <c r="A1681" s="11" t="s">
        <v>5780</v>
      </c>
      <c r="B1681" s="35">
        <f t="array" ref="B1681">XLOOKUP(A1681,IMDB_Movies!I$2:I$3493,IMDB_Movies!Q$2:Q$3493)</f>
        <v>23014913</v>
      </c>
      <c r="E1681" s="11" t="s">
        <v>5780</v>
      </c>
      <c r="F1681" s="36">
        <f t="array" ref="F1681">XLOOKUP(A1681,IMDB_Movies!I$2:I$3493,IMDB_Movies!P$2:P$3493)</f>
        <v>0</v>
      </c>
    </row>
    <row r="1682">
      <c r="A1682" s="11" t="s">
        <v>5785</v>
      </c>
      <c r="B1682" s="35">
        <f t="array" ref="B1682">XLOOKUP(A1682,IMDB_Movies!I$2:I$3493,IMDB_Movies!Q$2:Q$3493)</f>
        <v>0</v>
      </c>
      <c r="E1682" s="11" t="s">
        <v>5785</v>
      </c>
      <c r="F1682" s="36">
        <f t="array" ref="F1682">XLOOKUP(A1682,IMDB_Movies!I$2:I$3493,IMDB_Movies!P$2:P$3493)</f>
        <v>3738726</v>
      </c>
    </row>
    <row r="1683">
      <c r="A1683" s="11" t="s">
        <v>5788</v>
      </c>
      <c r="B1683" s="35">
        <f t="array" ref="B1683">XLOOKUP(A1683,IMDB_Movies!I$2:I$3493,IMDB_Movies!Q$2:Q$3493)</f>
        <v>96582135</v>
      </c>
      <c r="E1683" s="11" t="s">
        <v>5788</v>
      </c>
      <c r="F1683" s="36">
        <f t="array" ref="F1683">XLOOKUP(A1683,IMDB_Movies!I$2:I$3493,IMDB_Movies!P$2:P$3493)</f>
        <v>0</v>
      </c>
    </row>
    <row r="1684">
      <c r="A1684" s="20" t="s">
        <v>5792</v>
      </c>
      <c r="B1684" s="35">
        <f t="array" ref="B1684">XLOOKUP(A1684,IMDB_Movies!I$2:I$3493,IMDB_Movies!Q$2:Q$3493)</f>
        <v>0</v>
      </c>
      <c r="E1684" s="20" t="s">
        <v>5792</v>
      </c>
      <c r="F1684" s="36">
        <f t="array" ref="F1684">XLOOKUP(A1684,IMDB_Movies!I$2:I$3493,IMDB_Movies!P$2:P$3493)</f>
        <v>14967359</v>
      </c>
    </row>
    <row r="1685">
      <c r="A1685" s="28" t="s">
        <v>5796</v>
      </c>
      <c r="B1685" s="35">
        <f t="array" ref="B1685">XLOOKUP(A1685,IMDB_Movies!I$2:I$3493,IMDB_Movies!Q$2:Q$3493)</f>
        <v>0</v>
      </c>
      <c r="E1685" s="28" t="s">
        <v>5796</v>
      </c>
      <c r="F1685" s="36">
        <f t="array" ref="F1685">XLOOKUP(A1685,IMDB_Movies!I$2:I$3493,IMDB_Movies!P$2:P$3493)</f>
        <v>3294553</v>
      </c>
    </row>
    <row r="1686">
      <c r="A1686" s="28" t="s">
        <v>5799</v>
      </c>
      <c r="B1686" s="35">
        <f t="array" ref="B1686">XLOOKUP(A1686,IMDB_Movies!I$2:I$3493,IMDB_Movies!Q$2:Q$3493)</f>
        <v>0</v>
      </c>
      <c r="E1686" s="28" t="s">
        <v>5799</v>
      </c>
      <c r="F1686" s="36">
        <f t="array" ref="F1686">XLOOKUP(A1686,IMDB_Movies!I$2:I$3493,IMDB_Movies!P$2:P$3493)</f>
        <v>22305037</v>
      </c>
    </row>
    <row r="1687">
      <c r="A1687" s="11" t="s">
        <v>5803</v>
      </c>
      <c r="B1687" s="35">
        <f t="array" ref="B1687">XLOOKUP(A1687,IMDB_Movies!I$2:I$3493,IMDB_Movies!Q$2:Q$3493)</f>
        <v>0</v>
      </c>
      <c r="E1687" s="11" t="s">
        <v>5803</v>
      </c>
      <c r="F1687" s="36">
        <f t="array" ref="F1687">XLOOKUP(A1687,IMDB_Movies!I$2:I$3493,IMDB_Movies!P$2:P$3493)</f>
        <v>7096584</v>
      </c>
    </row>
    <row r="1688">
      <c r="A1688" s="28" t="s">
        <v>5805</v>
      </c>
      <c r="B1688" s="35">
        <f t="array" ref="B1688">XLOOKUP(A1688,IMDB_Movies!I$2:I$3493,IMDB_Movies!Q$2:Q$3493)</f>
        <v>94780265</v>
      </c>
      <c r="E1688" s="28" t="s">
        <v>5805</v>
      </c>
      <c r="F1688" s="36">
        <f t="array" ref="F1688">XLOOKUP(A1688,IMDB_Movies!I$2:I$3493,IMDB_Movies!P$2:P$3493)</f>
        <v>0</v>
      </c>
    </row>
    <row r="1689">
      <c r="A1689" s="20" t="s">
        <v>5808</v>
      </c>
      <c r="B1689" s="35">
        <f t="array" ref="B1689">XLOOKUP(A1689,IMDB_Movies!I$2:I$3493,IMDB_Movies!Q$2:Q$3493)</f>
        <v>11409500</v>
      </c>
      <c r="E1689" s="20" t="s">
        <v>5808</v>
      </c>
      <c r="F1689" s="36">
        <f t="array" ref="F1689">XLOOKUP(A1689,IMDB_Movies!I$2:I$3493,IMDB_Movies!P$2:P$3493)</f>
        <v>0</v>
      </c>
    </row>
    <row r="1690">
      <c r="A1690" s="11" t="s">
        <v>5812</v>
      </c>
      <c r="B1690" s="35">
        <f t="array" ref="B1690">XLOOKUP(A1690,IMDB_Movies!I$2:I$3493,IMDB_Movies!Q$2:Q$3493)</f>
        <v>0</v>
      </c>
      <c r="E1690" s="11" t="s">
        <v>5812</v>
      </c>
      <c r="F1690" s="36">
        <f t="array" ref="F1690">XLOOKUP(A1690,IMDB_Movies!I$2:I$3493,IMDB_Movies!P$2:P$3493)</f>
        <v>608545</v>
      </c>
    </row>
    <row r="1691">
      <c r="A1691" s="16" t="s">
        <v>5814</v>
      </c>
      <c r="B1691" s="35">
        <f t="array" ref="B1691">XLOOKUP(A1691,IMDB_Movies!I$2:I$3493,IMDB_Movies!Q$2:Q$3493)</f>
        <v>3474166</v>
      </c>
      <c r="E1691" s="16" t="s">
        <v>5814</v>
      </c>
      <c r="F1691" s="36">
        <f t="array" ref="F1691">XLOOKUP(A1691,IMDB_Movies!I$2:I$3493,IMDB_Movies!P$2:P$3493)</f>
        <v>0</v>
      </c>
    </row>
    <row r="1692">
      <c r="A1692" s="24" t="s">
        <v>5816</v>
      </c>
      <c r="B1692" s="35">
        <f t="array" ref="B1692">XLOOKUP(A1692,IMDB_Movies!I$2:I$3493,IMDB_Movies!Q$2:Q$3493)</f>
        <v>50231945</v>
      </c>
      <c r="E1692" s="24" t="s">
        <v>5816</v>
      </c>
      <c r="F1692" s="36">
        <f t="array" ref="F1692">XLOOKUP(A1692,IMDB_Movies!I$2:I$3493,IMDB_Movies!P$2:P$3493)</f>
        <v>0</v>
      </c>
    </row>
    <row r="1693">
      <c r="A1693" s="16" t="s">
        <v>5820</v>
      </c>
      <c r="B1693" s="35">
        <f t="array" ref="B1693">XLOOKUP(A1693,IMDB_Movies!I$2:I$3493,IMDB_Movies!Q$2:Q$3493)</f>
        <v>0</v>
      </c>
      <c r="E1693" s="16" t="s">
        <v>5820</v>
      </c>
      <c r="F1693" s="36">
        <f t="array" ref="F1693">XLOOKUP(A1693,IMDB_Movies!I$2:I$3493,IMDB_Movies!P$2:P$3493)</f>
        <v>21432423</v>
      </c>
    </row>
    <row r="1694">
      <c r="A1694" s="24" t="s">
        <v>5824</v>
      </c>
      <c r="B1694" s="35">
        <f t="array" ref="B1694">XLOOKUP(A1694,IMDB_Movies!I$2:I$3493,IMDB_Movies!Q$2:Q$3493)</f>
        <v>0</v>
      </c>
      <c r="E1694" s="24" t="s">
        <v>5824</v>
      </c>
      <c r="F1694" s="36">
        <f t="array" ref="F1694">XLOOKUP(A1694,IMDB_Movies!I$2:I$3493,IMDB_Movies!P$2:P$3493)</f>
        <v>8100000</v>
      </c>
    </row>
    <row r="1695">
      <c r="A1695" s="11" t="s">
        <v>5827</v>
      </c>
      <c r="B1695" s="35">
        <f t="array" ref="B1695">XLOOKUP(A1695,IMDB_Movies!I$2:I$3493,IMDB_Movies!Q$2:Q$3493)</f>
        <v>6044961</v>
      </c>
      <c r="E1695" s="11" t="s">
        <v>5827</v>
      </c>
      <c r="F1695" s="36">
        <f t="array" ref="F1695">XLOOKUP(A1695,IMDB_Movies!I$2:I$3493,IMDB_Movies!P$2:P$3493)</f>
        <v>0</v>
      </c>
    </row>
    <row r="1696">
      <c r="A1696" s="11" t="s">
        <v>5830</v>
      </c>
      <c r="B1696" s="35">
        <f t="array" ref="B1696">XLOOKUP(A1696,IMDB_Movies!I$2:I$3493,IMDB_Movies!Q$2:Q$3493)</f>
        <v>0</v>
      </c>
      <c r="E1696" s="11" t="s">
        <v>5830</v>
      </c>
      <c r="F1696" s="36">
        <f t="array" ref="F1696">XLOOKUP(A1696,IMDB_Movies!I$2:I$3493,IMDB_Movies!P$2:P$3493)</f>
        <v>424449459</v>
      </c>
    </row>
    <row r="1697">
      <c r="A1697" s="11" t="s">
        <v>5832</v>
      </c>
      <c r="B1697" s="35">
        <f t="array" ref="B1697">XLOOKUP(A1697,IMDB_Movies!I$2:I$3493,IMDB_Movies!Q$2:Q$3493)</f>
        <v>16025347</v>
      </c>
      <c r="E1697" s="11" t="s">
        <v>5832</v>
      </c>
      <c r="F1697" s="36">
        <f t="array" ref="F1697">XLOOKUP(A1697,IMDB_Movies!I$2:I$3493,IMDB_Movies!P$2:P$3493)</f>
        <v>0</v>
      </c>
    </row>
    <row r="1698">
      <c r="A1698" s="24" t="s">
        <v>5834</v>
      </c>
      <c r="B1698" s="35">
        <f t="array" ref="B1698">XLOOKUP(A1698,IMDB_Movies!I$2:I$3493,IMDB_Movies!Q$2:Q$3493)</f>
        <v>0</v>
      </c>
      <c r="E1698" s="24" t="s">
        <v>5834</v>
      </c>
      <c r="F1698" s="36">
        <f t="array" ref="F1698">XLOOKUP(A1698,IMDB_Movies!I$2:I$3493,IMDB_Movies!P$2:P$3493)</f>
        <v>7867349</v>
      </c>
    </row>
    <row r="1699">
      <c r="A1699" s="24" t="s">
        <v>5838</v>
      </c>
      <c r="B1699" s="35">
        <f t="array" ref="B1699">XLOOKUP(A1699,IMDB_Movies!I$2:I$3493,IMDB_Movies!Q$2:Q$3493)</f>
        <v>3771476</v>
      </c>
      <c r="E1699" s="24" t="s">
        <v>5838</v>
      </c>
      <c r="F1699" s="36">
        <f t="array" ref="F1699">XLOOKUP(A1699,IMDB_Movies!I$2:I$3493,IMDB_Movies!P$2:P$3493)</f>
        <v>0</v>
      </c>
    </row>
    <row r="1700">
      <c r="A1700" s="11" t="s">
        <v>5840</v>
      </c>
      <c r="B1700" s="35">
        <f t="array" ref="B1700">XLOOKUP(A1700,IMDB_Movies!I$2:I$3493,IMDB_Movies!Q$2:Q$3493)</f>
        <v>0</v>
      </c>
      <c r="E1700" s="11" t="s">
        <v>5840</v>
      </c>
      <c r="F1700" s="36">
        <f t="array" ref="F1700">XLOOKUP(A1700,IMDB_Movies!I$2:I$3493,IMDB_Movies!P$2:P$3493)</f>
        <v>39812796</v>
      </c>
    </row>
    <row r="1701">
      <c r="A1701" s="11" t="s">
        <v>5844</v>
      </c>
      <c r="B1701" s="35">
        <f t="array" ref="B1701">XLOOKUP(A1701,IMDB_Movies!I$2:I$3493,IMDB_Movies!Q$2:Q$3493)</f>
        <v>0</v>
      </c>
      <c r="E1701" s="11" t="s">
        <v>5844</v>
      </c>
      <c r="F1701" s="36">
        <f t="array" ref="F1701">XLOOKUP(A1701,IMDB_Movies!I$2:I$3493,IMDB_Movies!P$2:P$3493)</f>
        <v>15800000</v>
      </c>
    </row>
    <row r="1702">
      <c r="A1702" s="20" t="s">
        <v>5847</v>
      </c>
      <c r="B1702" s="35">
        <f t="array" ref="B1702">XLOOKUP(A1702,IMDB_Movies!I$2:I$3493,IMDB_Movies!Q$2:Q$3493)</f>
        <v>12390000</v>
      </c>
      <c r="E1702" s="20" t="s">
        <v>5847</v>
      </c>
      <c r="F1702" s="36">
        <f t="array" ref="F1702">XLOOKUP(A1702,IMDB_Movies!I$2:I$3493,IMDB_Movies!P$2:P$3493)</f>
        <v>0</v>
      </c>
    </row>
    <row r="1703">
      <c r="A1703" s="11" t="s">
        <v>5850</v>
      </c>
      <c r="B1703" s="35">
        <f t="array" ref="B1703">XLOOKUP(A1703,IMDB_Movies!I$2:I$3493,IMDB_Movies!Q$2:Q$3493)</f>
        <v>15614237</v>
      </c>
      <c r="E1703" s="11" t="s">
        <v>5850</v>
      </c>
      <c r="F1703" s="36">
        <f t="array" ref="F1703">XLOOKUP(A1703,IMDB_Movies!I$2:I$3493,IMDB_Movies!P$2:P$3493)</f>
        <v>0</v>
      </c>
    </row>
    <row r="1704">
      <c r="A1704" s="20" t="s">
        <v>5853</v>
      </c>
      <c r="B1704" s="35">
        <f t="array" ref="B1704">XLOOKUP(A1704,IMDB_Movies!I$2:I$3493,IMDB_Movies!Q$2:Q$3493)</f>
        <v>0</v>
      </c>
      <c r="E1704" s="20" t="s">
        <v>5853</v>
      </c>
      <c r="F1704" s="36">
        <f t="array" ref="F1704">XLOOKUP(A1704,IMDB_Movies!I$2:I$3493,IMDB_Movies!P$2:P$3493)</f>
        <v>21968653</v>
      </c>
    </row>
    <row r="1705">
      <c r="A1705" s="11" t="s">
        <v>5855</v>
      </c>
      <c r="B1705" s="35">
        <f t="array" ref="B1705">XLOOKUP(A1705,IMDB_Movies!I$2:I$3493,IMDB_Movies!Q$2:Q$3493)</f>
        <v>0</v>
      </c>
      <c r="E1705" s="11" t="s">
        <v>5855</v>
      </c>
      <c r="F1705" s="36">
        <f t="array" ref="F1705">XLOOKUP(A1705,IMDB_Movies!I$2:I$3493,IMDB_Movies!P$2:P$3493)</f>
        <v>14078294</v>
      </c>
    </row>
    <row r="1706">
      <c r="A1706" s="32" t="s">
        <v>5857</v>
      </c>
      <c r="B1706" s="35">
        <f t="array" ref="B1706">XLOOKUP(A1706,IMDB_Movies!I$2:I$3493,IMDB_Movies!Q$2:Q$3493)</f>
        <v>0</v>
      </c>
      <c r="E1706" s="32" t="s">
        <v>5857</v>
      </c>
      <c r="F1706" s="36">
        <f t="array" ref="F1706">XLOOKUP(A1706,IMDB_Movies!I$2:I$3493,IMDB_Movies!P$2:P$3493)</f>
        <v>18488090</v>
      </c>
    </row>
    <row r="1707">
      <c r="A1707" s="32" t="s">
        <v>5861</v>
      </c>
      <c r="B1707" s="35">
        <f t="array" ref="B1707">XLOOKUP(A1707,IMDB_Movies!I$2:I$3493,IMDB_Movies!Q$2:Q$3493)</f>
        <v>0</v>
      </c>
      <c r="E1707" s="32" t="s">
        <v>5861</v>
      </c>
      <c r="F1707" s="36">
        <f t="array" ref="F1707">XLOOKUP(A1707,IMDB_Movies!I$2:I$3493,IMDB_Movies!P$2:P$3493)</f>
        <v>2773863</v>
      </c>
    </row>
    <row r="1708">
      <c r="A1708" s="32" t="s">
        <v>5864</v>
      </c>
      <c r="B1708" s="35">
        <f t="array" ref="B1708">XLOOKUP(A1708,IMDB_Movies!I$2:I$3493,IMDB_Movies!Q$2:Q$3493)</f>
        <v>0</v>
      </c>
      <c r="E1708" s="32" t="s">
        <v>5864</v>
      </c>
      <c r="F1708" s="36">
        <f t="array" ref="F1708">XLOOKUP(A1708,IMDB_Movies!I$2:I$3493,IMDB_Movies!P$2:P$3493)</f>
        <v>969176</v>
      </c>
    </row>
    <row r="1709">
      <c r="A1709" s="16" t="s">
        <v>5867</v>
      </c>
      <c r="B1709" s="35">
        <f t="array" ref="B1709">XLOOKUP(A1709,IMDB_Movies!I$2:I$3493,IMDB_Movies!Q$2:Q$3493)</f>
        <v>0</v>
      </c>
      <c r="E1709" s="16" t="s">
        <v>5867</v>
      </c>
      <c r="F1709" s="36">
        <f t="array" ref="F1709">XLOOKUP(A1709,IMDB_Movies!I$2:I$3493,IMDB_Movies!P$2:P$3493)</f>
        <v>2128202</v>
      </c>
    </row>
    <row r="1710">
      <c r="A1710" s="32" t="s">
        <v>5870</v>
      </c>
      <c r="B1710" s="35">
        <f t="array" ref="B1710">XLOOKUP(A1710,IMDB_Movies!I$2:I$3493,IMDB_Movies!Q$2:Q$3493)</f>
        <v>10822459</v>
      </c>
      <c r="E1710" s="32" t="s">
        <v>5870</v>
      </c>
      <c r="F1710" s="36">
        <f t="array" ref="F1710">XLOOKUP(A1710,IMDB_Movies!I$2:I$3493,IMDB_Movies!P$2:P$3493)</f>
        <v>0</v>
      </c>
    </row>
    <row r="1711">
      <c r="A1711" s="11" t="s">
        <v>5872</v>
      </c>
      <c r="B1711" s="35">
        <f t="array" ref="B1711">XLOOKUP(A1711,IMDB_Movies!I$2:I$3493,IMDB_Movies!Q$2:Q$3493)</f>
        <v>9136085</v>
      </c>
      <c r="E1711" s="11" t="s">
        <v>5872</v>
      </c>
      <c r="F1711" s="36">
        <f t="array" ref="F1711">XLOOKUP(A1711,IMDB_Movies!I$2:I$3493,IMDB_Movies!P$2:P$3493)</f>
        <v>0</v>
      </c>
    </row>
    <row r="1712">
      <c r="A1712" s="24" t="s">
        <v>5875</v>
      </c>
      <c r="B1712" s="35">
        <f t="array" ref="B1712">XLOOKUP(A1712,IMDB_Movies!I$2:I$3493,IMDB_Movies!Q$2:Q$3493)</f>
        <v>993613</v>
      </c>
      <c r="E1712" s="24" t="s">
        <v>5875</v>
      </c>
      <c r="F1712" s="36">
        <f t="array" ref="F1712">XLOOKUP(A1712,IMDB_Movies!I$2:I$3493,IMDB_Movies!P$2:P$3493)</f>
        <v>0</v>
      </c>
    </row>
    <row r="1713">
      <c r="A1713" s="20" t="s">
        <v>5878</v>
      </c>
      <c r="B1713" s="35">
        <f t="array" ref="B1713">XLOOKUP(A1713,IMDB_Movies!I$2:I$3493,IMDB_Movies!Q$2:Q$3493)</f>
        <v>0</v>
      </c>
      <c r="E1713" s="20" t="s">
        <v>5878</v>
      </c>
      <c r="F1713" s="36">
        <f t="array" ref="F1713">XLOOKUP(A1713,IMDB_Movies!I$2:I$3493,IMDB_Movies!P$2:P$3493)</f>
        <v>10400000</v>
      </c>
    </row>
    <row r="1714">
      <c r="A1714" s="32" t="s">
        <v>5882</v>
      </c>
      <c r="B1714" s="35">
        <f t="array" ref="B1714">XLOOKUP(A1714,IMDB_Movies!I$2:I$3493,IMDB_Movies!Q$2:Q$3493)</f>
        <v>1965583</v>
      </c>
      <c r="E1714" s="32" t="s">
        <v>5882</v>
      </c>
      <c r="F1714" s="36">
        <f t="array" ref="F1714">XLOOKUP(A1714,IMDB_Movies!I$2:I$3493,IMDB_Movies!P$2:P$3493)</f>
        <v>0</v>
      </c>
    </row>
    <row r="1715">
      <c r="A1715" s="32" t="s">
        <v>5885</v>
      </c>
      <c r="B1715" s="35">
        <f t="array" ref="B1715">XLOOKUP(A1715,IMDB_Movies!I$2:I$3493,IMDB_Movies!Q$2:Q$3493)</f>
        <v>0</v>
      </c>
      <c r="E1715" s="32" t="s">
        <v>5885</v>
      </c>
      <c r="F1715" s="36">
        <f t="array" ref="F1715">XLOOKUP(A1715,IMDB_Movies!I$2:I$3493,IMDB_Movies!P$2:P$3493)</f>
        <v>277257</v>
      </c>
    </row>
    <row r="1716">
      <c r="A1716" s="11" t="s">
        <v>5887</v>
      </c>
      <c r="B1716" s="35">
        <f t="array" ref="B1716">XLOOKUP(A1716,IMDB_Movies!I$2:I$3493,IMDB_Movies!Q$2:Q$3493)</f>
        <v>0</v>
      </c>
      <c r="E1716" s="11" t="s">
        <v>5887</v>
      </c>
      <c r="F1716" s="36">
        <f t="array" ref="F1716">XLOOKUP(A1716,IMDB_Movies!I$2:I$3493,IMDB_Movies!P$2:P$3493)</f>
        <v>283019252</v>
      </c>
    </row>
    <row r="1717">
      <c r="A1717" s="20" t="s">
        <v>5889</v>
      </c>
      <c r="B1717" s="35">
        <f t="array" ref="B1717">XLOOKUP(A1717,IMDB_Movies!I$2:I$3493,IMDB_Movies!Q$2:Q$3493)</f>
        <v>0</v>
      </c>
      <c r="E1717" s="20" t="s">
        <v>5889</v>
      </c>
      <c r="F1717" s="36">
        <f t="array" ref="F1717">XLOOKUP(A1717,IMDB_Movies!I$2:I$3493,IMDB_Movies!P$2:P$3493)</f>
        <v>82001186</v>
      </c>
    </row>
    <row r="1718">
      <c r="A1718" s="11" t="s">
        <v>5892</v>
      </c>
      <c r="B1718" s="35">
        <f t="array" ref="B1718">XLOOKUP(A1718,IMDB_Movies!I$2:I$3493,IMDB_Movies!Q$2:Q$3493)</f>
        <v>3403207</v>
      </c>
      <c r="E1718" s="11" t="s">
        <v>5892</v>
      </c>
      <c r="F1718" s="36">
        <f t="array" ref="F1718">XLOOKUP(A1718,IMDB_Movies!I$2:I$3493,IMDB_Movies!P$2:P$3493)</f>
        <v>0</v>
      </c>
    </row>
    <row r="1719">
      <c r="A1719" s="11" t="s">
        <v>5895</v>
      </c>
      <c r="B1719" s="35">
        <f t="array" ref="B1719">XLOOKUP(A1719,IMDB_Movies!I$2:I$3493,IMDB_Movies!Q$2:Q$3493)</f>
        <v>0</v>
      </c>
      <c r="E1719" s="11" t="s">
        <v>5895</v>
      </c>
      <c r="F1719" s="36">
        <f t="array" ref="F1719">XLOOKUP(A1719,IMDB_Movies!I$2:I$3493,IMDB_Movies!P$2:P$3493)</f>
        <v>125665036</v>
      </c>
    </row>
    <row r="1720">
      <c r="A1720" s="11" t="s">
        <v>5897</v>
      </c>
      <c r="B1720" s="35">
        <f t="array" ref="B1720">XLOOKUP(A1720,IMDB_Movies!I$2:I$3493,IMDB_Movies!Q$2:Q$3493)</f>
        <v>0</v>
      </c>
      <c r="E1720" s="11" t="s">
        <v>5897</v>
      </c>
      <c r="F1720" s="36">
        <f t="array" ref="F1720">XLOOKUP(A1720,IMDB_Movies!I$2:I$3493,IMDB_Movies!P$2:P$3493)</f>
        <v>80249062</v>
      </c>
    </row>
    <row r="1721">
      <c r="A1721" s="24" t="s">
        <v>5901</v>
      </c>
      <c r="B1721" s="35">
        <f t="array" ref="B1721">XLOOKUP(A1721,IMDB_Movies!I$2:I$3493,IMDB_Movies!Q$2:Q$3493)</f>
        <v>468063</v>
      </c>
      <c r="E1721" s="24" t="s">
        <v>5901</v>
      </c>
      <c r="F1721" s="36">
        <f t="array" ref="F1721">XLOOKUP(A1721,IMDB_Movies!I$2:I$3493,IMDB_Movies!P$2:P$3493)</f>
        <v>0</v>
      </c>
    </row>
    <row r="1722">
      <c r="A1722" s="24" t="s">
        <v>5904</v>
      </c>
      <c r="B1722" s="35">
        <f t="array" ref="B1722">XLOOKUP(A1722,IMDB_Movies!I$2:I$3493,IMDB_Movies!Q$2:Q$3493)</f>
        <v>1823108</v>
      </c>
      <c r="E1722" s="24" t="s">
        <v>5904</v>
      </c>
      <c r="F1722" s="36">
        <f t="array" ref="F1722">XLOOKUP(A1722,IMDB_Movies!I$2:I$3493,IMDB_Movies!P$2:P$3493)</f>
        <v>0</v>
      </c>
    </row>
    <row r="1723">
      <c r="A1723" s="24" t="s">
        <v>5907</v>
      </c>
      <c r="B1723" s="35">
        <f t="array" ref="B1723">XLOOKUP(A1723,IMDB_Movies!I$2:I$3493,IMDB_Movies!Q$2:Q$3493)</f>
        <v>0</v>
      </c>
      <c r="E1723" s="24" t="s">
        <v>5907</v>
      </c>
      <c r="F1723" s="36">
        <f t="array" ref="F1723">XLOOKUP(A1723,IMDB_Movies!I$2:I$3493,IMDB_Movies!P$2:P$3493)</f>
        <v>30485039</v>
      </c>
    </row>
    <row r="1724">
      <c r="A1724" s="20" t="s">
        <v>5909</v>
      </c>
      <c r="B1724" s="35">
        <f t="array" ref="B1724">XLOOKUP(A1724,IMDB_Movies!I$2:I$3493,IMDB_Movies!Q$2:Q$3493)</f>
        <v>0</v>
      </c>
      <c r="E1724" s="20" t="s">
        <v>5909</v>
      </c>
      <c r="F1724" s="36">
        <f t="array" ref="F1724">XLOOKUP(A1724,IMDB_Movies!I$2:I$3493,IMDB_Movies!P$2:P$3493)</f>
        <v>118734225</v>
      </c>
    </row>
    <row r="1725">
      <c r="A1725" s="28" t="s">
        <v>5912</v>
      </c>
      <c r="B1725" s="35">
        <f t="array" ref="B1725">XLOOKUP(A1725,IMDB_Movies!I$2:I$3493,IMDB_Movies!Q$2:Q$3493)</f>
        <v>0</v>
      </c>
      <c r="E1725" s="28" t="s">
        <v>5912</v>
      </c>
      <c r="F1725" s="36">
        <f t="array" ref="F1725">XLOOKUP(A1725,IMDB_Movies!I$2:I$3493,IMDB_Movies!P$2:P$3493)</f>
        <v>110505958</v>
      </c>
    </row>
    <row r="1726">
      <c r="A1726" s="11" t="s">
        <v>5914</v>
      </c>
      <c r="B1726" s="35">
        <f t="array" ref="B1726">XLOOKUP(A1726,IMDB_Movies!I$2:I$3493,IMDB_Movies!Q$2:Q$3493)</f>
        <v>0</v>
      </c>
      <c r="E1726" s="11" t="s">
        <v>5914</v>
      </c>
      <c r="F1726" s="36">
        <f t="array" ref="F1726">XLOOKUP(A1726,IMDB_Movies!I$2:I$3493,IMDB_Movies!P$2:P$3493)</f>
        <v>2180954</v>
      </c>
    </row>
    <row r="1727">
      <c r="A1727" s="20" t="s">
        <v>5917</v>
      </c>
      <c r="B1727" s="35">
        <f t="array" ref="B1727">XLOOKUP(A1727,IMDB_Movies!I$2:I$3493,IMDB_Movies!Q$2:Q$3493)</f>
        <v>0</v>
      </c>
      <c r="E1727" s="20" t="s">
        <v>5917</v>
      </c>
      <c r="F1727" s="36">
        <f t="array" ref="F1727">XLOOKUP(A1727,IMDB_Movies!I$2:I$3493,IMDB_Movies!P$2:P$3493)</f>
        <v>10221600</v>
      </c>
    </row>
    <row r="1728">
      <c r="A1728" s="32" t="s">
        <v>5919</v>
      </c>
      <c r="B1728" s="35">
        <f t="array" ref="B1728">XLOOKUP(A1728,IMDB_Movies!I$2:I$3493,IMDB_Movies!Q$2:Q$3493)</f>
        <v>0</v>
      </c>
      <c r="E1728" s="32" t="s">
        <v>5919</v>
      </c>
      <c r="F1728" s="36">
        <f t="array" ref="F1728">XLOOKUP(A1728,IMDB_Movies!I$2:I$3493,IMDB_Movies!P$2:P$3493)</f>
        <v>194200000</v>
      </c>
    </row>
    <row r="1729">
      <c r="A1729" s="11" t="s">
        <v>5923</v>
      </c>
      <c r="B1729" s="35">
        <f t="array" ref="B1729">XLOOKUP(A1729,IMDB_Movies!I$2:I$3493,IMDB_Movies!Q$2:Q$3493)</f>
        <v>0</v>
      </c>
      <c r="E1729" s="11" t="s">
        <v>5923</v>
      </c>
      <c r="F1729" s="36">
        <f t="array" ref="F1729">XLOOKUP(A1729,IMDB_Movies!I$2:I$3493,IMDB_Movies!P$2:P$3493)</f>
        <v>107902283</v>
      </c>
    </row>
    <row r="1730">
      <c r="A1730" s="11" t="s">
        <v>5927</v>
      </c>
      <c r="B1730" s="35">
        <f t="array" ref="B1730">XLOOKUP(A1730,IMDB_Movies!I$2:I$3493,IMDB_Movies!Q$2:Q$3493)</f>
        <v>0</v>
      </c>
      <c r="E1730" s="11" t="s">
        <v>5927</v>
      </c>
      <c r="F1730" s="36">
        <f t="array" ref="F1730">XLOOKUP(A1730,IMDB_Movies!I$2:I$3493,IMDB_Movies!P$2:P$3493)</f>
        <v>39190055</v>
      </c>
    </row>
    <row r="1731">
      <c r="A1731" s="11" t="s">
        <v>5930</v>
      </c>
      <c r="B1731" s="35">
        <f t="array" ref="B1731">XLOOKUP(A1731,IMDB_Movies!I$2:I$3493,IMDB_Movies!Q$2:Q$3493)</f>
        <v>0</v>
      </c>
      <c r="E1731" s="11" t="s">
        <v>5930</v>
      </c>
      <c r="F1731" s="36">
        <f t="array" ref="F1731">XLOOKUP(A1731,IMDB_Movies!I$2:I$3493,IMDB_Movies!P$2:P$3493)</f>
        <v>50301521</v>
      </c>
    </row>
    <row r="1732">
      <c r="A1732" s="11" t="s">
        <v>5933</v>
      </c>
      <c r="B1732" s="35">
        <f t="array" ref="B1732">XLOOKUP(A1732,IMDB_Movies!I$2:I$3493,IMDB_Movies!Q$2:Q$3493)</f>
        <v>0</v>
      </c>
      <c r="E1732" s="11" t="s">
        <v>5933</v>
      </c>
      <c r="F1732" s="36">
        <f t="array" ref="F1732">XLOOKUP(A1732,IMDB_Movies!I$2:I$3493,IMDB_Movies!P$2:P$3493)</f>
        <v>26635000</v>
      </c>
    </row>
    <row r="1733">
      <c r="A1733" s="20" t="s">
        <v>5936</v>
      </c>
      <c r="B1733" s="35">
        <f t="array" ref="B1733">XLOOKUP(A1733,IMDB_Movies!I$2:I$3493,IMDB_Movies!Q$2:Q$3493)</f>
        <v>0</v>
      </c>
      <c r="E1733" s="20" t="s">
        <v>5936</v>
      </c>
      <c r="F1733" s="36">
        <f t="array" ref="F1733">XLOOKUP(A1733,IMDB_Movies!I$2:I$3493,IMDB_Movies!P$2:P$3493)</f>
        <v>12738400</v>
      </c>
    </row>
    <row r="1734">
      <c r="A1734" s="24" t="s">
        <v>5939</v>
      </c>
      <c r="B1734" s="35">
        <f t="array" ref="B1734">XLOOKUP(A1734,IMDB_Movies!I$2:I$3493,IMDB_Movies!Q$2:Q$3493)</f>
        <v>0</v>
      </c>
      <c r="E1734" s="24" t="s">
        <v>5939</v>
      </c>
      <c r="F1734" s="36">
        <f t="array" ref="F1734">XLOOKUP(A1734,IMDB_Movies!I$2:I$3493,IMDB_Movies!P$2:P$3493)</f>
        <v>2051787</v>
      </c>
    </row>
    <row r="1735">
      <c r="A1735" s="20" t="s">
        <v>5941</v>
      </c>
      <c r="B1735" s="35">
        <f t="array" ref="B1735">XLOOKUP(A1735,IMDB_Movies!I$2:I$3493,IMDB_Movies!Q$2:Q$3493)</f>
        <v>0</v>
      </c>
      <c r="E1735" s="20" t="s">
        <v>5941</v>
      </c>
      <c r="F1735" s="36">
        <f t="array" ref="F1735">XLOOKUP(A1735,IMDB_Movies!I$2:I$3493,IMDB_Movies!P$2:P$3493)</f>
        <v>458672302</v>
      </c>
    </row>
    <row r="1736">
      <c r="A1736" s="24" t="s">
        <v>5944</v>
      </c>
      <c r="B1736" s="35">
        <f t="array" ref="B1736">XLOOKUP(A1736,IMDB_Movies!I$2:I$3493,IMDB_Movies!Q$2:Q$3493)</f>
        <v>0</v>
      </c>
      <c r="E1736" s="24" t="s">
        <v>5944</v>
      </c>
      <c r="F1736" s="36">
        <f t="array" ref="F1736">XLOOKUP(A1736,IMDB_Movies!I$2:I$3493,IMDB_Movies!P$2:P$3493)</f>
        <v>51588220</v>
      </c>
    </row>
    <row r="1737">
      <c r="A1737" s="32" t="s">
        <v>5948</v>
      </c>
      <c r="B1737" s="35">
        <f t="array" ref="B1737">XLOOKUP(A1737,IMDB_Movies!I$2:I$3493,IMDB_Movies!Q$2:Q$3493)</f>
        <v>0</v>
      </c>
      <c r="E1737" s="32" t="s">
        <v>5948</v>
      </c>
      <c r="F1737" s="36">
        <f t="array" ref="F1737">XLOOKUP(A1737,IMDB_Movies!I$2:I$3493,IMDB_Movies!P$2:P$3493)</f>
        <v>31000000</v>
      </c>
    </row>
    <row r="1738">
      <c r="A1738" s="28" t="s">
        <v>5951</v>
      </c>
      <c r="B1738" s="35">
        <f t="array" ref="B1738">XLOOKUP(A1738,IMDB_Movies!I$2:I$3493,IMDB_Movies!Q$2:Q$3493)</f>
        <v>3712212</v>
      </c>
      <c r="E1738" s="28" t="s">
        <v>5951</v>
      </c>
      <c r="F1738" s="36">
        <f t="array" ref="F1738">XLOOKUP(A1738,IMDB_Movies!I$2:I$3493,IMDB_Movies!P$2:P$3493)</f>
        <v>0</v>
      </c>
    </row>
    <row r="1739">
      <c r="A1739" s="32" t="s">
        <v>5955</v>
      </c>
      <c r="B1739" s="35">
        <f t="array" ref="B1739">XLOOKUP(A1739,IMDB_Movies!I$2:I$3493,IMDB_Movies!Q$2:Q$3493)</f>
        <v>0</v>
      </c>
      <c r="E1739" s="32" t="s">
        <v>5955</v>
      </c>
      <c r="F1739" s="36">
        <f t="array" ref="F1739">XLOOKUP(A1739,IMDB_Movies!I$2:I$3493,IMDB_Movies!P$2:P$3493)</f>
        <v>3231500</v>
      </c>
    </row>
    <row r="1740">
      <c r="A1740" s="11" t="s">
        <v>5958</v>
      </c>
      <c r="B1740" s="35">
        <f t="array" ref="B1740">XLOOKUP(A1740,IMDB_Movies!I$2:I$3493,IMDB_Movies!Q$2:Q$3493)</f>
        <v>1605064</v>
      </c>
      <c r="E1740" s="11" t="s">
        <v>5958</v>
      </c>
      <c r="F1740" s="36">
        <f t="array" ref="F1740">XLOOKUP(A1740,IMDB_Movies!I$2:I$3493,IMDB_Movies!P$2:P$3493)</f>
        <v>0</v>
      </c>
    </row>
    <row r="1741">
      <c r="A1741" s="11" t="s">
        <v>5961</v>
      </c>
      <c r="B1741" s="35">
        <f t="array" ref="B1741">XLOOKUP(A1741,IMDB_Movies!I$2:I$3493,IMDB_Movies!Q$2:Q$3493)</f>
        <v>0</v>
      </c>
      <c r="E1741" s="11" t="s">
        <v>5961</v>
      </c>
      <c r="F1741" s="36">
        <f t="array" ref="F1741">XLOOKUP(A1741,IMDB_Movies!I$2:I$3493,IMDB_Movies!P$2:P$3493)</f>
        <v>79444419</v>
      </c>
    </row>
    <row r="1742">
      <c r="A1742" s="11" t="s">
        <v>5964</v>
      </c>
      <c r="B1742" s="35">
        <f t="array" ref="B1742">XLOOKUP(A1742,IMDB_Movies!I$2:I$3493,IMDB_Movies!Q$2:Q$3493)</f>
        <v>0</v>
      </c>
      <c r="E1742" s="11" t="s">
        <v>5964</v>
      </c>
      <c r="F1742" s="36">
        <f t="array" ref="F1742">XLOOKUP(A1742,IMDB_Movies!I$2:I$3493,IMDB_Movies!P$2:P$3493)</f>
        <v>2862501</v>
      </c>
    </row>
    <row r="1743">
      <c r="A1743" s="20" t="s">
        <v>5968</v>
      </c>
      <c r="B1743" s="35">
        <f t="array" ref="B1743">XLOOKUP(A1743,IMDB_Movies!I$2:I$3493,IMDB_Movies!Q$2:Q$3493)</f>
        <v>10374831</v>
      </c>
      <c r="E1743" s="20" t="s">
        <v>5968</v>
      </c>
      <c r="F1743" s="36">
        <f t="array" ref="F1743">XLOOKUP(A1743,IMDB_Movies!I$2:I$3493,IMDB_Movies!P$2:P$3493)</f>
        <v>0</v>
      </c>
    </row>
    <row r="1744">
      <c r="A1744" s="11" t="s">
        <v>5970</v>
      </c>
      <c r="B1744" s="35">
        <f t="array" ref="B1744">XLOOKUP(A1744,IMDB_Movies!I$2:I$3493,IMDB_Movies!Q$2:Q$3493)</f>
        <v>0</v>
      </c>
      <c r="E1744" s="11" t="s">
        <v>5970</v>
      </c>
      <c r="F1744" s="36">
        <f t="array" ref="F1744">XLOOKUP(A1744,IMDB_Movies!I$2:I$3493,IMDB_Movies!P$2:P$3493)</f>
        <v>101463226</v>
      </c>
    </row>
    <row r="1745">
      <c r="A1745" s="24" t="s">
        <v>5974</v>
      </c>
      <c r="B1745" s="35">
        <f t="array" ref="B1745">XLOOKUP(A1745,IMDB_Movies!I$2:I$3493,IMDB_Movies!Q$2:Q$3493)</f>
        <v>0</v>
      </c>
      <c r="E1745" s="24" t="s">
        <v>5974</v>
      </c>
      <c r="F1745" s="36">
        <f t="array" ref="F1745">XLOOKUP(A1745,IMDB_Movies!I$2:I$3493,IMDB_Movies!P$2:P$3493)</f>
        <v>21846082</v>
      </c>
    </row>
    <row r="1746">
      <c r="A1746" s="11" t="s">
        <v>5978</v>
      </c>
      <c r="B1746" s="35">
        <f t="array" ref="B1746">XLOOKUP(A1746,IMDB_Movies!I$2:I$3493,IMDB_Movies!Q$2:Q$3493)</f>
        <v>0</v>
      </c>
      <c r="E1746" s="11" t="s">
        <v>5978</v>
      </c>
      <c r="F1746" s="36">
        <f t="array" ref="F1746">XLOOKUP(A1746,IMDB_Movies!I$2:I$3493,IMDB_Movies!P$2:P$3493)</f>
        <v>51071133</v>
      </c>
    </row>
    <row r="1747">
      <c r="A1747" s="24" t="s">
        <v>5981</v>
      </c>
      <c r="B1747" s="35">
        <f t="array" ref="B1747">XLOOKUP(A1747,IMDB_Movies!I$2:I$3493,IMDB_Movies!Q$2:Q$3493)</f>
        <v>18353336</v>
      </c>
      <c r="E1747" s="24" t="s">
        <v>5981</v>
      </c>
      <c r="F1747" s="36">
        <f t="array" ref="F1747">XLOOKUP(A1747,IMDB_Movies!I$2:I$3493,IMDB_Movies!P$2:P$3493)</f>
        <v>0</v>
      </c>
    </row>
    <row r="1748">
      <c r="A1748" s="24" t="s">
        <v>5983</v>
      </c>
      <c r="B1748" s="35">
        <f t="array" ref="B1748">XLOOKUP(A1748,IMDB_Movies!I$2:I$3493,IMDB_Movies!Q$2:Q$3493)</f>
        <v>0</v>
      </c>
      <c r="E1748" s="24" t="s">
        <v>5983</v>
      </c>
      <c r="F1748" s="36">
        <f t="array" ref="F1748">XLOOKUP(A1748,IMDB_Movies!I$2:I$3493,IMDB_Movies!P$2:P$3493)</f>
        <v>12414716</v>
      </c>
    </row>
    <row r="1749">
      <c r="A1749" s="11" t="s">
        <v>5987</v>
      </c>
      <c r="B1749" s="35">
        <f t="array" ref="B1749">XLOOKUP(A1749,IMDB_Movies!I$2:I$3493,IMDB_Movies!Q$2:Q$3493)</f>
        <v>4535974</v>
      </c>
      <c r="E1749" s="11" t="s">
        <v>5987</v>
      </c>
      <c r="F1749" s="36">
        <f t="array" ref="F1749">XLOOKUP(A1749,IMDB_Movies!I$2:I$3493,IMDB_Movies!P$2:P$3493)</f>
        <v>0</v>
      </c>
    </row>
    <row r="1750">
      <c r="A1750" s="28" t="s">
        <v>5989</v>
      </c>
      <c r="B1750" s="35">
        <f t="array" ref="B1750">XLOOKUP(A1750,IMDB_Movies!I$2:I$3493,IMDB_Movies!Q$2:Q$3493)</f>
        <v>0</v>
      </c>
      <c r="E1750" s="28" t="s">
        <v>5989</v>
      </c>
      <c r="F1750" s="36">
        <f t="array" ref="F1750">XLOOKUP(A1750,IMDB_Movies!I$2:I$3493,IMDB_Movies!P$2:P$3493)</f>
        <v>29993847</v>
      </c>
    </row>
    <row r="1751">
      <c r="A1751" s="11" t="s">
        <v>5992</v>
      </c>
      <c r="B1751" s="35">
        <f t="array" ref="B1751">XLOOKUP(A1751,IMDB_Movies!I$2:I$3493,IMDB_Movies!Q$2:Q$3493)</f>
        <v>5882440</v>
      </c>
      <c r="E1751" s="11" t="s">
        <v>5992</v>
      </c>
      <c r="F1751" s="36">
        <f t="array" ref="F1751">XLOOKUP(A1751,IMDB_Movies!I$2:I$3493,IMDB_Movies!P$2:P$3493)</f>
        <v>0</v>
      </c>
    </row>
    <row r="1752">
      <c r="A1752" s="32" t="s">
        <v>5994</v>
      </c>
      <c r="B1752" s="35">
        <f t="array" ref="B1752">XLOOKUP(A1752,IMDB_Movies!I$2:I$3493,IMDB_Movies!Q$2:Q$3493)</f>
        <v>29593736</v>
      </c>
      <c r="E1752" s="32" t="s">
        <v>5994</v>
      </c>
      <c r="F1752" s="36">
        <f t="array" ref="F1752">XLOOKUP(A1752,IMDB_Movies!I$2:I$3493,IMDB_Movies!P$2:P$3493)</f>
        <v>0</v>
      </c>
    </row>
    <row r="1753">
      <c r="A1753" s="11" t="s">
        <v>5998</v>
      </c>
      <c r="B1753" s="35">
        <f t="array" ref="B1753">XLOOKUP(A1753,IMDB_Movies!I$2:I$3493,IMDB_Movies!Q$2:Q$3493)</f>
        <v>14313571</v>
      </c>
      <c r="E1753" s="11" t="s">
        <v>5998</v>
      </c>
      <c r="F1753" s="36">
        <f t="array" ref="F1753">XLOOKUP(A1753,IMDB_Movies!I$2:I$3493,IMDB_Movies!P$2:P$3493)</f>
        <v>0</v>
      </c>
    </row>
    <row r="1754">
      <c r="A1754" s="11" t="s">
        <v>6002</v>
      </c>
      <c r="B1754" s="35">
        <f t="array" ref="B1754">XLOOKUP(A1754,IMDB_Movies!I$2:I$3493,IMDB_Movies!Q$2:Q$3493)</f>
        <v>9528558</v>
      </c>
      <c r="E1754" s="11" t="s">
        <v>6002</v>
      </c>
      <c r="F1754" s="36">
        <f t="array" ref="F1754">XLOOKUP(A1754,IMDB_Movies!I$2:I$3493,IMDB_Movies!P$2:P$3493)</f>
        <v>0</v>
      </c>
    </row>
    <row r="1755">
      <c r="A1755" s="11" t="s">
        <v>6005</v>
      </c>
      <c r="B1755" s="35">
        <f t="array" ref="B1755">XLOOKUP(A1755,IMDB_Movies!I$2:I$3493,IMDB_Movies!Q$2:Q$3493)</f>
        <v>0</v>
      </c>
      <c r="E1755" s="11" t="s">
        <v>6005</v>
      </c>
      <c r="F1755" s="36">
        <f t="array" ref="F1755">XLOOKUP(A1755,IMDB_Movies!I$2:I$3493,IMDB_Movies!P$2:P$3493)</f>
        <v>29968224</v>
      </c>
    </row>
    <row r="1756">
      <c r="A1756" s="20" t="s">
        <v>6008</v>
      </c>
      <c r="B1756" s="35">
        <f t="array" ref="B1756">XLOOKUP(A1756,IMDB_Movies!I$2:I$3493,IMDB_Movies!Q$2:Q$3493)</f>
        <v>0</v>
      </c>
      <c r="E1756" s="20" t="s">
        <v>6008</v>
      </c>
      <c r="F1756" s="36">
        <f t="array" ref="F1756">XLOOKUP(A1756,IMDB_Movies!I$2:I$3493,IMDB_Movies!P$2:P$3493)</f>
        <v>28536019</v>
      </c>
    </row>
    <row r="1757">
      <c r="A1757" s="11" t="s">
        <v>6013</v>
      </c>
      <c r="B1757" s="35">
        <f t="array" ref="B1757">XLOOKUP(A1757,IMDB_Movies!I$2:I$3493,IMDB_Movies!Q$2:Q$3493)</f>
        <v>0</v>
      </c>
      <c r="E1757" s="11" t="s">
        <v>6013</v>
      </c>
      <c r="F1757" s="36">
        <f t="array" ref="F1757">XLOOKUP(A1757,IMDB_Movies!I$2:I$3493,IMDB_Movies!P$2:P$3493)</f>
        <v>96300000</v>
      </c>
    </row>
    <row r="1758">
      <c r="A1758" s="24" t="s">
        <v>6016</v>
      </c>
      <c r="B1758" s="35">
        <f t="array" ref="B1758">XLOOKUP(A1758,IMDB_Movies!I$2:I$3493,IMDB_Movies!Q$2:Q$3493)</f>
        <v>3398772</v>
      </c>
      <c r="E1758" s="24" t="s">
        <v>6016</v>
      </c>
      <c r="F1758" s="36">
        <f t="array" ref="F1758">XLOOKUP(A1758,IMDB_Movies!I$2:I$3493,IMDB_Movies!P$2:P$3493)</f>
        <v>0</v>
      </c>
    </row>
    <row r="1759">
      <c r="A1759" s="24" t="s">
        <v>6019</v>
      </c>
      <c r="B1759" s="35">
        <f t="array" ref="B1759">XLOOKUP(A1759,IMDB_Movies!I$2:I$3493,IMDB_Movies!Q$2:Q$3493)</f>
        <v>0</v>
      </c>
      <c r="E1759" s="24" t="s">
        <v>6019</v>
      </c>
      <c r="F1759" s="36">
        <f t="array" ref="F1759">XLOOKUP(A1759,IMDB_Movies!I$2:I$3493,IMDB_Movies!P$2:P$3493)</f>
        <v>1932305</v>
      </c>
    </row>
    <row r="1760">
      <c r="A1760" s="20" t="s">
        <v>6021</v>
      </c>
      <c r="B1760" s="35">
        <f t="array" ref="B1760">XLOOKUP(A1760,IMDB_Movies!I$2:I$3493,IMDB_Movies!Q$2:Q$3493)</f>
        <v>0</v>
      </c>
      <c r="E1760" s="20" t="s">
        <v>6021</v>
      </c>
      <c r="F1760" s="36">
        <f t="array" ref="F1760">XLOOKUP(A1760,IMDB_Movies!I$2:I$3493,IMDB_Movies!P$2:P$3493)</f>
        <v>30302314</v>
      </c>
    </row>
    <row r="1761">
      <c r="A1761" s="24" t="s">
        <v>6023</v>
      </c>
      <c r="B1761" s="35">
        <f t="array" ref="B1761">XLOOKUP(A1761,IMDB_Movies!I$2:I$3493,IMDB_Movies!Q$2:Q$3493)</f>
        <v>0</v>
      </c>
      <c r="E1761" s="24" t="s">
        <v>6023</v>
      </c>
      <c r="F1761" s="36">
        <f t="array" ref="F1761">XLOOKUP(A1761,IMDB_Movies!I$2:I$3493,IMDB_Movies!P$2:P$3493)</f>
        <v>24891374</v>
      </c>
    </row>
    <row r="1762">
      <c r="A1762" s="32" t="s">
        <v>6025</v>
      </c>
      <c r="B1762" s="35">
        <f t="array" ref="B1762">XLOOKUP(A1762,IMDB_Movies!I$2:I$3493,IMDB_Movies!Q$2:Q$3493)</f>
        <v>0</v>
      </c>
      <c r="E1762" s="32" t="s">
        <v>6025</v>
      </c>
      <c r="F1762" s="36">
        <f t="array" ref="F1762">XLOOKUP(A1762,IMDB_Movies!I$2:I$3493,IMDB_Movies!P$2:P$3493)</f>
        <v>23680848</v>
      </c>
    </row>
    <row r="1763">
      <c r="A1763" s="20" t="s">
        <v>6028</v>
      </c>
      <c r="B1763" s="35">
        <f t="array" ref="B1763">XLOOKUP(A1763,IMDB_Movies!I$2:I$3493,IMDB_Movies!Q$2:Q$3493)</f>
        <v>33982216</v>
      </c>
      <c r="E1763" s="20" t="s">
        <v>6028</v>
      </c>
      <c r="F1763" s="36">
        <f t="array" ref="F1763">XLOOKUP(A1763,IMDB_Movies!I$2:I$3493,IMDB_Movies!P$2:P$3493)</f>
        <v>0</v>
      </c>
    </row>
    <row r="1764">
      <c r="A1764" s="26" t="s">
        <v>6030</v>
      </c>
      <c r="B1764" s="35">
        <f t="array" ref="B1764">XLOOKUP(A1764,IMDB_Movies!I$2:I$3493,IMDB_Movies!Q$2:Q$3493)</f>
        <v>0</v>
      </c>
      <c r="E1764" s="26" t="s">
        <v>6030</v>
      </c>
      <c r="F1764" s="36">
        <f t="array" ref="F1764">XLOOKUP(A1764,IMDB_Movies!I$2:I$3493,IMDB_Movies!P$2:P$3493)</f>
        <v>9404152</v>
      </c>
    </row>
    <row r="1765">
      <c r="A1765" s="28" t="s">
        <v>6032</v>
      </c>
      <c r="B1765" s="35">
        <f t="array" ref="B1765">XLOOKUP(A1765,IMDB_Movies!I$2:I$3493,IMDB_Movies!Q$2:Q$3493)</f>
        <v>18696681</v>
      </c>
      <c r="E1765" s="28" t="s">
        <v>6032</v>
      </c>
      <c r="F1765" s="36">
        <f t="array" ref="F1765">XLOOKUP(A1765,IMDB_Movies!I$2:I$3493,IMDB_Movies!P$2:P$3493)</f>
        <v>0</v>
      </c>
    </row>
    <row r="1766">
      <c r="A1766" s="11" t="s">
        <v>6035</v>
      </c>
      <c r="B1766" s="35">
        <f t="array" ref="B1766">XLOOKUP(A1766,IMDB_Movies!I$2:I$3493,IMDB_Movies!Q$2:Q$3493)</f>
        <v>46604061</v>
      </c>
      <c r="E1766" s="11" t="s">
        <v>6035</v>
      </c>
      <c r="F1766" s="36">
        <f t="array" ref="F1766">XLOOKUP(A1766,IMDB_Movies!I$2:I$3493,IMDB_Movies!P$2:P$3493)</f>
        <v>0</v>
      </c>
    </row>
    <row r="1767">
      <c r="A1767" s="24" t="s">
        <v>6038</v>
      </c>
      <c r="B1767" s="35">
        <f t="array" ref="B1767">XLOOKUP(A1767,IMDB_Movies!I$2:I$3493,IMDB_Movies!Q$2:Q$3493)</f>
        <v>29671868</v>
      </c>
      <c r="E1767" s="24" t="s">
        <v>6038</v>
      </c>
      <c r="F1767" s="36">
        <f t="array" ref="F1767">XLOOKUP(A1767,IMDB_Movies!I$2:I$3493,IMDB_Movies!P$2:P$3493)</f>
        <v>0</v>
      </c>
    </row>
    <row r="1768">
      <c r="A1768" s="11" t="s">
        <v>6040</v>
      </c>
      <c r="B1768" s="35">
        <f t="array" ref="B1768">XLOOKUP(A1768,IMDB_Movies!I$2:I$3493,IMDB_Movies!Q$2:Q$3493)</f>
        <v>0</v>
      </c>
      <c r="E1768" s="11" t="s">
        <v>6040</v>
      </c>
      <c r="F1768" s="36">
        <f t="array" ref="F1768">XLOOKUP(A1768,IMDB_Movies!I$2:I$3493,IMDB_Movies!P$2:P$3493)</f>
        <v>2386698</v>
      </c>
    </row>
    <row r="1769">
      <c r="A1769" s="24" t="s">
        <v>6043</v>
      </c>
      <c r="B1769" s="35">
        <f t="array" ref="B1769">XLOOKUP(A1769,IMDB_Movies!I$2:I$3493,IMDB_Movies!Q$2:Q$3493)</f>
        <v>0</v>
      </c>
      <c r="E1769" s="24" t="s">
        <v>6043</v>
      </c>
      <c r="F1769" s="36">
        <f t="array" ref="F1769">XLOOKUP(A1769,IMDB_Movies!I$2:I$3493,IMDB_Movies!P$2:P$3493)</f>
        <v>677838</v>
      </c>
    </row>
    <row r="1770">
      <c r="A1770" s="11" t="s">
        <v>6045</v>
      </c>
      <c r="B1770" s="35">
        <f t="array" ref="B1770">XLOOKUP(A1770,IMDB_Movies!I$2:I$3493,IMDB_Movies!Q$2:Q$3493)</f>
        <v>31527637</v>
      </c>
      <c r="E1770" s="11" t="s">
        <v>6045</v>
      </c>
      <c r="F1770" s="36">
        <f t="array" ref="F1770">XLOOKUP(A1770,IMDB_Movies!I$2:I$3493,IMDB_Movies!P$2:P$3493)</f>
        <v>0</v>
      </c>
    </row>
    <row r="1771">
      <c r="A1771" s="11" t="s">
        <v>6049</v>
      </c>
      <c r="B1771" s="35">
        <f t="array" ref="B1771">XLOOKUP(A1771,IMDB_Movies!I$2:I$3493,IMDB_Movies!Q$2:Q$3493)</f>
        <v>11272676</v>
      </c>
      <c r="E1771" s="11" t="s">
        <v>6049</v>
      </c>
      <c r="F1771" s="36">
        <f t="array" ref="F1771">XLOOKUP(A1771,IMDB_Movies!I$2:I$3493,IMDB_Movies!P$2:P$3493)</f>
        <v>0</v>
      </c>
    </row>
    <row r="1772">
      <c r="A1772" s="20" t="s">
        <v>6051</v>
      </c>
      <c r="B1772" s="35">
        <f t="array" ref="B1772">XLOOKUP(A1772,IMDB_Movies!I$2:I$3493,IMDB_Movies!Q$2:Q$3493)</f>
        <v>4207881</v>
      </c>
      <c r="E1772" s="20" t="s">
        <v>6051</v>
      </c>
      <c r="F1772" s="36">
        <f t="array" ref="F1772">XLOOKUP(A1772,IMDB_Movies!I$2:I$3493,IMDB_Movies!P$2:P$3493)</f>
        <v>0</v>
      </c>
    </row>
    <row r="1773">
      <c r="A1773" s="20" t="s">
        <v>6054</v>
      </c>
      <c r="B1773" s="35">
        <f t="array" ref="B1773">XLOOKUP(A1773,IMDB_Movies!I$2:I$3493,IMDB_Movies!Q$2:Q$3493)</f>
        <v>13200000</v>
      </c>
      <c r="E1773" s="20" t="s">
        <v>6054</v>
      </c>
      <c r="F1773" s="36">
        <f t="array" ref="F1773">XLOOKUP(A1773,IMDB_Movies!I$2:I$3493,IMDB_Movies!P$2:P$3493)</f>
        <v>0</v>
      </c>
    </row>
    <row r="1774">
      <c r="A1774" s="24" t="s">
        <v>6058</v>
      </c>
      <c r="B1774" s="35">
        <f t="array" ref="B1774">XLOOKUP(A1774,IMDB_Movies!I$2:I$3493,IMDB_Movies!Q$2:Q$3493)</f>
        <v>0</v>
      </c>
      <c r="E1774" s="24" t="s">
        <v>6058</v>
      </c>
      <c r="F1774" s="36">
        <f t="array" ref="F1774">XLOOKUP(A1774,IMDB_Movies!I$2:I$3493,IMDB_Movies!P$2:P$3493)</f>
        <v>5797927</v>
      </c>
    </row>
    <row r="1775">
      <c r="A1775" s="16" t="s">
        <v>6060</v>
      </c>
      <c r="B1775" s="35">
        <f t="array" ref="B1775">XLOOKUP(A1775,IMDB_Movies!I$2:I$3493,IMDB_Movies!Q$2:Q$3493)</f>
        <v>0</v>
      </c>
      <c r="E1775" s="16" t="s">
        <v>6060</v>
      </c>
      <c r="F1775" s="36">
        <f t="array" ref="F1775">XLOOKUP(A1775,IMDB_Movies!I$2:I$3493,IMDB_Movies!P$2:P$3493)</f>
        <v>27243721</v>
      </c>
    </row>
    <row r="1776">
      <c r="A1776" s="16" t="s">
        <v>6062</v>
      </c>
      <c r="B1776" s="35">
        <f t="array" ref="B1776">XLOOKUP(A1776,IMDB_Movies!I$2:I$3493,IMDB_Movies!Q$2:Q$3493)</f>
        <v>0</v>
      </c>
      <c r="E1776" s="16" t="s">
        <v>6062</v>
      </c>
      <c r="F1776" s="36">
        <f t="array" ref="F1776">XLOOKUP(A1776,IMDB_Movies!I$2:I$3493,IMDB_Movies!P$2:P$3493)</f>
        <v>18308901</v>
      </c>
    </row>
    <row r="1777">
      <c r="A1777" s="20" t="s">
        <v>6066</v>
      </c>
      <c r="B1777" s="35">
        <f t="array" ref="B1777">XLOOKUP(A1777,IMDB_Movies!I$2:I$3493,IMDB_Movies!Q$2:Q$3493)</f>
        <v>0</v>
      </c>
      <c r="E1777" s="20" t="s">
        <v>6066</v>
      </c>
      <c r="F1777" s="36">
        <f t="array" ref="F1777">XLOOKUP(A1777,IMDB_Movies!I$2:I$3493,IMDB_Movies!P$2:P$3493)</f>
        <v>8045844</v>
      </c>
    </row>
    <row r="1778">
      <c r="A1778" s="16" t="s">
        <v>6068</v>
      </c>
      <c r="B1778" s="35">
        <f t="array" ref="B1778">XLOOKUP(A1778,IMDB_Movies!I$2:I$3493,IMDB_Movies!Q$2:Q$3493)</f>
        <v>2438373</v>
      </c>
      <c r="E1778" s="16" t="s">
        <v>6068</v>
      </c>
      <c r="F1778" s="36">
        <f t="array" ref="F1778">XLOOKUP(A1778,IMDB_Movies!I$2:I$3493,IMDB_Movies!P$2:P$3493)</f>
        <v>0</v>
      </c>
    </row>
    <row r="1779">
      <c r="A1779" s="11" t="s">
        <v>6070</v>
      </c>
      <c r="B1779" s="35">
        <f t="array" ref="B1779">XLOOKUP(A1779,IMDB_Movies!I$2:I$3493,IMDB_Movies!Q$2:Q$3493)</f>
        <v>0</v>
      </c>
      <c r="E1779" s="11" t="s">
        <v>6070</v>
      </c>
      <c r="F1779" s="36">
        <f t="array" ref="F1779">XLOOKUP(A1779,IMDB_Movies!I$2:I$3493,IMDB_Movies!P$2:P$3493)</f>
        <v>20089048</v>
      </c>
    </row>
    <row r="1780">
      <c r="A1780" s="11" t="s">
        <v>6073</v>
      </c>
      <c r="B1780" s="35">
        <f t="array" ref="B1780">XLOOKUP(A1780,IMDB_Movies!I$2:I$3493,IMDB_Movies!Q$2:Q$3493)</f>
        <v>0</v>
      </c>
      <c r="E1780" s="11" t="s">
        <v>6073</v>
      </c>
      <c r="F1780" s="36">
        <f t="array" ref="F1780">XLOOKUP(A1780,IMDB_Movies!I$2:I$3493,IMDB_Movies!P$2:P$3493)</f>
        <v>11584722</v>
      </c>
    </row>
    <row r="1781">
      <c r="A1781" s="11" t="s">
        <v>6075</v>
      </c>
      <c r="B1781" s="35">
        <f t="array" ref="B1781">XLOOKUP(A1781,IMDB_Movies!I$2:I$3493,IMDB_Movies!Q$2:Q$3493)</f>
        <v>25551411</v>
      </c>
      <c r="E1781" s="11" t="s">
        <v>6075</v>
      </c>
      <c r="F1781" s="36">
        <f t="array" ref="F1781">XLOOKUP(A1781,IMDB_Movies!I$2:I$3493,IMDB_Movies!P$2:P$3493)</f>
        <v>0</v>
      </c>
    </row>
    <row r="1782">
      <c r="A1782" s="11" t="s">
        <v>6078</v>
      </c>
      <c r="B1782" s="35">
        <f t="array" ref="B1782">XLOOKUP(A1782,IMDB_Movies!I$2:I$3493,IMDB_Movies!Q$2:Q$3493)</f>
        <v>0</v>
      </c>
      <c r="E1782" s="11" t="s">
        <v>6078</v>
      </c>
      <c r="F1782" s="36">
        <f t="array" ref="F1782">XLOOKUP(A1782,IMDB_Movies!I$2:I$3493,IMDB_Movies!P$2:P$3493)</f>
        <v>248505540</v>
      </c>
    </row>
    <row r="1783">
      <c r="A1783" s="11" t="s">
        <v>6082</v>
      </c>
      <c r="B1783" s="35">
        <f t="array" ref="B1783">XLOOKUP(A1783,IMDB_Movies!I$2:I$3493,IMDB_Movies!Q$2:Q$3493)</f>
        <v>0</v>
      </c>
      <c r="E1783" s="11" t="s">
        <v>6082</v>
      </c>
      <c r="F1783" s="36">
        <f t="array" ref="F1783">XLOOKUP(A1783,IMDB_Movies!I$2:I$3493,IMDB_Movies!P$2:P$3493)</f>
        <v>12441122</v>
      </c>
    </row>
    <row r="1784">
      <c r="A1784" s="28" t="s">
        <v>6085</v>
      </c>
      <c r="B1784" s="35">
        <f t="array" ref="B1784">XLOOKUP(A1784,IMDB_Movies!I$2:I$3493,IMDB_Movies!Q$2:Q$3493)</f>
        <v>0</v>
      </c>
      <c r="E1784" s="28" t="s">
        <v>6085</v>
      </c>
      <c r="F1784" s="36">
        <f t="array" ref="F1784">XLOOKUP(A1784,IMDB_Movies!I$2:I$3493,IMDB_Movies!P$2:P$3493)</f>
        <v>43711404</v>
      </c>
    </row>
    <row r="1785">
      <c r="A1785" s="11" t="s">
        <v>6088</v>
      </c>
      <c r="B1785" s="35">
        <f t="array" ref="B1785">XLOOKUP(A1785,IMDB_Movies!I$2:I$3493,IMDB_Movies!Q$2:Q$3493)</f>
        <v>53361326</v>
      </c>
      <c r="E1785" s="11" t="s">
        <v>6088</v>
      </c>
      <c r="F1785" s="36">
        <f t="array" ref="F1785">XLOOKUP(A1785,IMDB_Movies!I$2:I$3493,IMDB_Movies!P$2:P$3493)</f>
        <v>0</v>
      </c>
    </row>
    <row r="1786">
      <c r="A1786" s="28" t="s">
        <v>6091</v>
      </c>
      <c r="B1786" s="35">
        <f t="array" ref="B1786">XLOOKUP(A1786,IMDB_Movies!I$2:I$3493,IMDB_Movies!Q$2:Q$3493)</f>
        <v>0</v>
      </c>
      <c r="E1786" s="28" t="s">
        <v>6091</v>
      </c>
      <c r="F1786" s="36">
        <f t="array" ref="F1786">XLOOKUP(A1786,IMDB_Movies!I$2:I$3493,IMDB_Movies!P$2:P$3493)</f>
        <v>3574731</v>
      </c>
    </row>
    <row r="1787">
      <c r="A1787" s="11" t="s">
        <v>6093</v>
      </c>
      <c r="B1787" s="35">
        <f t="array" ref="B1787">XLOOKUP(A1787,IMDB_Movies!I$2:I$3493,IMDB_Movies!Q$2:Q$3493)</f>
        <v>0</v>
      </c>
      <c r="E1787" s="11" t="s">
        <v>6093</v>
      </c>
      <c r="F1787" s="36">
        <f t="array" ref="F1787">XLOOKUP(A1787,IMDB_Movies!I$2:I$3493,IMDB_Movies!P$2:P$3493)</f>
        <v>44148781</v>
      </c>
    </row>
    <row r="1788">
      <c r="A1788" s="20" t="s">
        <v>6096</v>
      </c>
      <c r="B1788" s="35">
        <f t="array" ref="B1788">XLOOKUP(A1788,IMDB_Movies!I$2:I$3493,IMDB_Movies!Q$2:Q$3493)</f>
        <v>41599308</v>
      </c>
      <c r="E1788" s="20" t="s">
        <v>6096</v>
      </c>
      <c r="F1788" s="36">
        <f t="array" ref="F1788">XLOOKUP(A1788,IMDB_Movies!I$2:I$3493,IMDB_Movies!P$2:P$3493)</f>
        <v>0</v>
      </c>
    </row>
    <row r="1789">
      <c r="A1789" s="24" t="s">
        <v>6100</v>
      </c>
      <c r="B1789" s="35">
        <f t="array" ref="B1789">XLOOKUP(A1789,IMDB_Movies!I$2:I$3493,IMDB_Movies!Q$2:Q$3493)</f>
        <v>0</v>
      </c>
      <c r="E1789" s="24" t="s">
        <v>6100</v>
      </c>
      <c r="F1789" s="36">
        <f t="array" ref="F1789">XLOOKUP(A1789,IMDB_Movies!I$2:I$3493,IMDB_Movies!P$2:P$3493)</f>
        <v>1518876</v>
      </c>
    </row>
    <row r="1790">
      <c r="A1790" s="24" t="s">
        <v>6104</v>
      </c>
      <c r="B1790" s="35">
        <f t="array" ref="B1790">XLOOKUP(A1790,IMDB_Movies!I$2:I$3493,IMDB_Movies!Q$2:Q$3493)</f>
        <v>10938241</v>
      </c>
      <c r="E1790" s="24" t="s">
        <v>6104</v>
      </c>
      <c r="F1790" s="36">
        <f t="array" ref="F1790">XLOOKUP(A1790,IMDB_Movies!I$2:I$3493,IMDB_Movies!P$2:P$3493)</f>
        <v>0</v>
      </c>
    </row>
    <row r="1791">
      <c r="A1791" s="16" t="s">
        <v>6106</v>
      </c>
      <c r="B1791" s="35">
        <f t="array" ref="B1791">XLOOKUP(A1791,IMDB_Movies!I$2:I$3493,IMDB_Movies!Q$2:Q$3493)</f>
        <v>10100000</v>
      </c>
      <c r="E1791" s="16" t="s">
        <v>6106</v>
      </c>
      <c r="F1791" s="36">
        <f t="array" ref="F1791">XLOOKUP(A1791,IMDB_Movies!I$2:I$3493,IMDB_Movies!P$2:P$3493)</f>
        <v>0</v>
      </c>
    </row>
    <row r="1792">
      <c r="A1792" s="11" t="s">
        <v>6108</v>
      </c>
      <c r="B1792" s="35">
        <f t="array" ref="B1792">XLOOKUP(A1792,IMDB_Movies!I$2:I$3493,IMDB_Movies!Q$2:Q$3493)</f>
        <v>6876149</v>
      </c>
      <c r="E1792" s="11" t="s">
        <v>6108</v>
      </c>
      <c r="F1792" s="36">
        <f t="array" ref="F1792">XLOOKUP(A1792,IMDB_Movies!I$2:I$3493,IMDB_Movies!P$2:P$3493)</f>
        <v>0</v>
      </c>
    </row>
    <row r="1793">
      <c r="A1793" s="28" t="s">
        <v>6110</v>
      </c>
      <c r="B1793" s="35">
        <f t="array" ref="B1793">XLOOKUP(A1793,IMDB_Movies!I$2:I$3493,IMDB_Movies!Q$2:Q$3493)</f>
        <v>49244714</v>
      </c>
      <c r="E1793" s="28" t="s">
        <v>6110</v>
      </c>
      <c r="F1793" s="36">
        <f t="array" ref="F1793">XLOOKUP(A1793,IMDB_Movies!I$2:I$3493,IMDB_Movies!P$2:P$3493)</f>
        <v>0</v>
      </c>
    </row>
    <row r="1794">
      <c r="A1794" s="28" t="s">
        <v>6112</v>
      </c>
      <c r="B1794" s="35">
        <f t="array" ref="B1794">XLOOKUP(A1794,IMDB_Movies!I$2:I$3493,IMDB_Movies!Q$2:Q$3493)</f>
        <v>0</v>
      </c>
      <c r="E1794" s="28" t="s">
        <v>6112</v>
      </c>
      <c r="F1794" s="36">
        <f t="array" ref="F1794">XLOOKUP(A1794,IMDB_Movies!I$2:I$3493,IMDB_Movies!P$2:P$3493)</f>
        <v>6954997</v>
      </c>
    </row>
    <row r="1795">
      <c r="A1795" s="11" t="s">
        <v>6116</v>
      </c>
      <c r="B1795" s="35">
        <f t="array" ref="B1795">XLOOKUP(A1795,IMDB_Movies!I$2:I$3493,IMDB_Movies!Q$2:Q$3493)</f>
        <v>0</v>
      </c>
      <c r="E1795" s="11" t="s">
        <v>6116</v>
      </c>
      <c r="F1795" s="36">
        <f t="array" ref="F1795">XLOOKUP(A1795,IMDB_Movies!I$2:I$3493,IMDB_Movies!P$2:P$3493)</f>
        <v>2057332</v>
      </c>
    </row>
    <row r="1796">
      <c r="A1796" s="16" t="s">
        <v>6118</v>
      </c>
      <c r="B1796" s="35">
        <f t="array" ref="B1796">XLOOKUP(A1796,IMDB_Movies!I$2:I$3493,IMDB_Movies!Q$2:Q$3493)</f>
        <v>18809982</v>
      </c>
      <c r="E1796" s="16" t="s">
        <v>6118</v>
      </c>
      <c r="F1796" s="36">
        <f t="array" ref="F1796">XLOOKUP(A1796,IMDB_Movies!I$2:I$3493,IMDB_Movies!P$2:P$3493)</f>
        <v>0</v>
      </c>
    </row>
    <row r="1797">
      <c r="A1797" s="11" t="s">
        <v>6121</v>
      </c>
      <c r="B1797" s="35">
        <f t="array" ref="B1797">XLOOKUP(A1797,IMDB_Movies!I$2:I$3493,IMDB_Movies!Q$2:Q$3493)</f>
        <v>0</v>
      </c>
      <c r="E1797" s="11" t="s">
        <v>6121</v>
      </c>
      <c r="F1797" s="36">
        <f t="array" ref="F1797">XLOOKUP(A1797,IMDB_Movies!I$2:I$3493,IMDB_Movies!P$2:P$3493)</f>
        <v>2592872</v>
      </c>
    </row>
    <row r="1798">
      <c r="A1798" s="11" t="s">
        <v>6123</v>
      </c>
      <c r="B1798" s="35">
        <f t="array" ref="B1798">XLOOKUP(A1798,IMDB_Movies!I$2:I$3493,IMDB_Movies!Q$2:Q$3493)</f>
        <v>0</v>
      </c>
      <c r="E1798" s="11" t="s">
        <v>6123</v>
      </c>
      <c r="F1798" s="36">
        <f t="array" ref="F1798">XLOOKUP(A1798,IMDB_Movies!I$2:I$3493,IMDB_Movies!P$2:P$3493)</f>
        <v>48535067</v>
      </c>
    </row>
    <row r="1799">
      <c r="A1799" s="20" t="s">
        <v>6127</v>
      </c>
      <c r="B1799" s="35">
        <f t="array" ref="B1799">XLOOKUP(A1799,IMDB_Movies!I$2:I$3493,IMDB_Movies!Q$2:Q$3493)</f>
        <v>188094481</v>
      </c>
      <c r="E1799" s="20" t="s">
        <v>6127</v>
      </c>
      <c r="F1799" s="36">
        <f t="array" ref="F1799">XLOOKUP(A1799,IMDB_Movies!I$2:I$3493,IMDB_Movies!P$2:P$3493)</f>
        <v>0</v>
      </c>
    </row>
    <row r="1800">
      <c r="A1800" s="20" t="s">
        <v>6129</v>
      </c>
      <c r="B1800" s="35">
        <f t="array" ref="B1800">XLOOKUP(A1800,IMDB_Movies!I$2:I$3493,IMDB_Movies!Q$2:Q$3493)</f>
        <v>0</v>
      </c>
      <c r="E1800" s="20" t="s">
        <v>6129</v>
      </c>
      <c r="F1800" s="36">
        <f t="array" ref="F1800">XLOOKUP(A1800,IMDB_Movies!I$2:I$3493,IMDB_Movies!P$2:P$3493)</f>
        <v>68571803</v>
      </c>
    </row>
    <row r="1801">
      <c r="A1801" s="11" t="s">
        <v>6133</v>
      </c>
      <c r="B1801" s="35">
        <f t="array" ref="B1801">XLOOKUP(A1801,IMDB_Movies!I$2:I$3493,IMDB_Movies!Q$2:Q$3493)</f>
        <v>9192361</v>
      </c>
      <c r="E1801" s="11" t="s">
        <v>6133</v>
      </c>
      <c r="F1801" s="36">
        <f t="array" ref="F1801">XLOOKUP(A1801,IMDB_Movies!I$2:I$3493,IMDB_Movies!P$2:P$3493)</f>
        <v>0</v>
      </c>
    </row>
    <row r="1802">
      <c r="A1802" s="11" t="s">
        <v>6137</v>
      </c>
      <c r="B1802" s="35">
        <f t="array" ref="B1802">XLOOKUP(A1802,IMDB_Movies!I$2:I$3493,IMDB_Movies!Q$2:Q$3493)</f>
        <v>14182006</v>
      </c>
      <c r="E1802" s="11" t="s">
        <v>6137</v>
      </c>
      <c r="F1802" s="36">
        <f t="array" ref="F1802">XLOOKUP(A1802,IMDB_Movies!I$2:I$3493,IMDB_Movies!P$2:P$3493)</f>
        <v>0</v>
      </c>
    </row>
    <row r="1803">
      <c r="A1803" s="24" t="s">
        <v>6139</v>
      </c>
      <c r="B1803" s="35">
        <f t="array" ref="B1803">XLOOKUP(A1803,IMDB_Movies!I$2:I$3493,IMDB_Movies!Q$2:Q$3493)</f>
        <v>0</v>
      </c>
      <c r="E1803" s="24" t="s">
        <v>6139</v>
      </c>
      <c r="F1803" s="36">
        <f t="array" ref="F1803">XLOOKUP(A1803,IMDB_Movies!I$2:I$3493,IMDB_Movies!P$2:P$3493)</f>
        <v>3120196</v>
      </c>
    </row>
    <row r="1804">
      <c r="A1804" s="11" t="s">
        <v>6141</v>
      </c>
      <c r="B1804" s="35">
        <f t="array" ref="B1804">XLOOKUP(A1804,IMDB_Movies!I$2:I$3493,IMDB_Movies!Q$2:Q$3493)</f>
        <v>0</v>
      </c>
      <c r="E1804" s="11" t="s">
        <v>6141</v>
      </c>
      <c r="F1804" s="36">
        <f t="array" ref="F1804">XLOOKUP(A1804,IMDB_Movies!I$2:I$3493,IMDB_Movies!P$2:P$3493)</f>
        <v>59800000</v>
      </c>
    </row>
    <row r="1805">
      <c r="A1805" s="20" t="s">
        <v>6144</v>
      </c>
      <c r="B1805" s="35">
        <f t="array" ref="B1805">XLOOKUP(A1805,IMDB_Movies!I$2:I$3493,IMDB_Movies!Q$2:Q$3493)</f>
        <v>1573107</v>
      </c>
      <c r="E1805" s="20" t="s">
        <v>6144</v>
      </c>
      <c r="F1805" s="36">
        <f t="array" ref="F1805">XLOOKUP(A1805,IMDB_Movies!I$2:I$3493,IMDB_Movies!P$2:P$3493)</f>
        <v>0</v>
      </c>
    </row>
    <row r="1806">
      <c r="A1806" s="20" t="s">
        <v>6148</v>
      </c>
      <c r="B1806" s="35">
        <f t="array" ref="B1806">XLOOKUP(A1806,IMDB_Movies!I$2:I$3493,IMDB_Movies!Q$2:Q$3493)</f>
        <v>0</v>
      </c>
      <c r="E1806" s="20" t="s">
        <v>6148</v>
      </c>
      <c r="F1806" s="36">
        <f t="array" ref="F1806">XLOOKUP(A1806,IMDB_Movies!I$2:I$3493,IMDB_Movies!P$2:P$3493)</f>
        <v>175360000</v>
      </c>
    </row>
    <row r="1807">
      <c r="A1807" s="28" t="s">
        <v>6151</v>
      </c>
      <c r="B1807" s="35">
        <f t="array" ref="B1807">XLOOKUP(A1807,IMDB_Movies!I$2:I$3493,IMDB_Movies!Q$2:Q$3493)</f>
        <v>0</v>
      </c>
      <c r="E1807" s="28" t="s">
        <v>6151</v>
      </c>
      <c r="F1807" s="36">
        <f t="array" ref="F1807">XLOOKUP(A1807,IMDB_Movies!I$2:I$3493,IMDB_Movies!P$2:P$3493)</f>
        <v>35461307</v>
      </c>
    </row>
    <row r="1808">
      <c r="A1808" s="16" t="s">
        <v>6154</v>
      </c>
      <c r="B1808" s="35">
        <f t="array" ref="B1808">XLOOKUP(A1808,IMDB_Movies!I$2:I$3493,IMDB_Movies!Q$2:Q$3493)</f>
        <v>14843800</v>
      </c>
      <c r="E1808" s="16" t="s">
        <v>6154</v>
      </c>
      <c r="F1808" s="36">
        <f t="array" ref="F1808">XLOOKUP(A1808,IMDB_Movies!I$2:I$3493,IMDB_Movies!P$2:P$3493)</f>
        <v>0</v>
      </c>
    </row>
    <row r="1809">
      <c r="A1809" s="28" t="s">
        <v>6157</v>
      </c>
      <c r="B1809" s="35">
        <f t="array" ref="B1809">XLOOKUP(A1809,IMDB_Movies!I$2:I$3493,IMDB_Movies!Q$2:Q$3493)</f>
        <v>0</v>
      </c>
      <c r="E1809" s="28" t="s">
        <v>6157</v>
      </c>
      <c r="F1809" s="36">
        <f t="array" ref="F1809">XLOOKUP(A1809,IMDB_Movies!I$2:I$3493,IMDB_Movies!P$2:P$3493)</f>
        <v>44140956</v>
      </c>
    </row>
    <row r="1810">
      <c r="A1810" s="11" t="s">
        <v>6159</v>
      </c>
      <c r="B1810" s="35">
        <f t="array" ref="B1810">XLOOKUP(A1810,IMDB_Movies!I$2:I$3493,IMDB_Movies!Q$2:Q$3493)</f>
        <v>0</v>
      </c>
      <c r="E1810" s="11" t="s">
        <v>6159</v>
      </c>
      <c r="F1810" s="36">
        <f t="array" ref="F1810">XLOOKUP(A1810,IMDB_Movies!I$2:I$3493,IMDB_Movies!P$2:P$3493)</f>
        <v>31015141</v>
      </c>
    </row>
    <row r="1811">
      <c r="A1811" s="20" t="s">
        <v>6163</v>
      </c>
      <c r="B1811" s="35">
        <f t="array" ref="B1811">XLOOKUP(A1811,IMDB_Movies!I$2:I$3493,IMDB_Movies!Q$2:Q$3493)</f>
        <v>0</v>
      </c>
      <c r="E1811" s="20" t="s">
        <v>6163</v>
      </c>
      <c r="F1811" s="36">
        <f t="array" ref="F1811">XLOOKUP(A1811,IMDB_Movies!I$2:I$3493,IMDB_Movies!P$2:P$3493)</f>
        <v>91518352</v>
      </c>
    </row>
    <row r="1812">
      <c r="A1812" s="20" t="s">
        <v>6166</v>
      </c>
      <c r="B1812" s="35">
        <f t="array" ref="B1812">XLOOKUP(A1812,IMDB_Movies!I$2:I$3493,IMDB_Movies!Q$2:Q$3493)</f>
        <v>0</v>
      </c>
      <c r="E1812" s="20" t="s">
        <v>6166</v>
      </c>
      <c r="F1812" s="36">
        <f t="array" ref="F1812">XLOOKUP(A1812,IMDB_Movies!I$2:I$3493,IMDB_Movies!P$2:P$3493)</f>
        <v>11371425</v>
      </c>
    </row>
    <row r="1813">
      <c r="A1813" s="11" t="s">
        <v>6169</v>
      </c>
      <c r="B1813" s="35">
        <f t="array" ref="B1813">XLOOKUP(A1813,IMDB_Movies!I$2:I$3493,IMDB_Movies!Q$2:Q$3493)</f>
        <v>0</v>
      </c>
      <c r="E1813" s="11" t="s">
        <v>6169</v>
      </c>
      <c r="F1813" s="36">
        <f t="array" ref="F1813">XLOOKUP(A1813,IMDB_Movies!I$2:I$3493,IMDB_Movies!P$2:P$3493)</f>
        <v>15404871</v>
      </c>
    </row>
    <row r="1814">
      <c r="A1814" s="28" t="s">
        <v>6172</v>
      </c>
      <c r="B1814" s="35">
        <f t="array" ref="B1814">XLOOKUP(A1814,IMDB_Movies!I$2:I$3493,IMDB_Movies!Q$2:Q$3493)</f>
        <v>0</v>
      </c>
      <c r="E1814" s="28" t="s">
        <v>6172</v>
      </c>
      <c r="F1814" s="36">
        <f t="array" ref="F1814">XLOOKUP(A1814,IMDB_Movies!I$2:I$3493,IMDB_Movies!P$2:P$3493)</f>
        <v>46955956</v>
      </c>
    </row>
    <row r="1815">
      <c r="A1815" s="20" t="s">
        <v>6175</v>
      </c>
      <c r="B1815" s="35">
        <f t="array" ref="B1815">XLOOKUP(A1815,IMDB_Movies!I$2:I$3493,IMDB_Movies!Q$2:Q$3493)</f>
        <v>40712370</v>
      </c>
      <c r="E1815" s="20" t="s">
        <v>6175</v>
      </c>
      <c r="F1815" s="36">
        <f t="array" ref="F1815">XLOOKUP(A1815,IMDB_Movies!I$2:I$3493,IMDB_Movies!P$2:P$3493)</f>
        <v>0</v>
      </c>
    </row>
    <row r="1816">
      <c r="A1816" s="11" t="s">
        <v>6178</v>
      </c>
      <c r="B1816" s="35">
        <f t="array" ref="B1816">XLOOKUP(A1816,IMDB_Movies!I$2:I$3493,IMDB_Movies!Q$2:Q$3493)</f>
        <v>27051841</v>
      </c>
      <c r="E1816" s="11" t="s">
        <v>6178</v>
      </c>
      <c r="F1816" s="36">
        <f t="array" ref="F1816">XLOOKUP(A1816,IMDB_Movies!I$2:I$3493,IMDB_Movies!P$2:P$3493)</f>
        <v>0</v>
      </c>
    </row>
    <row r="1817">
      <c r="A1817" s="24" t="s">
        <v>6180</v>
      </c>
      <c r="B1817" s="35">
        <f t="array" ref="B1817">XLOOKUP(A1817,IMDB_Movies!I$2:I$3493,IMDB_Movies!Q$2:Q$3493)</f>
        <v>0</v>
      </c>
      <c r="E1817" s="24" t="s">
        <v>6180</v>
      </c>
      <c r="F1817" s="36">
        <f t="array" ref="F1817">XLOOKUP(A1817,IMDB_Movies!I$2:I$3493,IMDB_Movies!P$2:P$3493)</f>
        <v>117204440</v>
      </c>
    </row>
    <row r="1818">
      <c r="A1818" s="20" t="s">
        <v>6182</v>
      </c>
      <c r="B1818" s="35">
        <f t="array" ref="B1818">XLOOKUP(A1818,IMDB_Movies!I$2:I$3493,IMDB_Movies!Q$2:Q$3493)</f>
        <v>0</v>
      </c>
      <c r="E1818" s="20" t="s">
        <v>6182</v>
      </c>
      <c r="F1818" s="36">
        <f t="array" ref="F1818">XLOOKUP(A1818,IMDB_Movies!I$2:I$3493,IMDB_Movies!P$2:P$3493)</f>
        <v>5565975</v>
      </c>
    </row>
    <row r="1819">
      <c r="A1819" s="11" t="s">
        <v>6184</v>
      </c>
      <c r="B1819" s="35">
        <f t="array" ref="B1819">XLOOKUP(A1819,IMDB_Movies!I$2:I$3493,IMDB_Movies!Q$2:Q$3493)</f>
        <v>12904682</v>
      </c>
      <c r="E1819" s="11" t="s">
        <v>6184</v>
      </c>
      <c r="F1819" s="36">
        <f t="array" ref="F1819">XLOOKUP(A1819,IMDB_Movies!I$2:I$3493,IMDB_Movies!P$2:P$3493)</f>
        <v>0</v>
      </c>
    </row>
    <row r="1820">
      <c r="A1820" s="11" t="s">
        <v>6187</v>
      </c>
      <c r="B1820" s="35">
        <f t="array" ref="B1820">XLOOKUP(A1820,IMDB_Movies!I$2:I$3493,IMDB_Movies!Q$2:Q$3493)</f>
        <v>0</v>
      </c>
      <c r="E1820" s="11" t="s">
        <v>6187</v>
      </c>
      <c r="F1820" s="36">
        <f t="array" ref="F1820">XLOOKUP(A1820,IMDB_Movies!I$2:I$3493,IMDB_Movies!P$2:P$3493)</f>
        <v>38127162</v>
      </c>
    </row>
    <row r="1821">
      <c r="A1821" s="28" t="s">
        <v>6190</v>
      </c>
      <c r="B1821" s="35">
        <f t="array" ref="B1821">XLOOKUP(A1821,IMDB_Movies!I$2:I$3493,IMDB_Movies!Q$2:Q$3493)</f>
        <v>3991940</v>
      </c>
      <c r="E1821" s="28" t="s">
        <v>6190</v>
      </c>
      <c r="F1821" s="36">
        <f t="array" ref="F1821">XLOOKUP(A1821,IMDB_Movies!I$2:I$3493,IMDB_Movies!P$2:P$3493)</f>
        <v>0</v>
      </c>
    </row>
    <row r="1822">
      <c r="A1822" s="11" t="s">
        <v>6194</v>
      </c>
      <c r="B1822" s="35">
        <f t="array" ref="B1822">XLOOKUP(A1822,IMDB_Movies!I$2:I$3493,IMDB_Movies!Q$2:Q$3493)</f>
        <v>34369221</v>
      </c>
      <c r="E1822" s="11" t="s">
        <v>6194</v>
      </c>
      <c r="F1822" s="36">
        <f t="array" ref="F1822">XLOOKUP(A1822,IMDB_Movies!I$2:I$3493,IMDB_Movies!P$2:P$3493)</f>
        <v>0</v>
      </c>
    </row>
    <row r="1823">
      <c r="A1823" s="24" t="s">
        <v>6198</v>
      </c>
      <c r="B1823" s="35">
        <f t="array" ref="B1823">XLOOKUP(A1823,IMDB_Movies!I$2:I$3493,IMDB_Movies!Q$2:Q$3493)</f>
        <v>0</v>
      </c>
      <c r="E1823" s="24" t="s">
        <v>6198</v>
      </c>
      <c r="F1823" s="36">
        <f t="array" ref="F1823">XLOOKUP(A1823,IMDB_Movies!I$2:I$3493,IMDB_Movies!P$2:P$3493)</f>
        <v>15280058</v>
      </c>
    </row>
    <row r="1824">
      <c r="A1824" s="24" t="s">
        <v>6201</v>
      </c>
      <c r="B1824" s="35">
        <f t="array" ref="B1824">XLOOKUP(A1824,IMDB_Movies!I$2:I$3493,IMDB_Movies!Q$2:Q$3493)</f>
        <v>0</v>
      </c>
      <c r="E1824" s="24" t="s">
        <v>6201</v>
      </c>
      <c r="F1824" s="36">
        <f t="array" ref="F1824">XLOOKUP(A1824,IMDB_Movies!I$2:I$3493,IMDB_Movies!P$2:P$3493)</f>
        <v>19455658</v>
      </c>
    </row>
    <row r="1825">
      <c r="A1825" s="24" t="s">
        <v>6203</v>
      </c>
      <c r="B1825" s="35">
        <f t="array" ref="B1825">XLOOKUP(A1825,IMDB_Movies!I$2:I$3493,IMDB_Movies!Q$2:Q$3493)</f>
        <v>43708398</v>
      </c>
      <c r="E1825" s="24" t="s">
        <v>6203</v>
      </c>
      <c r="F1825" s="36">
        <f t="array" ref="F1825">XLOOKUP(A1825,IMDB_Movies!I$2:I$3493,IMDB_Movies!P$2:P$3493)</f>
        <v>0</v>
      </c>
    </row>
    <row r="1826">
      <c r="A1826" s="32" t="s">
        <v>6206</v>
      </c>
      <c r="B1826" s="35">
        <f t="array" ref="B1826">XLOOKUP(A1826,IMDB_Movies!I$2:I$3493,IMDB_Movies!Q$2:Q$3493)</f>
        <v>22467699</v>
      </c>
      <c r="E1826" s="32" t="s">
        <v>6206</v>
      </c>
      <c r="F1826" s="36">
        <f t="array" ref="F1826">XLOOKUP(A1826,IMDB_Movies!I$2:I$3493,IMDB_Movies!P$2:P$3493)</f>
        <v>0</v>
      </c>
    </row>
    <row r="1827">
      <c r="A1827" s="24" t="s">
        <v>6209</v>
      </c>
      <c r="B1827" s="35">
        <f t="array" ref="B1827">XLOOKUP(A1827,IMDB_Movies!I$2:I$3493,IMDB_Movies!Q$2:Q$3493)</f>
        <v>13363463</v>
      </c>
      <c r="E1827" s="24" t="s">
        <v>6209</v>
      </c>
      <c r="F1827" s="36">
        <f t="array" ref="F1827">XLOOKUP(A1827,IMDB_Movies!I$2:I$3493,IMDB_Movies!P$2:P$3493)</f>
        <v>0</v>
      </c>
    </row>
    <row r="1828">
      <c r="A1828" s="24" t="s">
        <v>6213</v>
      </c>
      <c r="B1828" s="35">
        <f t="array" ref="B1828">XLOOKUP(A1828,IMDB_Movies!I$2:I$3493,IMDB_Movies!Q$2:Q$3493)</f>
        <v>4152561</v>
      </c>
      <c r="E1828" s="24" t="s">
        <v>6213</v>
      </c>
      <c r="F1828" s="36">
        <f t="array" ref="F1828">XLOOKUP(A1828,IMDB_Movies!I$2:I$3493,IMDB_Movies!P$2:P$3493)</f>
        <v>0</v>
      </c>
    </row>
    <row r="1829">
      <c r="A1829" s="11" t="s">
        <v>6215</v>
      </c>
      <c r="B1829" s="35">
        <f t="array" ref="B1829">XLOOKUP(A1829,IMDB_Movies!I$2:I$3493,IMDB_Movies!Q$2:Q$3493)</f>
        <v>0</v>
      </c>
      <c r="E1829" s="11" t="s">
        <v>6215</v>
      </c>
      <c r="F1829" s="36">
        <f t="array" ref="F1829">XLOOKUP(A1829,IMDB_Movies!I$2:I$3493,IMDB_Movies!P$2:P$3493)</f>
        <v>31997107</v>
      </c>
    </row>
    <row r="1830">
      <c r="A1830" s="11" t="s">
        <v>6218</v>
      </c>
      <c r="B1830" s="35">
        <f t="array" ref="B1830">XLOOKUP(A1830,IMDB_Movies!I$2:I$3493,IMDB_Movies!Q$2:Q$3493)</f>
        <v>0</v>
      </c>
      <c r="E1830" s="11" t="s">
        <v>6218</v>
      </c>
      <c r="F1830" s="36">
        <f t="array" ref="F1830">XLOOKUP(A1830,IMDB_Movies!I$2:I$3493,IMDB_Movies!P$2:P$3493)</f>
        <v>16628981</v>
      </c>
    </row>
    <row r="1831">
      <c r="A1831" s="20" t="s">
        <v>6221</v>
      </c>
      <c r="B1831" s="35">
        <f t="array" ref="B1831">XLOOKUP(A1831,IMDB_Movies!I$2:I$3493,IMDB_Movies!Q$2:Q$3493)</f>
        <v>0</v>
      </c>
      <c r="E1831" s="20" t="s">
        <v>6221</v>
      </c>
      <c r="F1831" s="36">
        <f t="array" ref="F1831">XLOOKUP(A1831,IMDB_Movies!I$2:I$3493,IMDB_Movies!P$2:P$3493)</f>
        <v>6097096</v>
      </c>
    </row>
    <row r="1832">
      <c r="A1832" s="11" t="s">
        <v>6224</v>
      </c>
      <c r="B1832" s="35">
        <f t="array" ref="B1832">XLOOKUP(A1832,IMDB_Movies!I$2:I$3493,IMDB_Movies!Q$2:Q$3493)</f>
        <v>6491078</v>
      </c>
      <c r="E1832" s="11" t="s">
        <v>6224</v>
      </c>
      <c r="F1832" s="36">
        <f t="array" ref="F1832">XLOOKUP(A1832,IMDB_Movies!I$2:I$3493,IMDB_Movies!P$2:P$3493)</f>
        <v>0</v>
      </c>
    </row>
    <row r="1833">
      <c r="A1833" s="24" t="s">
        <v>6228</v>
      </c>
      <c r="B1833" s="35">
        <f t="array" ref="B1833">XLOOKUP(A1833,IMDB_Movies!I$2:I$3493,IMDB_Movies!Q$2:Q$3493)</f>
        <v>4081717</v>
      </c>
      <c r="E1833" s="24" t="s">
        <v>6228</v>
      </c>
      <c r="F1833" s="36">
        <f t="array" ref="F1833">XLOOKUP(A1833,IMDB_Movies!I$2:I$3493,IMDB_Movies!P$2:P$3493)</f>
        <v>0</v>
      </c>
    </row>
    <row r="1834">
      <c r="A1834" s="24" t="s">
        <v>6230</v>
      </c>
      <c r="B1834" s="35">
        <f t="array" ref="B1834">XLOOKUP(A1834,IMDB_Movies!I$2:I$3493,IMDB_Movies!Q$2:Q$3493)</f>
        <v>47934015</v>
      </c>
      <c r="E1834" s="24" t="s">
        <v>6230</v>
      </c>
      <c r="F1834" s="36">
        <f t="array" ref="F1834">XLOOKUP(A1834,IMDB_Movies!I$2:I$3493,IMDB_Movies!P$2:P$3493)</f>
        <v>0</v>
      </c>
    </row>
    <row r="1835">
      <c r="A1835" s="28" t="s">
        <v>6232</v>
      </c>
      <c r="B1835" s="35">
        <f t="array" ref="B1835">XLOOKUP(A1835,IMDB_Movies!I$2:I$3493,IMDB_Movies!Q$2:Q$3493)</f>
        <v>21569645</v>
      </c>
      <c r="E1835" s="28" t="s">
        <v>6232</v>
      </c>
      <c r="F1835" s="36">
        <f t="array" ref="F1835">XLOOKUP(A1835,IMDB_Movies!I$2:I$3493,IMDB_Movies!P$2:P$3493)</f>
        <v>0</v>
      </c>
    </row>
    <row r="1836">
      <c r="A1836" s="20" t="s">
        <v>6234</v>
      </c>
      <c r="B1836" s="35">
        <f t="array" ref="B1836">XLOOKUP(A1836,IMDB_Movies!I$2:I$3493,IMDB_Movies!Q$2:Q$3493)</f>
        <v>6982599</v>
      </c>
      <c r="E1836" s="20" t="s">
        <v>6234</v>
      </c>
      <c r="F1836" s="36">
        <f t="array" ref="F1836">XLOOKUP(A1836,IMDB_Movies!I$2:I$3493,IMDB_Movies!P$2:P$3493)</f>
        <v>0</v>
      </c>
    </row>
    <row r="1837">
      <c r="A1837" s="11" t="s">
        <v>6237</v>
      </c>
      <c r="B1837" s="35">
        <f t="array" ref="B1837">XLOOKUP(A1837,IMDB_Movies!I$2:I$3493,IMDB_Movies!Q$2:Q$3493)</f>
        <v>9491157</v>
      </c>
      <c r="E1837" s="11" t="s">
        <v>6237</v>
      </c>
      <c r="F1837" s="36">
        <f t="array" ref="F1837">XLOOKUP(A1837,IMDB_Movies!I$2:I$3493,IMDB_Movies!P$2:P$3493)</f>
        <v>0</v>
      </c>
    </row>
    <row r="1838">
      <c r="A1838" s="11" t="s">
        <v>6239</v>
      </c>
      <c r="B1838" s="35">
        <f t="array" ref="B1838">XLOOKUP(A1838,IMDB_Movies!I$2:I$3493,IMDB_Movies!Q$2:Q$3493)</f>
        <v>14169043</v>
      </c>
      <c r="E1838" s="11" t="s">
        <v>6239</v>
      </c>
      <c r="F1838" s="36">
        <f t="array" ref="F1838">XLOOKUP(A1838,IMDB_Movies!I$2:I$3493,IMDB_Movies!P$2:P$3493)</f>
        <v>0</v>
      </c>
    </row>
    <row r="1839">
      <c r="A1839" s="24" t="s">
        <v>6241</v>
      </c>
      <c r="B1839" s="35">
        <f t="array" ref="B1839">XLOOKUP(A1839,IMDB_Movies!I$2:I$3493,IMDB_Movies!Q$2:Q$3493)</f>
        <v>0</v>
      </c>
      <c r="E1839" s="24" t="s">
        <v>6241</v>
      </c>
      <c r="F1839" s="36">
        <f t="array" ref="F1839">XLOOKUP(A1839,IMDB_Movies!I$2:I$3493,IMDB_Movies!P$2:P$3493)</f>
        <v>15638743</v>
      </c>
    </row>
    <row r="1840">
      <c r="A1840" s="24" t="s">
        <v>6244</v>
      </c>
      <c r="B1840" s="35">
        <f t="array" ref="B1840">XLOOKUP(A1840,IMDB_Movies!I$2:I$3493,IMDB_Movies!Q$2:Q$3493)</f>
        <v>6428265</v>
      </c>
      <c r="E1840" s="24" t="s">
        <v>6244</v>
      </c>
      <c r="F1840" s="36">
        <f t="array" ref="F1840">XLOOKUP(A1840,IMDB_Movies!I$2:I$3493,IMDB_Movies!P$2:P$3493)</f>
        <v>0</v>
      </c>
    </row>
    <row r="1841">
      <c r="A1841" s="16" t="s">
        <v>6246</v>
      </c>
      <c r="B1841" s="35">
        <f t="array" ref="B1841">XLOOKUP(A1841,IMDB_Movies!I$2:I$3493,IMDB_Movies!Q$2:Q$3493)</f>
        <v>0</v>
      </c>
      <c r="E1841" s="16" t="s">
        <v>6246</v>
      </c>
      <c r="F1841" s="36">
        <f t="array" ref="F1841">XLOOKUP(A1841,IMDB_Movies!I$2:I$3493,IMDB_Movies!P$2:P$3493)</f>
        <v>8059386</v>
      </c>
    </row>
    <row r="1842">
      <c r="A1842" s="28" t="s">
        <v>6248</v>
      </c>
      <c r="B1842" s="35">
        <f t="array" ref="B1842">XLOOKUP(A1842,IMDB_Movies!I$2:I$3493,IMDB_Movies!Q$2:Q$3493)</f>
        <v>16577194</v>
      </c>
      <c r="E1842" s="28" t="s">
        <v>6248</v>
      </c>
      <c r="F1842" s="36">
        <f t="array" ref="F1842">XLOOKUP(A1842,IMDB_Movies!I$2:I$3493,IMDB_Movies!P$2:P$3493)</f>
        <v>0</v>
      </c>
    </row>
    <row r="1843">
      <c r="A1843" s="28" t="s">
        <v>6251</v>
      </c>
      <c r="B1843" s="35">
        <f t="array" ref="B1843">XLOOKUP(A1843,IMDB_Movies!I$2:I$3493,IMDB_Movies!Q$2:Q$3493)</f>
        <v>2298120</v>
      </c>
      <c r="E1843" s="28" t="s">
        <v>6251</v>
      </c>
      <c r="F1843" s="36">
        <f t="array" ref="F1843">XLOOKUP(A1843,IMDB_Movies!I$2:I$3493,IMDB_Movies!P$2:P$3493)</f>
        <v>0</v>
      </c>
    </row>
    <row r="1844">
      <c r="A1844" s="24" t="s">
        <v>6253</v>
      </c>
      <c r="B1844" s="35">
        <f t="array" ref="B1844">XLOOKUP(A1844,IMDB_Movies!I$2:I$3493,IMDB_Movies!Q$2:Q$3493)</f>
        <v>14816912</v>
      </c>
      <c r="E1844" s="24" t="s">
        <v>6253</v>
      </c>
      <c r="F1844" s="36">
        <f t="array" ref="F1844">XLOOKUP(A1844,IMDB_Movies!I$2:I$3493,IMDB_Movies!P$2:P$3493)</f>
        <v>0</v>
      </c>
    </row>
    <row r="1845">
      <c r="A1845" s="16" t="s">
        <v>6258</v>
      </c>
      <c r="B1845" s="35">
        <f t="array" ref="B1845">XLOOKUP(A1845,IMDB_Movies!I$2:I$3493,IMDB_Movies!Q$2:Q$3493)</f>
        <v>1451000</v>
      </c>
      <c r="E1845" s="16" t="s">
        <v>6258</v>
      </c>
      <c r="F1845" s="36">
        <f t="array" ref="F1845">XLOOKUP(A1845,IMDB_Movies!I$2:I$3493,IMDB_Movies!P$2:P$3493)</f>
        <v>0</v>
      </c>
    </row>
    <row r="1846">
      <c r="A1846" s="28" t="s">
        <v>6262</v>
      </c>
      <c r="B1846" s="35">
        <f t="array" ref="B1846">XLOOKUP(A1846,IMDB_Movies!I$2:I$3493,IMDB_Movies!Q$2:Q$3493)</f>
        <v>297532</v>
      </c>
      <c r="E1846" s="28" t="s">
        <v>6262</v>
      </c>
      <c r="F1846" s="36">
        <f t="array" ref="F1846">XLOOKUP(A1846,IMDB_Movies!I$2:I$3493,IMDB_Movies!P$2:P$3493)</f>
        <v>0</v>
      </c>
    </row>
    <row r="1847">
      <c r="A1847" s="11" t="s">
        <v>6265</v>
      </c>
      <c r="B1847" s="35">
        <f t="array" ref="B1847">XLOOKUP(A1847,IMDB_Movies!I$2:I$3493,IMDB_Movies!Q$2:Q$3493)</f>
        <v>0</v>
      </c>
      <c r="E1847" s="11" t="s">
        <v>6265</v>
      </c>
      <c r="F1847" s="36">
        <f t="array" ref="F1847">XLOOKUP(A1847,IMDB_Movies!I$2:I$3493,IMDB_Movies!P$2:P$3493)</f>
        <v>16505912</v>
      </c>
    </row>
    <row r="1848">
      <c r="A1848" s="20" t="s">
        <v>6268</v>
      </c>
      <c r="B1848" s="35">
        <f t="array" ref="B1848">XLOOKUP(A1848,IMDB_Movies!I$2:I$3493,IMDB_Movies!Q$2:Q$3493)</f>
        <v>0</v>
      </c>
      <c r="E1848" s="20" t="s">
        <v>6268</v>
      </c>
      <c r="F1848" s="36">
        <f t="array" ref="F1848">XLOOKUP(A1848,IMDB_Movies!I$2:I$3493,IMDB_Movies!P$2:P$3493)</f>
        <v>15464480</v>
      </c>
    </row>
    <row r="1849">
      <c r="A1849" s="11" t="s">
        <v>6271</v>
      </c>
      <c r="B1849" s="35">
        <f t="array" ref="B1849">XLOOKUP(A1849,IMDB_Movies!I$2:I$3493,IMDB_Movies!Q$2:Q$3493)</f>
        <v>64928486</v>
      </c>
      <c r="E1849" s="11" t="s">
        <v>6271</v>
      </c>
      <c r="F1849" s="36">
        <f t="array" ref="F1849">XLOOKUP(A1849,IMDB_Movies!I$2:I$3493,IMDB_Movies!P$2:P$3493)</f>
        <v>0</v>
      </c>
    </row>
    <row r="1850">
      <c r="A1850" s="11" t="s">
        <v>6275</v>
      </c>
      <c r="B1850" s="35">
        <f t="array" ref="B1850">XLOOKUP(A1850,IMDB_Movies!I$2:I$3493,IMDB_Movies!Q$2:Q$3493)</f>
        <v>1043871</v>
      </c>
      <c r="E1850" s="11" t="s">
        <v>6275</v>
      </c>
      <c r="F1850" s="36">
        <f t="array" ref="F1850">XLOOKUP(A1850,IMDB_Movies!I$2:I$3493,IMDB_Movies!P$2:P$3493)</f>
        <v>0</v>
      </c>
    </row>
    <row r="1851">
      <c r="A1851" s="32" t="s">
        <v>6280</v>
      </c>
      <c r="B1851" s="35">
        <f t="array" ref="B1851">XLOOKUP(A1851,IMDB_Movies!I$2:I$3493,IMDB_Movies!Q$2:Q$3493)</f>
        <v>231805</v>
      </c>
      <c r="E1851" s="32" t="s">
        <v>6280</v>
      </c>
      <c r="F1851" s="36">
        <f t="array" ref="F1851">XLOOKUP(A1851,IMDB_Movies!I$2:I$3493,IMDB_Movies!P$2:P$3493)</f>
        <v>0</v>
      </c>
    </row>
    <row r="1852">
      <c r="A1852" s="28" t="s">
        <v>6284</v>
      </c>
      <c r="B1852" s="35">
        <f t="array" ref="B1852">XLOOKUP(A1852,IMDB_Movies!I$2:I$3493,IMDB_Movies!Q$2:Q$3493)</f>
        <v>0</v>
      </c>
      <c r="E1852" s="28" t="s">
        <v>6284</v>
      </c>
      <c r="F1852" s="36">
        <f t="array" ref="F1852">XLOOKUP(A1852,IMDB_Movies!I$2:I$3493,IMDB_Movies!P$2:P$3493)</f>
        <v>63071</v>
      </c>
    </row>
    <row r="1853">
      <c r="A1853" s="20" t="s">
        <v>6289</v>
      </c>
      <c r="B1853" s="35">
        <f t="array" ref="B1853">XLOOKUP(A1853,IMDB_Movies!I$2:I$3493,IMDB_Movies!Q$2:Q$3493)</f>
        <v>0</v>
      </c>
      <c r="E1853" s="20" t="s">
        <v>6289</v>
      </c>
      <c r="F1853" s="36">
        <f t="array" ref="F1853">XLOOKUP(A1853,IMDB_Movies!I$2:I$3493,IMDB_Movies!P$2:P$3493)</f>
        <v>10331028</v>
      </c>
    </row>
    <row r="1854">
      <c r="A1854" s="20" t="s">
        <v>6292</v>
      </c>
      <c r="B1854" s="35">
        <f t="array" ref="B1854">XLOOKUP(A1854,IMDB_Movies!I$2:I$3493,IMDB_Movies!Q$2:Q$3493)</f>
        <v>3716496</v>
      </c>
      <c r="E1854" s="20" t="s">
        <v>6292</v>
      </c>
      <c r="F1854" s="36">
        <f t="array" ref="F1854">XLOOKUP(A1854,IMDB_Movies!I$2:I$3493,IMDB_Movies!P$2:P$3493)</f>
        <v>0</v>
      </c>
    </row>
    <row r="1855">
      <c r="A1855" s="11" t="s">
        <v>6295</v>
      </c>
      <c r="B1855" s="35">
        <f t="array" ref="B1855">XLOOKUP(A1855,IMDB_Movies!I$2:I$3493,IMDB_Movies!Q$2:Q$3493)</f>
        <v>0</v>
      </c>
      <c r="E1855" s="11" t="s">
        <v>6295</v>
      </c>
      <c r="F1855" s="36">
        <f t="array" ref="F1855">XLOOKUP(A1855,IMDB_Movies!I$2:I$3493,IMDB_Movies!P$2:P$3493)</f>
        <v>31859105</v>
      </c>
    </row>
    <row r="1856">
      <c r="A1856" s="20" t="s">
        <v>6297</v>
      </c>
      <c r="B1856" s="35">
        <f t="array" ref="B1856">XLOOKUP(A1856,IMDB_Movies!I$2:I$3493,IMDB_Movies!Q$2:Q$3493)</f>
        <v>0</v>
      </c>
      <c r="E1856" s="20" t="s">
        <v>6297</v>
      </c>
      <c r="F1856" s="36">
        <f t="array" ref="F1856">XLOOKUP(A1856,IMDB_Movies!I$2:I$3493,IMDB_Movies!P$2:P$3493)</f>
        <v>7781388</v>
      </c>
    </row>
    <row r="1857">
      <c r="A1857" s="28" t="s">
        <v>6299</v>
      </c>
      <c r="B1857" s="35">
        <f t="array" ref="B1857">XLOOKUP(A1857,IMDB_Movies!I$2:I$3493,IMDB_Movies!Q$2:Q$3493)</f>
        <v>0</v>
      </c>
      <c r="E1857" s="28" t="s">
        <v>6299</v>
      </c>
      <c r="F1857" s="36">
        <f t="array" ref="F1857">XLOOKUP(A1857,IMDB_Movies!I$2:I$3493,IMDB_Movies!P$2:P$3493)</f>
        <v>92536138</v>
      </c>
    </row>
    <row r="1858">
      <c r="A1858" s="32" t="s">
        <v>6301</v>
      </c>
      <c r="B1858" s="35">
        <f t="array" ref="B1858">XLOOKUP(A1858,IMDB_Movies!I$2:I$3493,IMDB_Movies!Q$2:Q$3493)</f>
        <v>16624154</v>
      </c>
      <c r="E1858" s="32" t="s">
        <v>6301</v>
      </c>
      <c r="F1858" s="36">
        <f t="array" ref="F1858">XLOOKUP(A1858,IMDB_Movies!I$2:I$3493,IMDB_Movies!P$2:P$3493)</f>
        <v>0</v>
      </c>
    </row>
    <row r="1859">
      <c r="A1859" s="16" t="s">
        <v>6304</v>
      </c>
      <c r="B1859" s="35">
        <f t="array" ref="B1859">XLOOKUP(A1859,IMDB_Movies!I$2:I$3493,IMDB_Movies!Q$2:Q$3493)</f>
        <v>500000</v>
      </c>
      <c r="E1859" s="16" t="s">
        <v>6304</v>
      </c>
      <c r="F1859" s="36">
        <f t="array" ref="F1859">XLOOKUP(A1859,IMDB_Movies!I$2:I$3493,IMDB_Movies!P$2:P$3493)</f>
        <v>0</v>
      </c>
    </row>
    <row r="1860">
      <c r="A1860" s="11" t="s">
        <v>6307</v>
      </c>
      <c r="B1860" s="35">
        <f t="array" ref="B1860">XLOOKUP(A1860,IMDB_Movies!I$2:I$3493,IMDB_Movies!Q$2:Q$3493)</f>
        <v>0</v>
      </c>
      <c r="E1860" s="11" t="s">
        <v>6307</v>
      </c>
      <c r="F1860" s="36">
        <f t="array" ref="F1860">XLOOKUP(A1860,IMDB_Movies!I$2:I$3493,IMDB_Movies!P$2:P$3493)</f>
        <v>38771291</v>
      </c>
    </row>
    <row r="1861">
      <c r="A1861" s="11" t="s">
        <v>6311</v>
      </c>
      <c r="B1861" s="35">
        <f t="array" ref="B1861">XLOOKUP(A1861,IMDB_Movies!I$2:I$3493,IMDB_Movies!Q$2:Q$3493)</f>
        <v>0</v>
      </c>
      <c r="E1861" s="11" t="s">
        <v>6311</v>
      </c>
      <c r="F1861" s="36">
        <f t="array" ref="F1861">XLOOKUP(A1861,IMDB_Movies!I$2:I$3493,IMDB_Movies!P$2:P$3493)</f>
        <v>12253315</v>
      </c>
    </row>
    <row r="1862">
      <c r="A1862" s="16" t="s">
        <v>6314</v>
      </c>
      <c r="B1862" s="35">
        <f t="array" ref="B1862">XLOOKUP(A1862,IMDB_Movies!I$2:I$3493,IMDB_Movies!Q$2:Q$3493)</f>
        <v>0</v>
      </c>
      <c r="E1862" s="16" t="s">
        <v>6314</v>
      </c>
      <c r="F1862" s="36">
        <f t="array" ref="F1862">XLOOKUP(A1862,IMDB_Movies!I$2:I$3493,IMDB_Movies!P$2:P$3493)</f>
        <v>67568000</v>
      </c>
    </row>
    <row r="1863">
      <c r="A1863" s="28" t="s">
        <v>6318</v>
      </c>
      <c r="B1863" s="35">
        <f t="array" ref="B1863">XLOOKUP(A1863,IMDB_Movies!I$2:I$3493,IMDB_Movies!Q$2:Q$3493)</f>
        <v>29476832</v>
      </c>
      <c r="E1863" s="28" t="s">
        <v>6318</v>
      </c>
      <c r="F1863" s="36">
        <f t="array" ref="F1863">XLOOKUP(A1863,IMDB_Movies!I$2:I$3493,IMDB_Movies!P$2:P$3493)</f>
        <v>0</v>
      </c>
    </row>
    <row r="1864">
      <c r="A1864" s="24" t="s">
        <v>6320</v>
      </c>
      <c r="B1864" s="35">
        <f t="array" ref="B1864">XLOOKUP(A1864,IMDB_Movies!I$2:I$3493,IMDB_Movies!Q$2:Q$3493)</f>
        <v>0</v>
      </c>
      <c r="E1864" s="24" t="s">
        <v>6320</v>
      </c>
      <c r="F1864" s="36">
        <f t="array" ref="F1864">XLOOKUP(A1864,IMDB_Movies!I$2:I$3493,IMDB_Movies!P$2:P$3493)</f>
        <v>21475962</v>
      </c>
    </row>
    <row r="1865">
      <c r="A1865" s="11" t="s">
        <v>6323</v>
      </c>
      <c r="B1865" s="35">
        <f t="array" ref="B1865">XLOOKUP(A1865,IMDB_Movies!I$2:I$3493,IMDB_Movies!Q$2:Q$3493)</f>
        <v>0</v>
      </c>
      <c r="E1865" s="11" t="s">
        <v>6323</v>
      </c>
      <c r="F1865" s="36">
        <f t="array" ref="F1865">XLOOKUP(A1865,IMDB_Movies!I$2:I$3493,IMDB_Movies!P$2:P$3493)</f>
        <v>34500000</v>
      </c>
    </row>
    <row r="1866">
      <c r="A1866" s="20" t="s">
        <v>6326</v>
      </c>
      <c r="B1866" s="35">
        <f t="array" ref="B1866">XLOOKUP(A1866,IMDB_Movies!I$2:I$3493,IMDB_Movies!Q$2:Q$3493)</f>
        <v>12976053</v>
      </c>
      <c r="E1866" s="20" t="s">
        <v>6326</v>
      </c>
      <c r="F1866" s="36">
        <f t="array" ref="F1866">XLOOKUP(A1866,IMDB_Movies!I$2:I$3493,IMDB_Movies!P$2:P$3493)</f>
        <v>0</v>
      </c>
    </row>
    <row r="1867">
      <c r="A1867" s="24" t="s">
        <v>6328</v>
      </c>
      <c r="B1867" s="35">
        <f t="array" ref="B1867">XLOOKUP(A1867,IMDB_Movies!I$2:I$3493,IMDB_Movies!Q$2:Q$3493)</f>
        <v>0</v>
      </c>
      <c r="E1867" s="24" t="s">
        <v>6328</v>
      </c>
      <c r="F1867" s="36">
        <f t="array" ref="F1867">XLOOKUP(A1867,IMDB_Movies!I$2:I$3493,IMDB_Movies!P$2:P$3493)</f>
        <v>4900000</v>
      </c>
    </row>
    <row r="1868">
      <c r="A1868" s="11" t="s">
        <v>6331</v>
      </c>
      <c r="B1868" s="35">
        <f t="array" ref="B1868">XLOOKUP(A1868,IMDB_Movies!I$2:I$3493,IMDB_Movies!Q$2:Q$3493)</f>
        <v>0</v>
      </c>
      <c r="E1868" s="11" t="s">
        <v>6331</v>
      </c>
      <c r="F1868" s="36">
        <f t="array" ref="F1868">XLOOKUP(A1868,IMDB_Movies!I$2:I$3493,IMDB_Movies!P$2:P$3493)</f>
        <v>16530884</v>
      </c>
    </row>
    <row r="1869">
      <c r="A1869" s="11" t="s">
        <v>6333</v>
      </c>
      <c r="B1869" s="35">
        <f t="array" ref="B1869">XLOOKUP(A1869,IMDB_Movies!I$2:I$3493,IMDB_Movies!Q$2:Q$3493)</f>
        <v>1000000</v>
      </c>
      <c r="E1869" s="11" t="s">
        <v>6333</v>
      </c>
      <c r="F1869" s="36">
        <f t="array" ref="F1869">XLOOKUP(A1869,IMDB_Movies!I$2:I$3493,IMDB_Movies!P$2:P$3493)</f>
        <v>0</v>
      </c>
    </row>
    <row r="1870">
      <c r="A1870" s="20" t="s">
        <v>6335</v>
      </c>
      <c r="B1870" s="35">
        <f t="array" ref="B1870">XLOOKUP(A1870,IMDB_Movies!I$2:I$3493,IMDB_Movies!Q$2:Q$3493)</f>
        <v>0</v>
      </c>
      <c r="E1870" s="20" t="s">
        <v>6335</v>
      </c>
      <c r="F1870" s="36">
        <f t="array" ref="F1870">XLOOKUP(A1870,IMDB_Movies!I$2:I$3493,IMDB_Movies!P$2:P$3493)</f>
        <v>47968405</v>
      </c>
    </row>
    <row r="1871">
      <c r="A1871" s="11" t="s">
        <v>6337</v>
      </c>
      <c r="B1871" s="35">
        <f t="array" ref="B1871">XLOOKUP(A1871,IMDB_Movies!I$2:I$3493,IMDB_Movies!Q$2:Q$3493)</f>
        <v>2446068</v>
      </c>
      <c r="E1871" s="11" t="s">
        <v>6337</v>
      </c>
      <c r="F1871" s="36">
        <f t="array" ref="F1871">XLOOKUP(A1871,IMDB_Movies!I$2:I$3493,IMDB_Movies!P$2:P$3493)</f>
        <v>0</v>
      </c>
    </row>
    <row r="1872">
      <c r="A1872" s="11" t="s">
        <v>6339</v>
      </c>
      <c r="B1872" s="35">
        <f t="array" ref="B1872">XLOOKUP(A1872,IMDB_Movies!I$2:I$3493,IMDB_Movies!Q$2:Q$3493)</f>
        <v>0</v>
      </c>
      <c r="E1872" s="11" t="s">
        <v>6339</v>
      </c>
      <c r="F1872" s="36">
        <f t="array" ref="F1872">XLOOKUP(A1872,IMDB_Movies!I$2:I$3493,IMDB_Movies!P$2:P$3493)</f>
        <v>16235088</v>
      </c>
    </row>
    <row r="1873">
      <c r="A1873" s="20" t="s">
        <v>6343</v>
      </c>
      <c r="B1873" s="35">
        <f t="array" ref="B1873">XLOOKUP(A1873,IMDB_Movies!I$2:I$3493,IMDB_Movies!Q$2:Q$3493)</f>
        <v>0</v>
      </c>
      <c r="E1873" s="20" t="s">
        <v>6343</v>
      </c>
      <c r="F1873" s="36">
        <f t="array" ref="F1873">XLOOKUP(A1873,IMDB_Movies!I$2:I$3493,IMDB_Movies!P$2:P$3493)</f>
        <v>3005123</v>
      </c>
    </row>
    <row r="1874">
      <c r="A1874" s="11" t="s">
        <v>6349</v>
      </c>
      <c r="B1874" s="35">
        <f t="array" ref="B1874">XLOOKUP(A1874,IMDB_Movies!I$2:I$3493,IMDB_Movies!Q$2:Q$3493)</f>
        <v>0</v>
      </c>
      <c r="E1874" s="11" t="s">
        <v>6349</v>
      </c>
      <c r="F1874" s="36">
        <f t="array" ref="F1874">XLOOKUP(A1874,IMDB_Movies!I$2:I$3493,IMDB_Movies!P$2:P$3493)</f>
        <v>5110552</v>
      </c>
    </row>
    <row r="1875">
      <c r="A1875" s="11" t="s">
        <v>6353</v>
      </c>
      <c r="B1875" s="35">
        <f t="array" ref="B1875">XLOOKUP(A1875,IMDB_Movies!I$2:I$3493,IMDB_Movies!Q$2:Q$3493)</f>
        <v>14646257</v>
      </c>
      <c r="E1875" s="11" t="s">
        <v>6353</v>
      </c>
      <c r="F1875" s="36">
        <f t="array" ref="F1875">XLOOKUP(A1875,IMDB_Movies!I$2:I$3493,IMDB_Movies!P$2:P$3493)</f>
        <v>0</v>
      </c>
    </row>
    <row r="1876">
      <c r="A1876" s="24" t="s">
        <v>6355</v>
      </c>
      <c r="B1876" s="35">
        <f t="array" ref="B1876">XLOOKUP(A1876,IMDB_Movies!I$2:I$3493,IMDB_Movies!Q$2:Q$3493)</f>
        <v>0</v>
      </c>
      <c r="E1876" s="24" t="s">
        <v>6355</v>
      </c>
      <c r="F1876" s="36">
        <f t="array" ref="F1876">XLOOKUP(A1876,IMDB_Movies!I$2:I$3493,IMDB_Movies!P$2:P$3493)</f>
        <v>38023275</v>
      </c>
    </row>
    <row r="1877">
      <c r="A1877" s="16" t="s">
        <v>6358</v>
      </c>
      <c r="B1877" s="35">
        <f t="array" ref="B1877">XLOOKUP(A1877,IMDB_Movies!I$2:I$3493,IMDB_Movies!Q$2:Q$3493)</f>
        <v>0</v>
      </c>
      <c r="E1877" s="16" t="s">
        <v>6358</v>
      </c>
      <c r="F1877" s="36">
        <f t="array" ref="F1877">XLOOKUP(A1877,IMDB_Movies!I$2:I$3493,IMDB_Movies!P$2:P$3493)</f>
        <v>14213619</v>
      </c>
    </row>
    <row r="1878">
      <c r="A1878" s="20" t="s">
        <v>6362</v>
      </c>
      <c r="B1878" s="35">
        <f t="array" ref="B1878">XLOOKUP(A1878,IMDB_Movies!I$2:I$3493,IMDB_Movies!Q$2:Q$3493)</f>
        <v>12803790</v>
      </c>
      <c r="E1878" s="20" t="s">
        <v>6362</v>
      </c>
      <c r="F1878" s="36">
        <f t="array" ref="F1878">XLOOKUP(A1878,IMDB_Movies!I$2:I$3493,IMDB_Movies!P$2:P$3493)</f>
        <v>0</v>
      </c>
    </row>
    <row r="1879">
      <c r="A1879" s="11" t="s">
        <v>6365</v>
      </c>
      <c r="B1879" s="35">
        <f t="array" ref="B1879">XLOOKUP(A1879,IMDB_Movies!I$2:I$3493,IMDB_Movies!Q$2:Q$3493)</f>
        <v>0</v>
      </c>
      <c r="E1879" s="11" t="s">
        <v>6365</v>
      </c>
      <c r="F1879" s="36">
        <f t="array" ref="F1879">XLOOKUP(A1879,IMDB_Movies!I$2:I$3493,IMDB_Movies!P$2:P$3493)</f>
        <v>3432299</v>
      </c>
    </row>
    <row r="1880">
      <c r="A1880" s="20" t="s">
        <v>6369</v>
      </c>
      <c r="B1880" s="35">
        <f t="array" ref="B1880">XLOOKUP(A1880,IMDB_Movies!I$2:I$3493,IMDB_Movies!Q$2:Q$3493)</f>
        <v>13960131</v>
      </c>
      <c r="E1880" s="20" t="s">
        <v>6369</v>
      </c>
      <c r="F1880" s="36">
        <f t="array" ref="F1880">XLOOKUP(A1880,IMDB_Movies!I$2:I$3493,IMDB_Movies!P$2:P$3493)</f>
        <v>0</v>
      </c>
    </row>
    <row r="1881">
      <c r="A1881" s="28" t="s">
        <v>6372</v>
      </c>
      <c r="B1881" s="35">
        <f t="array" ref="B1881">XLOOKUP(A1881,IMDB_Movies!I$2:I$3493,IMDB_Movies!Q$2:Q$3493)</f>
        <v>21561851</v>
      </c>
      <c r="E1881" s="28" t="s">
        <v>6372</v>
      </c>
      <c r="F1881" s="36">
        <f t="array" ref="F1881">XLOOKUP(A1881,IMDB_Movies!I$2:I$3493,IMDB_Movies!P$2:P$3493)</f>
        <v>0</v>
      </c>
    </row>
    <row r="1882">
      <c r="A1882" s="11" t="s">
        <v>6374</v>
      </c>
      <c r="B1882" s="35">
        <f t="array" ref="B1882">XLOOKUP(A1882,IMDB_Movies!I$2:I$3493,IMDB_Movies!Q$2:Q$3493)</f>
        <v>0</v>
      </c>
      <c r="E1882" s="11" t="s">
        <v>6374</v>
      </c>
      <c r="F1882" s="36">
        <f t="array" ref="F1882">XLOOKUP(A1882,IMDB_Movies!I$2:I$3493,IMDB_Movies!P$2:P$3493)</f>
        <v>9761993</v>
      </c>
    </row>
    <row r="1883">
      <c r="A1883" s="28" t="s">
        <v>6376</v>
      </c>
      <c r="B1883" s="35">
        <f t="array" ref="B1883">XLOOKUP(A1883,IMDB_Movies!I$2:I$3493,IMDB_Movies!Q$2:Q$3493)</f>
        <v>38476729</v>
      </c>
      <c r="E1883" s="28" t="s">
        <v>6376</v>
      </c>
      <c r="F1883" s="36">
        <f t="array" ref="F1883">XLOOKUP(A1883,IMDB_Movies!I$2:I$3493,IMDB_Movies!P$2:P$3493)</f>
        <v>0</v>
      </c>
    </row>
    <row r="1884">
      <c r="A1884" s="11" t="s">
        <v>6378</v>
      </c>
      <c r="B1884" s="35">
        <f t="array" ref="B1884">XLOOKUP(A1884,IMDB_Movies!I$2:I$3493,IMDB_Movies!Q$2:Q$3493)</f>
        <v>0</v>
      </c>
      <c r="E1884" s="11" t="s">
        <v>6378</v>
      </c>
      <c r="F1884" s="36">
        <f t="array" ref="F1884">XLOOKUP(A1884,IMDB_Movies!I$2:I$3493,IMDB_Movies!P$2:P$3493)</f>
        <v>15226144</v>
      </c>
    </row>
    <row r="1885">
      <c r="A1885" s="11" t="s">
        <v>6381</v>
      </c>
      <c r="B1885" s="35">
        <f t="array" ref="B1885">XLOOKUP(A1885,IMDB_Movies!I$2:I$3493,IMDB_Movies!Q$2:Q$3493)</f>
        <v>0</v>
      </c>
      <c r="E1885" s="11" t="s">
        <v>6381</v>
      </c>
      <c r="F1885" s="36">
        <f t="array" ref="F1885">XLOOKUP(A1885,IMDB_Movies!I$2:I$3493,IMDB_Movies!P$2:P$3493)</f>
        <v>10372662</v>
      </c>
    </row>
    <row r="1886">
      <c r="A1886" s="28" t="s">
        <v>6383</v>
      </c>
      <c r="B1886" s="35">
        <f t="array" ref="B1886">XLOOKUP(A1886,IMDB_Movies!I$2:I$3493,IMDB_Movies!Q$2:Q$3493)</f>
        <v>0</v>
      </c>
      <c r="E1886" s="28" t="s">
        <v>6383</v>
      </c>
      <c r="F1886" s="36">
        <f t="array" ref="F1886">XLOOKUP(A1886,IMDB_Movies!I$2:I$3493,IMDB_Movies!P$2:P$3493)</f>
        <v>348316061</v>
      </c>
    </row>
    <row r="1887">
      <c r="A1887" s="24" t="s">
        <v>6386</v>
      </c>
      <c r="B1887" s="35">
        <f t="array" ref="B1887">XLOOKUP(A1887,IMDB_Movies!I$2:I$3493,IMDB_Movies!Q$2:Q$3493)</f>
        <v>0</v>
      </c>
      <c r="E1887" s="24" t="s">
        <v>6386</v>
      </c>
      <c r="F1887" s="36">
        <f t="array" ref="F1887">XLOOKUP(A1887,IMDB_Movies!I$2:I$3493,IMDB_Movies!P$2:P$3493)</f>
        <v>3228696</v>
      </c>
    </row>
    <row r="1888">
      <c r="A1888" s="20" t="s">
        <v>6390</v>
      </c>
      <c r="B1888" s="35">
        <f t="array" ref="B1888">XLOOKUP(A1888,IMDB_Movies!I$2:I$3493,IMDB_Movies!Q$2:Q$3493)</f>
        <v>8116113</v>
      </c>
      <c r="E1888" s="20" t="s">
        <v>6390</v>
      </c>
      <c r="F1888" s="36">
        <f t="array" ref="F1888">XLOOKUP(A1888,IMDB_Movies!I$2:I$3493,IMDB_Movies!P$2:P$3493)</f>
        <v>0</v>
      </c>
    </row>
    <row r="1889">
      <c r="A1889" s="24" t="s">
        <v>6392</v>
      </c>
      <c r="B1889" s="35">
        <f t="array" ref="B1889">XLOOKUP(A1889,IMDB_Movies!I$2:I$3493,IMDB_Movies!Q$2:Q$3493)</f>
        <v>0</v>
      </c>
      <c r="E1889" s="24" t="s">
        <v>6392</v>
      </c>
      <c r="F1889" s="36">
        <f t="array" ref="F1889">XLOOKUP(A1889,IMDB_Movies!I$2:I$3493,IMDB_Movies!P$2:P$3493)</f>
        <v>72632573</v>
      </c>
    </row>
    <row r="1890">
      <c r="A1890" s="20" t="s">
        <v>6394</v>
      </c>
      <c r="B1890" s="35">
        <f t="array" ref="B1890">XLOOKUP(A1890,IMDB_Movies!I$2:I$3493,IMDB_Movies!Q$2:Q$3493)</f>
        <v>28791977</v>
      </c>
      <c r="E1890" s="20" t="s">
        <v>6394</v>
      </c>
      <c r="F1890" s="36">
        <f t="array" ref="F1890">XLOOKUP(A1890,IMDB_Movies!I$2:I$3493,IMDB_Movies!P$2:P$3493)</f>
        <v>0</v>
      </c>
    </row>
    <row r="1891">
      <c r="A1891" s="24" t="s">
        <v>6396</v>
      </c>
      <c r="B1891" s="35">
        <f t="array" ref="B1891">XLOOKUP(A1891,IMDB_Movies!I$2:I$3493,IMDB_Movies!Q$2:Q$3493)</f>
        <v>14831605</v>
      </c>
      <c r="E1891" s="24" t="s">
        <v>6396</v>
      </c>
      <c r="F1891" s="36">
        <f t="array" ref="F1891">XLOOKUP(A1891,IMDB_Movies!I$2:I$3493,IMDB_Movies!P$2:P$3493)</f>
        <v>0</v>
      </c>
    </row>
    <row r="1892">
      <c r="A1892" s="20" t="s">
        <v>6399</v>
      </c>
      <c r="B1892" s="35">
        <f t="array" ref="B1892">XLOOKUP(A1892,IMDB_Movies!I$2:I$3493,IMDB_Movies!Q$2:Q$3493)</f>
        <v>33118496</v>
      </c>
      <c r="E1892" s="20" t="s">
        <v>6399</v>
      </c>
      <c r="F1892" s="36">
        <f t="array" ref="F1892">XLOOKUP(A1892,IMDB_Movies!I$2:I$3493,IMDB_Movies!P$2:P$3493)</f>
        <v>0</v>
      </c>
    </row>
    <row r="1893">
      <c r="A1893" s="24" t="s">
        <v>6402</v>
      </c>
      <c r="B1893" s="35">
        <f t="array" ref="B1893">XLOOKUP(A1893,IMDB_Movies!I$2:I$3493,IMDB_Movies!Q$2:Q$3493)</f>
        <v>14867345</v>
      </c>
      <c r="E1893" s="24" t="s">
        <v>6402</v>
      </c>
      <c r="F1893" s="36">
        <f t="array" ref="F1893">XLOOKUP(A1893,IMDB_Movies!I$2:I$3493,IMDB_Movies!P$2:P$3493)</f>
        <v>0</v>
      </c>
    </row>
    <row r="1894">
      <c r="A1894" s="24" t="s">
        <v>6405</v>
      </c>
      <c r="B1894" s="35">
        <f t="array" ref="B1894">XLOOKUP(A1894,IMDB_Movies!I$2:I$3493,IMDB_Movies!Q$2:Q$3493)</f>
        <v>758291</v>
      </c>
      <c r="E1894" s="24" t="s">
        <v>6405</v>
      </c>
      <c r="F1894" s="36">
        <f t="array" ref="F1894">XLOOKUP(A1894,IMDB_Movies!I$2:I$3493,IMDB_Movies!P$2:P$3493)</f>
        <v>0</v>
      </c>
    </row>
    <row r="1895">
      <c r="A1895" s="16" t="s">
        <v>6408</v>
      </c>
      <c r="B1895" s="35">
        <f t="array" ref="B1895">XLOOKUP(A1895,IMDB_Movies!I$2:I$3493,IMDB_Movies!Q$2:Q$3493)</f>
        <v>0</v>
      </c>
      <c r="E1895" s="16" t="s">
        <v>6408</v>
      </c>
      <c r="F1895" s="36">
        <f t="array" ref="F1895">XLOOKUP(A1895,IMDB_Movies!I$2:I$3493,IMDB_Movies!P$2:P$3493)</f>
        <v>2822418</v>
      </c>
    </row>
    <row r="1896">
      <c r="A1896" s="16" t="s">
        <v>6411</v>
      </c>
      <c r="B1896" s="35">
        <f t="array" ref="B1896">XLOOKUP(A1896,IMDB_Movies!I$2:I$3493,IMDB_Movies!Q$2:Q$3493)</f>
        <v>0</v>
      </c>
      <c r="E1896" s="16" t="s">
        <v>6411</v>
      </c>
      <c r="F1896" s="36">
        <f t="array" ref="F1896">XLOOKUP(A1896,IMDB_Movies!I$2:I$3493,IMDB_Movies!P$2:P$3493)</f>
        <v>14880476</v>
      </c>
    </row>
    <row r="1897">
      <c r="A1897" s="20" t="s">
        <v>6416</v>
      </c>
      <c r="B1897" s="35">
        <f t="array" ref="B1897">XLOOKUP(A1897,IMDB_Movies!I$2:I$3493,IMDB_Movies!Q$2:Q$3493)</f>
        <v>3508650</v>
      </c>
      <c r="E1897" s="20" t="s">
        <v>6416</v>
      </c>
      <c r="F1897" s="36">
        <f t="array" ref="F1897">XLOOKUP(A1897,IMDB_Movies!I$2:I$3493,IMDB_Movies!P$2:P$3493)</f>
        <v>0</v>
      </c>
    </row>
    <row r="1898">
      <c r="A1898" s="24" t="s">
        <v>6418</v>
      </c>
      <c r="B1898" s="35">
        <f t="array" ref="B1898">XLOOKUP(A1898,IMDB_Movies!I$2:I$3493,IMDB_Movies!Q$2:Q$3493)</f>
        <v>0</v>
      </c>
      <c r="E1898" s="24" t="s">
        <v>6418</v>
      </c>
      <c r="F1898" s="36">
        <f t="array" ref="F1898">XLOOKUP(A1898,IMDB_Movies!I$2:I$3493,IMDB_Movies!P$2:P$3493)</f>
        <v>32860214</v>
      </c>
    </row>
    <row r="1899">
      <c r="A1899" s="24" t="s">
        <v>6422</v>
      </c>
      <c r="B1899" s="35">
        <f t="array" ref="B1899">XLOOKUP(A1899,IMDB_Movies!I$2:I$3493,IMDB_Movies!Q$2:Q$3493)</f>
        <v>0</v>
      </c>
      <c r="E1899" s="24" t="s">
        <v>6422</v>
      </c>
      <c r="F1899" s="36">
        <f t="array" ref="F1899">XLOOKUP(A1899,IMDB_Movies!I$2:I$3493,IMDB_Movies!P$2:P$3493)</f>
        <v>165429</v>
      </c>
    </row>
    <row r="1900">
      <c r="A1900" s="11" t="s">
        <v>6426</v>
      </c>
      <c r="B1900" s="35">
        <f t="array" ref="B1900">XLOOKUP(A1900,IMDB_Movies!I$2:I$3493,IMDB_Movies!Q$2:Q$3493)</f>
        <v>3856347</v>
      </c>
      <c r="E1900" s="11" t="s">
        <v>6426</v>
      </c>
      <c r="F1900" s="36">
        <f t="array" ref="F1900">XLOOKUP(A1900,IMDB_Movies!I$2:I$3493,IMDB_Movies!P$2:P$3493)</f>
        <v>0</v>
      </c>
    </row>
    <row r="1901">
      <c r="A1901" s="20" t="s">
        <v>6431</v>
      </c>
      <c r="B1901" s="35">
        <f t="array" ref="B1901">XLOOKUP(A1901,IMDB_Movies!I$2:I$3493,IMDB_Movies!Q$2:Q$3493)</f>
        <v>35962961</v>
      </c>
      <c r="E1901" s="20" t="s">
        <v>6431</v>
      </c>
      <c r="F1901" s="36">
        <f t="array" ref="F1901">XLOOKUP(A1901,IMDB_Movies!I$2:I$3493,IMDB_Movies!P$2:P$3493)</f>
        <v>0</v>
      </c>
    </row>
    <row r="1902">
      <c r="A1902" s="24" t="s">
        <v>6433</v>
      </c>
      <c r="B1902" s="35">
        <f t="array" ref="B1902">XLOOKUP(A1902,IMDB_Movies!I$2:I$3493,IMDB_Movies!Q$2:Q$3493)</f>
        <v>1459475</v>
      </c>
      <c r="E1902" s="24" t="s">
        <v>6433</v>
      </c>
      <c r="F1902" s="36">
        <f t="array" ref="F1902">XLOOKUP(A1902,IMDB_Movies!I$2:I$3493,IMDB_Movies!P$2:P$3493)</f>
        <v>0</v>
      </c>
    </row>
    <row r="1903">
      <c r="A1903" s="20" t="s">
        <v>6436</v>
      </c>
      <c r="B1903" s="35">
        <f t="array" ref="B1903">XLOOKUP(A1903,IMDB_Movies!I$2:I$3493,IMDB_Movies!Q$2:Q$3493)</f>
        <v>34636971</v>
      </c>
      <c r="E1903" s="20" t="s">
        <v>6436</v>
      </c>
      <c r="F1903" s="36">
        <f t="array" ref="F1903">XLOOKUP(A1903,IMDB_Movies!I$2:I$3493,IMDB_Movies!P$2:P$3493)</f>
        <v>0</v>
      </c>
    </row>
    <row r="1904">
      <c r="A1904" s="11" t="s">
        <v>6441</v>
      </c>
      <c r="B1904" s="35">
        <f t="array" ref="B1904">XLOOKUP(A1904,IMDB_Movies!I$2:I$3493,IMDB_Movies!Q$2:Q$3493)</f>
        <v>0</v>
      </c>
      <c r="E1904" s="11" t="s">
        <v>6441</v>
      </c>
      <c r="F1904" s="36">
        <f t="array" ref="F1904">XLOOKUP(A1904,IMDB_Movies!I$2:I$3493,IMDB_Movies!P$2:P$3493)</f>
        <v>4247405</v>
      </c>
    </row>
    <row r="1905">
      <c r="A1905" s="11" t="s">
        <v>6444</v>
      </c>
      <c r="B1905" s="35">
        <f t="array" ref="B1905">XLOOKUP(A1905,IMDB_Movies!I$2:I$3493,IMDB_Movies!Q$2:Q$3493)</f>
        <v>24745828</v>
      </c>
      <c r="E1905" s="11" t="s">
        <v>6444</v>
      </c>
      <c r="F1905" s="36">
        <f t="array" ref="F1905">XLOOKUP(A1905,IMDB_Movies!I$2:I$3493,IMDB_Movies!P$2:P$3493)</f>
        <v>0</v>
      </c>
    </row>
    <row r="1906">
      <c r="A1906" s="28" t="s">
        <v>6447</v>
      </c>
      <c r="B1906" s="35">
        <f t="array" ref="B1906">XLOOKUP(A1906,IMDB_Movies!I$2:I$3493,IMDB_Movies!Q$2:Q$3493)</f>
        <v>0</v>
      </c>
      <c r="E1906" s="28" t="s">
        <v>6447</v>
      </c>
      <c r="F1906" s="36">
        <f t="array" ref="F1906">XLOOKUP(A1906,IMDB_Movies!I$2:I$3493,IMDB_Movies!P$2:P$3493)</f>
        <v>174084951</v>
      </c>
    </row>
    <row r="1907">
      <c r="A1907" s="11" t="s">
        <v>6450</v>
      </c>
      <c r="B1907" s="35">
        <f t="array" ref="B1907">XLOOKUP(A1907,IMDB_Movies!I$2:I$3493,IMDB_Movies!Q$2:Q$3493)</f>
        <v>0</v>
      </c>
      <c r="E1907" s="11" t="s">
        <v>6450</v>
      </c>
      <c r="F1907" s="36">
        <f t="array" ref="F1907">XLOOKUP(A1907,IMDB_Movies!I$2:I$3493,IMDB_Movies!P$2:P$3493)</f>
        <v>27410049</v>
      </c>
    </row>
    <row r="1908">
      <c r="A1908" s="32" t="s">
        <v>6452</v>
      </c>
      <c r="B1908" s="35">
        <f t="array" ref="B1908">XLOOKUP(A1908,IMDB_Movies!I$2:I$3493,IMDB_Movies!Q$2:Q$3493)</f>
        <v>904547</v>
      </c>
      <c r="E1908" s="32" t="s">
        <v>6452</v>
      </c>
      <c r="F1908" s="36">
        <f t="array" ref="F1908">XLOOKUP(A1908,IMDB_Movies!I$2:I$3493,IMDB_Movies!P$2:P$3493)</f>
        <v>0</v>
      </c>
    </row>
    <row r="1909">
      <c r="A1909" s="24" t="s">
        <v>6454</v>
      </c>
      <c r="B1909" s="35">
        <f t="array" ref="B1909">XLOOKUP(A1909,IMDB_Movies!I$2:I$3493,IMDB_Movies!Q$2:Q$3493)</f>
        <v>4236531</v>
      </c>
      <c r="E1909" s="24" t="s">
        <v>6454</v>
      </c>
      <c r="F1909" s="36">
        <f t="array" ref="F1909">XLOOKUP(A1909,IMDB_Movies!I$2:I$3493,IMDB_Movies!P$2:P$3493)</f>
        <v>0</v>
      </c>
    </row>
    <row r="1910">
      <c r="A1910" s="16" t="s">
        <v>6456</v>
      </c>
      <c r="B1910" s="35">
        <f t="array" ref="B1910">XLOOKUP(A1910,IMDB_Movies!I$2:I$3493,IMDB_Movies!Q$2:Q$3493)</f>
        <v>0</v>
      </c>
      <c r="E1910" s="16" t="s">
        <v>6456</v>
      </c>
      <c r="F1910" s="36">
        <f t="array" ref="F1910">XLOOKUP(A1910,IMDB_Movies!I$2:I$3493,IMDB_Movies!P$2:P$3493)</f>
        <v>93952327</v>
      </c>
    </row>
    <row r="1911">
      <c r="A1911" s="11" t="s">
        <v>6459</v>
      </c>
      <c r="B1911" s="35">
        <f t="array" ref="B1911">XLOOKUP(A1911,IMDB_Movies!I$2:I$3493,IMDB_Movies!Q$2:Q$3493)</f>
        <v>0</v>
      </c>
      <c r="E1911" s="11" t="s">
        <v>6459</v>
      </c>
      <c r="F1911" s="36">
        <f t="array" ref="F1911">XLOOKUP(A1911,IMDB_Movies!I$2:I$3493,IMDB_Movies!P$2:P$3493)</f>
        <v>123001229</v>
      </c>
    </row>
    <row r="1912">
      <c r="A1912" s="28" t="s">
        <v>6461</v>
      </c>
      <c r="B1912" s="35">
        <f t="array" ref="B1912">XLOOKUP(A1912,IMDB_Movies!I$2:I$3493,IMDB_Movies!Q$2:Q$3493)</f>
        <v>0</v>
      </c>
      <c r="E1912" s="28" t="s">
        <v>6461</v>
      </c>
      <c r="F1912" s="36">
        <f t="array" ref="F1912">XLOOKUP(A1912,IMDB_Movies!I$2:I$3493,IMDB_Movies!P$2:P$3493)</f>
        <v>133031347</v>
      </c>
    </row>
    <row r="1913">
      <c r="A1913" s="16" t="s">
        <v>6463</v>
      </c>
      <c r="B1913" s="35">
        <f t="array" ref="B1913">XLOOKUP(A1913,IMDB_Movies!I$2:I$3493,IMDB_Movies!Q$2:Q$3493)</f>
        <v>14794657</v>
      </c>
      <c r="E1913" s="16" t="s">
        <v>6463</v>
      </c>
      <c r="F1913" s="36">
        <f t="array" ref="F1913">XLOOKUP(A1913,IMDB_Movies!I$2:I$3493,IMDB_Movies!P$2:P$3493)</f>
        <v>0</v>
      </c>
    </row>
    <row r="1914">
      <c r="A1914" s="16" t="s">
        <v>6467</v>
      </c>
      <c r="B1914" s="35">
        <f t="array" ref="B1914">XLOOKUP(A1914,IMDB_Movies!I$2:I$3493,IMDB_Movies!Q$2:Q$3493)</f>
        <v>113700</v>
      </c>
      <c r="E1914" s="16" t="s">
        <v>6467</v>
      </c>
      <c r="F1914" s="36">
        <f t="array" ref="F1914">XLOOKUP(A1914,IMDB_Movies!I$2:I$3493,IMDB_Movies!P$2:P$3493)</f>
        <v>0</v>
      </c>
    </row>
    <row r="1915">
      <c r="A1915" s="28" t="s">
        <v>6469</v>
      </c>
      <c r="B1915" s="35">
        <f t="array" ref="B1915">XLOOKUP(A1915,IMDB_Movies!I$2:I$3493,IMDB_Movies!Q$2:Q$3493)</f>
        <v>16939434</v>
      </c>
      <c r="E1915" s="28" t="s">
        <v>6469</v>
      </c>
      <c r="F1915" s="36">
        <f t="array" ref="F1915">XLOOKUP(A1915,IMDB_Movies!I$2:I$3493,IMDB_Movies!P$2:P$3493)</f>
        <v>0</v>
      </c>
    </row>
    <row r="1916">
      <c r="A1916" s="20" t="s">
        <v>6472</v>
      </c>
      <c r="B1916" s="35">
        <f t="array" ref="B1916">XLOOKUP(A1916,IMDB_Movies!I$2:I$3493,IMDB_Movies!Q$2:Q$3493)</f>
        <v>0</v>
      </c>
      <c r="E1916" s="20" t="s">
        <v>6472</v>
      </c>
      <c r="F1916" s="36">
        <f t="array" ref="F1916">XLOOKUP(A1916,IMDB_Movies!I$2:I$3493,IMDB_Movies!P$2:P$3493)</f>
        <v>1043445</v>
      </c>
    </row>
    <row r="1917">
      <c r="A1917" s="16" t="s">
        <v>6474</v>
      </c>
      <c r="B1917" s="35">
        <f t="array" ref="B1917">XLOOKUP(A1917,IMDB_Movies!I$2:I$3493,IMDB_Movies!Q$2:Q$3493)</f>
        <v>0</v>
      </c>
      <c r="E1917" s="16" t="s">
        <v>6474</v>
      </c>
      <c r="F1917" s="36">
        <f t="array" ref="F1917">XLOOKUP(A1917,IMDB_Movies!I$2:I$3493,IMDB_Movies!P$2:P$3493)</f>
        <v>74067179</v>
      </c>
    </row>
    <row r="1918">
      <c r="A1918" s="28" t="s">
        <v>6477</v>
      </c>
      <c r="B1918" s="35">
        <f t="array" ref="B1918">XLOOKUP(A1918,IMDB_Movies!I$2:I$3493,IMDB_Movies!Q$2:Q$3493)</f>
        <v>0</v>
      </c>
      <c r="E1918" s="28" t="s">
        <v>6477</v>
      </c>
      <c r="F1918" s="36">
        <f t="array" ref="F1918">XLOOKUP(A1918,IMDB_Movies!I$2:I$3493,IMDB_Movies!P$2:P$3493)</f>
        <v>18531390</v>
      </c>
    </row>
    <row r="1919">
      <c r="A1919" s="20" t="s">
        <v>6480</v>
      </c>
      <c r="B1919" s="35">
        <f t="array" ref="B1919">XLOOKUP(A1919,IMDB_Movies!I$2:I$3493,IMDB_Movies!Q$2:Q$3493)</f>
        <v>4962560</v>
      </c>
      <c r="E1919" s="20" t="s">
        <v>6480</v>
      </c>
      <c r="F1919" s="36">
        <f t="array" ref="F1919">XLOOKUP(A1919,IMDB_Movies!I$2:I$3493,IMDB_Movies!P$2:P$3493)</f>
        <v>0</v>
      </c>
    </row>
    <row r="1920">
      <c r="A1920" s="11" t="s">
        <v>6483</v>
      </c>
      <c r="B1920" s="35">
        <f t="array" ref="B1920">XLOOKUP(A1920,IMDB_Movies!I$2:I$3493,IMDB_Movies!Q$2:Q$3493)</f>
        <v>0</v>
      </c>
      <c r="E1920" s="11" t="s">
        <v>6483</v>
      </c>
      <c r="F1920" s="36">
        <f t="array" ref="F1920">XLOOKUP(A1920,IMDB_Movies!I$2:I$3493,IMDB_Movies!P$2:P$3493)</f>
        <v>145592590</v>
      </c>
    </row>
    <row r="1921">
      <c r="A1921" s="32" t="s">
        <v>6485</v>
      </c>
      <c r="B1921" s="35">
        <f t="array" ref="B1921">XLOOKUP(A1921,IMDB_Movies!I$2:I$3493,IMDB_Movies!Q$2:Q$3493)</f>
        <v>0</v>
      </c>
      <c r="E1921" s="32" t="s">
        <v>6485</v>
      </c>
      <c r="F1921" s="36">
        <f t="array" ref="F1921">XLOOKUP(A1921,IMDB_Movies!I$2:I$3493,IMDB_Movies!P$2:P$3493)</f>
        <v>53270259</v>
      </c>
    </row>
    <row r="1922">
      <c r="A1922" s="11" t="s">
        <v>6488</v>
      </c>
      <c r="B1922" s="35">
        <f t="array" ref="B1922">XLOOKUP(A1922,IMDB_Movies!I$2:I$3493,IMDB_Movies!Q$2:Q$3493)</f>
        <v>0</v>
      </c>
      <c r="E1922" s="11" t="s">
        <v>6488</v>
      </c>
      <c r="F1922" s="36">
        <f t="array" ref="F1922">XLOOKUP(A1922,IMDB_Movies!I$2:I$3493,IMDB_Movies!P$2:P$3493)</f>
        <v>50263257</v>
      </c>
    </row>
    <row r="1923">
      <c r="A1923" s="11" t="s">
        <v>6492</v>
      </c>
      <c r="B1923" s="35">
        <f t="array" ref="B1923">XLOOKUP(A1923,IMDB_Movies!I$2:I$3493,IMDB_Movies!Q$2:Q$3493)</f>
        <v>3242913</v>
      </c>
      <c r="E1923" s="11" t="s">
        <v>6492</v>
      </c>
      <c r="F1923" s="36">
        <f t="array" ref="F1923">XLOOKUP(A1923,IMDB_Movies!I$2:I$3493,IMDB_Movies!P$2:P$3493)</f>
        <v>0</v>
      </c>
    </row>
    <row r="1924">
      <c r="A1924" s="11" t="s">
        <v>6497</v>
      </c>
      <c r="B1924" s="35">
        <f t="array" ref="B1924">XLOOKUP(A1924,IMDB_Movies!I$2:I$3493,IMDB_Movies!Q$2:Q$3493)</f>
        <v>89809438</v>
      </c>
      <c r="E1924" s="11" t="s">
        <v>6497</v>
      </c>
      <c r="F1924" s="36">
        <f t="array" ref="F1924">XLOOKUP(A1924,IMDB_Movies!I$2:I$3493,IMDB_Movies!P$2:P$3493)</f>
        <v>0</v>
      </c>
    </row>
    <row r="1925">
      <c r="A1925" s="24" t="s">
        <v>6500</v>
      </c>
      <c r="B1925" s="35">
        <f t="array" ref="B1925">XLOOKUP(A1925,IMDB_Movies!I$2:I$3493,IMDB_Movies!Q$2:Q$3493)</f>
        <v>0</v>
      </c>
      <c r="E1925" s="24" t="s">
        <v>6500</v>
      </c>
      <c r="F1925" s="36">
        <f t="array" ref="F1925">XLOOKUP(A1925,IMDB_Movies!I$2:I$3493,IMDB_Movies!P$2:P$3493)</f>
        <v>10984397</v>
      </c>
    </row>
    <row r="1926">
      <c r="A1926" s="11" t="s">
        <v>6505</v>
      </c>
      <c r="B1926" s="35">
        <f t="array" ref="B1926">XLOOKUP(A1926,IMDB_Movies!I$2:I$3493,IMDB_Movies!Q$2:Q$3493)</f>
        <v>989962610</v>
      </c>
      <c r="E1926" s="11" t="s">
        <v>6505</v>
      </c>
      <c r="F1926" s="36">
        <f t="array" ref="F1926">XLOOKUP(A1926,IMDB_Movies!I$2:I$3493,IMDB_Movies!P$2:P$3493)</f>
        <v>0</v>
      </c>
    </row>
    <row r="1927">
      <c r="A1927" s="24" t="s">
        <v>6508</v>
      </c>
      <c r="B1927" s="35">
        <f t="array" ref="B1927">XLOOKUP(A1927,IMDB_Movies!I$2:I$3493,IMDB_Movies!Q$2:Q$3493)</f>
        <v>0</v>
      </c>
      <c r="E1927" s="24" t="s">
        <v>6508</v>
      </c>
      <c r="F1927" s="36">
        <f t="array" ref="F1927">XLOOKUP(A1927,IMDB_Movies!I$2:I$3493,IMDB_Movies!P$2:P$3493)</f>
        <v>4158074</v>
      </c>
    </row>
    <row r="1928">
      <c r="A1928" s="28" t="s">
        <v>6510</v>
      </c>
      <c r="B1928" s="35">
        <f t="array" ref="B1928">XLOOKUP(A1928,IMDB_Movies!I$2:I$3493,IMDB_Movies!Q$2:Q$3493)</f>
        <v>0</v>
      </c>
      <c r="E1928" s="28" t="s">
        <v>6510</v>
      </c>
      <c r="F1928" s="36">
        <f t="array" ref="F1928">XLOOKUP(A1928,IMDB_Movies!I$2:I$3493,IMDB_Movies!P$2:P$3493)</f>
        <v>157358779</v>
      </c>
    </row>
    <row r="1929">
      <c r="A1929" s="32" t="s">
        <v>6513</v>
      </c>
      <c r="B1929" s="35">
        <f t="array" ref="B1929">XLOOKUP(A1929,IMDB_Movies!I$2:I$3493,IMDB_Movies!Q$2:Q$3493)</f>
        <v>0</v>
      </c>
      <c r="E1929" s="32" t="s">
        <v>6513</v>
      </c>
      <c r="F1929" s="36">
        <f t="array" ref="F1929">XLOOKUP(A1929,IMDB_Movies!I$2:I$3493,IMDB_Movies!P$2:P$3493)</f>
        <v>2808744</v>
      </c>
    </row>
    <row r="1930">
      <c r="A1930" s="20" t="s">
        <v>6516</v>
      </c>
      <c r="B1930" s="35">
        <f t="array" ref="B1930">XLOOKUP(A1930,IMDB_Movies!I$2:I$3493,IMDB_Movies!Q$2:Q$3493)</f>
        <v>0</v>
      </c>
      <c r="E1930" s="20" t="s">
        <v>6516</v>
      </c>
      <c r="F1930" s="36">
        <f t="array" ref="F1930">XLOOKUP(A1930,IMDB_Movies!I$2:I$3493,IMDB_Movies!P$2:P$3493)</f>
        <v>33338338</v>
      </c>
    </row>
    <row r="1931">
      <c r="A1931" s="11" t="s">
        <v>6518</v>
      </c>
      <c r="B1931" s="35">
        <f t="array" ref="B1931">XLOOKUP(A1931,IMDB_Movies!I$2:I$3493,IMDB_Movies!Q$2:Q$3493)</f>
        <v>0</v>
      </c>
      <c r="E1931" s="11" t="s">
        <v>6518</v>
      </c>
      <c r="F1931" s="36">
        <f t="array" ref="F1931">XLOOKUP(A1931,IMDB_Movies!I$2:I$3493,IMDB_Movies!P$2:P$3493)</f>
        <v>58353550</v>
      </c>
    </row>
    <row r="1932">
      <c r="A1932" s="28" t="s">
        <v>6522</v>
      </c>
      <c r="B1932" s="35">
        <f t="array" ref="B1932">XLOOKUP(A1932,IMDB_Movies!I$2:I$3493,IMDB_Movies!Q$2:Q$3493)</f>
        <v>0</v>
      </c>
      <c r="E1932" s="28" t="s">
        <v>6522</v>
      </c>
      <c r="F1932" s="36">
        <f t="array" ref="F1932">XLOOKUP(A1932,IMDB_Movies!I$2:I$3493,IMDB_Movies!P$2:P$3493)</f>
        <v>30537320</v>
      </c>
    </row>
    <row r="1933">
      <c r="A1933" s="28" t="s">
        <v>6526</v>
      </c>
      <c r="B1933" s="35">
        <f t="array" ref="B1933">XLOOKUP(A1933,IMDB_Movies!I$2:I$3493,IMDB_Movies!Q$2:Q$3493)</f>
        <v>3457140</v>
      </c>
      <c r="E1933" s="28" t="s">
        <v>6526</v>
      </c>
      <c r="F1933" s="36">
        <f t="array" ref="F1933">XLOOKUP(A1933,IMDB_Movies!I$2:I$3493,IMDB_Movies!P$2:P$3493)</f>
        <v>0</v>
      </c>
    </row>
    <row r="1934">
      <c r="A1934" s="24" t="s">
        <v>6531</v>
      </c>
      <c r="B1934" s="35">
        <f t="array" ref="B1934">XLOOKUP(A1934,IMDB_Movies!I$2:I$3493,IMDB_Movies!Q$2:Q$3493)</f>
        <v>6139597</v>
      </c>
      <c r="E1934" s="24" t="s">
        <v>6531</v>
      </c>
      <c r="F1934" s="36">
        <f t="array" ref="F1934">XLOOKUP(A1934,IMDB_Movies!I$2:I$3493,IMDB_Movies!P$2:P$3493)</f>
        <v>0</v>
      </c>
    </row>
    <row r="1935">
      <c r="A1935" s="11" t="s">
        <v>6534</v>
      </c>
      <c r="B1935" s="35">
        <f t="array" ref="B1935">XLOOKUP(A1935,IMDB_Movies!I$2:I$3493,IMDB_Movies!Q$2:Q$3493)</f>
        <v>6433363</v>
      </c>
      <c r="E1935" s="11" t="s">
        <v>6534</v>
      </c>
      <c r="F1935" s="36">
        <f t="array" ref="F1935">XLOOKUP(A1935,IMDB_Movies!I$2:I$3493,IMDB_Movies!P$2:P$3493)</f>
        <v>0</v>
      </c>
    </row>
    <row r="1936">
      <c r="A1936" s="28" t="s">
        <v>6536</v>
      </c>
      <c r="B1936" s="35">
        <f t="array" ref="B1936">XLOOKUP(A1936,IMDB_Movies!I$2:I$3493,IMDB_Movies!Q$2:Q$3493)</f>
        <v>4556684</v>
      </c>
      <c r="E1936" s="28" t="s">
        <v>6536</v>
      </c>
      <c r="F1936" s="36">
        <f t="array" ref="F1936">XLOOKUP(A1936,IMDB_Movies!I$2:I$3493,IMDB_Movies!P$2:P$3493)</f>
        <v>0</v>
      </c>
    </row>
    <row r="1937">
      <c r="A1937" s="24" t="s">
        <v>6538</v>
      </c>
      <c r="B1937" s="35">
        <f t="array" ref="B1937">XLOOKUP(A1937,IMDB_Movies!I$2:I$3493,IMDB_Movies!Q$2:Q$3493)</f>
        <v>0</v>
      </c>
      <c r="E1937" s="24" t="s">
        <v>6538</v>
      </c>
      <c r="F1937" s="36">
        <f t="array" ref="F1937">XLOOKUP(A1937,IMDB_Movies!I$2:I$3493,IMDB_Movies!P$2:P$3493)</f>
        <v>0</v>
      </c>
    </row>
    <row r="1938">
      <c r="A1938" s="24" t="s">
        <v>6542</v>
      </c>
      <c r="B1938" s="35">
        <f t="array" ref="B1938">XLOOKUP(A1938,IMDB_Movies!I$2:I$3493,IMDB_Movies!Q$2:Q$3493)</f>
        <v>7214368</v>
      </c>
      <c r="E1938" s="24" t="s">
        <v>6542</v>
      </c>
      <c r="F1938" s="36">
        <f t="array" ref="F1938">XLOOKUP(A1938,IMDB_Movies!I$2:I$3493,IMDB_Movies!P$2:P$3493)</f>
        <v>0</v>
      </c>
    </row>
    <row r="1939">
      <c r="A1939" s="11" t="s">
        <v>6544</v>
      </c>
      <c r="B1939" s="35">
        <f t="array" ref="B1939">XLOOKUP(A1939,IMDB_Movies!I$2:I$3493,IMDB_Movies!Q$2:Q$3493)</f>
        <v>0</v>
      </c>
      <c r="E1939" s="11" t="s">
        <v>6544</v>
      </c>
      <c r="F1939" s="36">
        <f t="array" ref="F1939">XLOOKUP(A1939,IMDB_Movies!I$2:I$3493,IMDB_Movies!P$2:P$3493)</f>
        <v>5613460</v>
      </c>
    </row>
    <row r="1940">
      <c r="A1940" s="11" t="s">
        <v>6546</v>
      </c>
      <c r="B1940" s="35">
        <f t="array" ref="B1940">XLOOKUP(A1940,IMDB_Movies!I$2:I$3493,IMDB_Movies!Q$2:Q$3493)</f>
        <v>0</v>
      </c>
      <c r="E1940" s="11" t="s">
        <v>6546</v>
      </c>
      <c r="F1940" s="36">
        <f t="array" ref="F1940">XLOOKUP(A1940,IMDB_Movies!I$2:I$3493,IMDB_Movies!P$2:P$3493)</f>
        <v>22652003</v>
      </c>
    </row>
    <row r="1941">
      <c r="A1941" s="24" t="s">
        <v>6548</v>
      </c>
      <c r="B1941" s="35">
        <f t="array" ref="B1941">XLOOKUP(A1941,IMDB_Movies!I$2:I$3493,IMDB_Movies!Q$2:Q$3493)</f>
        <v>0</v>
      </c>
      <c r="E1941" s="24" t="s">
        <v>6548</v>
      </c>
      <c r="F1941" s="36">
        <f t="array" ref="F1941">XLOOKUP(A1941,IMDB_Movies!I$2:I$3493,IMDB_Movies!P$2:P$3493)</f>
        <v>51208010</v>
      </c>
    </row>
    <row r="1942">
      <c r="A1942" s="11" t="s">
        <v>6550</v>
      </c>
      <c r="B1942" s="35">
        <f t="array" ref="B1942">XLOOKUP(A1942,IMDB_Movies!I$2:I$3493,IMDB_Movies!Q$2:Q$3493)</f>
        <v>861524</v>
      </c>
      <c r="E1942" s="11" t="s">
        <v>6550</v>
      </c>
      <c r="F1942" s="36">
        <f t="array" ref="F1942">XLOOKUP(A1942,IMDB_Movies!I$2:I$3493,IMDB_Movies!P$2:P$3493)</f>
        <v>0</v>
      </c>
    </row>
    <row r="1943">
      <c r="A1943" s="11" t="s">
        <v>6553</v>
      </c>
      <c r="B1943" s="35">
        <f t="array" ref="B1943">XLOOKUP(A1943,IMDB_Movies!I$2:I$3493,IMDB_Movies!Q$2:Q$3493)</f>
        <v>29500737</v>
      </c>
      <c r="E1943" s="11" t="s">
        <v>6553</v>
      </c>
      <c r="F1943" s="36">
        <f t="array" ref="F1943">XLOOKUP(A1943,IMDB_Movies!I$2:I$3493,IMDB_Movies!P$2:P$3493)</f>
        <v>0</v>
      </c>
    </row>
    <row r="1944">
      <c r="A1944" s="28" t="s">
        <v>6557</v>
      </c>
      <c r="B1944" s="35">
        <f t="array" ref="B1944">XLOOKUP(A1944,IMDB_Movies!I$2:I$3493,IMDB_Movies!Q$2:Q$3493)</f>
        <v>0</v>
      </c>
      <c r="E1944" s="28" t="s">
        <v>6557</v>
      </c>
      <c r="F1944" s="36">
        <f t="array" ref="F1944">XLOOKUP(A1944,IMDB_Movies!I$2:I$3493,IMDB_Movies!P$2:P$3493)</f>
        <v>55219395</v>
      </c>
    </row>
    <row r="1945">
      <c r="A1945" s="11" t="s">
        <v>6559</v>
      </c>
      <c r="B1945" s="35">
        <f t="array" ref="B1945">XLOOKUP(A1945,IMDB_Movies!I$2:I$3493,IMDB_Movies!Q$2:Q$3493)</f>
        <v>29565557</v>
      </c>
      <c r="E1945" s="11" t="s">
        <v>6559</v>
      </c>
      <c r="F1945" s="36">
        <f t="array" ref="F1945">XLOOKUP(A1945,IMDB_Movies!I$2:I$3493,IMDB_Movies!P$2:P$3493)</f>
        <v>0</v>
      </c>
    </row>
    <row r="1946">
      <c r="A1946" s="28" t="s">
        <v>6563</v>
      </c>
      <c r="B1946" s="35">
        <f t="array" ref="B1946">XLOOKUP(A1946,IMDB_Movies!I$2:I$3493,IMDB_Movies!Q$2:Q$3493)</f>
        <v>76985496</v>
      </c>
      <c r="E1946" s="28" t="s">
        <v>6563</v>
      </c>
      <c r="F1946" s="36">
        <f t="array" ref="F1946">XLOOKUP(A1946,IMDB_Movies!I$2:I$3493,IMDB_Movies!P$2:P$3493)</f>
        <v>0</v>
      </c>
    </row>
    <row r="1947">
      <c r="A1947" s="24" t="s">
        <v>6567</v>
      </c>
      <c r="B1947" s="35">
        <f t="array" ref="B1947">XLOOKUP(A1947,IMDB_Movies!I$2:I$3493,IMDB_Movies!Q$2:Q$3493)</f>
        <v>1294705</v>
      </c>
      <c r="E1947" s="24" t="s">
        <v>6567</v>
      </c>
      <c r="F1947" s="36">
        <f t="array" ref="F1947">XLOOKUP(A1947,IMDB_Movies!I$2:I$3493,IMDB_Movies!P$2:P$3493)</f>
        <v>0</v>
      </c>
    </row>
    <row r="1948">
      <c r="A1948" s="24" t="s">
        <v>6572</v>
      </c>
      <c r="B1948" s="35">
        <f t="array" ref="B1948">XLOOKUP(A1948,IMDB_Movies!I$2:I$3493,IMDB_Movies!Q$2:Q$3493)</f>
        <v>1336755</v>
      </c>
      <c r="E1948" s="24" t="s">
        <v>6572</v>
      </c>
      <c r="F1948" s="36">
        <f t="array" ref="F1948">XLOOKUP(A1948,IMDB_Movies!I$2:I$3493,IMDB_Movies!P$2:P$3493)</f>
        <v>0</v>
      </c>
    </row>
    <row r="1949">
      <c r="A1949" s="11" t="s">
        <v>6575</v>
      </c>
      <c r="B1949" s="35">
        <f t="array" ref="B1949">XLOOKUP(A1949,IMDB_Movies!I$2:I$3493,IMDB_Movies!Q$2:Q$3493)</f>
        <v>0</v>
      </c>
      <c r="E1949" s="11" t="s">
        <v>6575</v>
      </c>
      <c r="F1949" s="36">
        <f t="array" ref="F1949">XLOOKUP(A1949,IMDB_Movies!I$2:I$3493,IMDB_Movies!P$2:P$3493)</f>
        <v>851636</v>
      </c>
    </row>
    <row r="1950">
      <c r="A1950" s="24" t="s">
        <v>6578</v>
      </c>
      <c r="B1950" s="35">
        <f t="array" ref="B1950">XLOOKUP(A1950,IMDB_Movies!I$2:I$3493,IMDB_Movies!Q$2:Q$3493)</f>
        <v>0</v>
      </c>
      <c r="E1950" s="24" t="s">
        <v>6578</v>
      </c>
      <c r="F1950" s="36">
        <f t="array" ref="F1950">XLOOKUP(A1950,IMDB_Movies!I$2:I$3493,IMDB_Movies!P$2:P$3493)</f>
        <v>52163317</v>
      </c>
    </row>
    <row r="1951">
      <c r="A1951" s="24" t="s">
        <v>6581</v>
      </c>
      <c r="B1951" s="35">
        <f t="array" ref="B1951">XLOOKUP(A1951,IMDB_Movies!I$2:I$3493,IMDB_Movies!Q$2:Q$3493)</f>
        <v>32900538</v>
      </c>
      <c r="E1951" s="24" t="s">
        <v>6581</v>
      </c>
      <c r="F1951" s="36">
        <f t="array" ref="F1951">XLOOKUP(A1951,IMDB_Movies!I$2:I$3493,IMDB_Movies!P$2:P$3493)</f>
        <v>0</v>
      </c>
    </row>
    <row r="1952">
      <c r="A1952" s="20" t="s">
        <v>6583</v>
      </c>
      <c r="B1952" s="35">
        <f t="array" ref="B1952">XLOOKUP(A1952,IMDB_Movies!I$2:I$3493,IMDB_Movies!Q$2:Q$3493)</f>
        <v>0</v>
      </c>
      <c r="E1952" s="20" t="s">
        <v>6583</v>
      </c>
      <c r="F1952" s="36">
        <f t="array" ref="F1952">XLOOKUP(A1952,IMDB_Movies!I$2:I$3493,IMDB_Movies!P$2:P$3493)</f>
        <v>31261036</v>
      </c>
    </row>
    <row r="1953">
      <c r="A1953" s="16" t="s">
        <v>6585</v>
      </c>
      <c r="B1953" s="35">
        <f t="array" ref="B1953">XLOOKUP(A1953,IMDB_Movies!I$2:I$3493,IMDB_Movies!Q$2:Q$3493)</f>
        <v>19145306</v>
      </c>
      <c r="E1953" s="16" t="s">
        <v>6585</v>
      </c>
      <c r="F1953" s="36">
        <f t="array" ref="F1953">XLOOKUP(A1953,IMDB_Movies!I$2:I$3493,IMDB_Movies!P$2:P$3493)</f>
        <v>0</v>
      </c>
    </row>
    <row r="1954">
      <c r="A1954" s="20" t="s">
        <v>6590</v>
      </c>
      <c r="B1954" s="35">
        <f t="array" ref="B1954">XLOOKUP(A1954,IMDB_Movies!I$2:I$3493,IMDB_Movies!Q$2:Q$3493)</f>
        <v>0</v>
      </c>
      <c r="E1954" s="20" t="s">
        <v>6590</v>
      </c>
      <c r="F1954" s="36">
        <f t="array" ref="F1954">XLOOKUP(A1954,IMDB_Movies!I$2:I$3493,IMDB_Movies!P$2:P$3493)</f>
        <v>57096</v>
      </c>
    </row>
    <row r="1955">
      <c r="A1955" s="20" t="s">
        <v>6592</v>
      </c>
      <c r="B1955" s="35">
        <f t="array" ref="B1955">XLOOKUP(A1955,IMDB_Movies!I$2:I$3493,IMDB_Movies!Q$2:Q$3493)</f>
        <v>88214518</v>
      </c>
      <c r="E1955" s="20" t="s">
        <v>6592</v>
      </c>
      <c r="F1955" s="36">
        <f t="array" ref="F1955">XLOOKUP(A1955,IMDB_Movies!I$2:I$3493,IMDB_Movies!P$2:P$3493)</f>
        <v>0</v>
      </c>
    </row>
    <row r="1956">
      <c r="A1956" s="28" t="s">
        <v>6594</v>
      </c>
      <c r="B1956" s="35">
        <f t="array" ref="B1956">XLOOKUP(A1956,IMDB_Movies!I$2:I$3493,IMDB_Movies!Q$2:Q$3493)</f>
        <v>0</v>
      </c>
      <c r="E1956" s="28" t="s">
        <v>6594</v>
      </c>
      <c r="F1956" s="36">
        <f t="array" ref="F1956">XLOOKUP(A1956,IMDB_Movies!I$2:I$3493,IMDB_Movies!P$2:P$3493)</f>
        <v>3341469</v>
      </c>
    </row>
    <row r="1957">
      <c r="A1957" s="32" t="s">
        <v>6597</v>
      </c>
      <c r="B1957" s="35">
        <f t="array" ref="B1957">XLOOKUP(A1957,IMDB_Movies!I$2:I$3493,IMDB_Movies!Q$2:Q$3493)</f>
        <v>8573195</v>
      </c>
      <c r="E1957" s="32" t="s">
        <v>6597</v>
      </c>
      <c r="F1957" s="36">
        <f t="array" ref="F1957">XLOOKUP(A1957,IMDB_Movies!I$2:I$3493,IMDB_Movies!P$2:P$3493)</f>
        <v>0</v>
      </c>
    </row>
    <row r="1958">
      <c r="A1958" s="11" t="s">
        <v>6600</v>
      </c>
      <c r="B1958" s="35">
        <f t="array" ref="B1958">XLOOKUP(A1958,IMDB_Movies!I$2:I$3493,IMDB_Movies!Q$2:Q$3493)</f>
        <v>0</v>
      </c>
      <c r="E1958" s="11" t="s">
        <v>6600</v>
      </c>
      <c r="F1958" s="36">
        <f t="array" ref="F1958">XLOOKUP(A1958,IMDB_Movies!I$2:I$3493,IMDB_Movies!P$2:P$3493)</f>
        <v>292175</v>
      </c>
    </row>
    <row r="1959">
      <c r="A1959" s="11" t="s">
        <v>6604</v>
      </c>
      <c r="B1959" s="35">
        <f t="array" ref="B1959">XLOOKUP(A1959,IMDB_Movies!I$2:I$3493,IMDB_Movies!Q$2:Q$3493)</f>
        <v>0</v>
      </c>
      <c r="E1959" s="11" t="s">
        <v>6604</v>
      </c>
      <c r="F1959" s="36">
        <f t="array" ref="F1959">XLOOKUP(A1959,IMDB_Movies!I$2:I$3493,IMDB_Movies!P$2:P$3493)</f>
        <v>53856263</v>
      </c>
    </row>
    <row r="1960">
      <c r="A1960" s="32" t="s">
        <v>6606</v>
      </c>
      <c r="B1960" s="35">
        <f t="array" ref="B1960">XLOOKUP(A1960,IMDB_Movies!I$2:I$3493,IMDB_Movies!Q$2:Q$3493)</f>
        <v>3917956</v>
      </c>
      <c r="E1960" s="32" t="s">
        <v>6606</v>
      </c>
      <c r="F1960" s="36">
        <f t="array" ref="F1960">XLOOKUP(A1960,IMDB_Movies!I$2:I$3493,IMDB_Movies!P$2:P$3493)</f>
        <v>0</v>
      </c>
    </row>
    <row r="1961">
      <c r="A1961" s="11" t="s">
        <v>6609</v>
      </c>
      <c r="B1961" s="35">
        <f t="array" ref="B1961">XLOOKUP(A1961,IMDB_Movies!I$2:I$3493,IMDB_Movies!Q$2:Q$3493)</f>
        <v>0</v>
      </c>
      <c r="E1961" s="11" t="s">
        <v>6609</v>
      </c>
      <c r="F1961" s="36">
        <f t="array" ref="F1961">XLOOKUP(A1961,IMDB_Movies!I$2:I$3493,IMDB_Movies!P$2:P$3493)</f>
        <v>12918501</v>
      </c>
    </row>
    <row r="1962">
      <c r="A1962" s="20" t="s">
        <v>6612</v>
      </c>
      <c r="B1962" s="35">
        <f t="array" ref="B1962">XLOOKUP(A1962,IMDB_Movies!I$2:I$3493,IMDB_Movies!Q$2:Q$3493)</f>
        <v>4671063</v>
      </c>
      <c r="E1962" s="20" t="s">
        <v>6612</v>
      </c>
      <c r="F1962" s="36">
        <f t="array" ref="F1962">XLOOKUP(A1962,IMDB_Movies!I$2:I$3493,IMDB_Movies!P$2:P$3493)</f>
        <v>0</v>
      </c>
    </row>
    <row r="1963">
      <c r="A1963" s="20" t="s">
        <v>6616</v>
      </c>
      <c r="B1963" s="35">
        <f t="array" ref="B1963">XLOOKUP(A1963,IMDB_Movies!I$2:I$3493,IMDB_Movies!Q$2:Q$3493)</f>
        <v>0</v>
      </c>
      <c r="E1963" s="20" t="s">
        <v>6616</v>
      </c>
      <c r="F1963" s="36">
        <f t="array" ref="F1963">XLOOKUP(A1963,IMDB_Movies!I$2:I$3493,IMDB_Movies!P$2:P$3493)</f>
        <v>17112929</v>
      </c>
    </row>
    <row r="1964">
      <c r="A1964" s="20" t="s">
        <v>6618</v>
      </c>
      <c r="B1964" s="35">
        <f t="array" ref="B1964">XLOOKUP(A1964,IMDB_Movies!I$2:I$3493,IMDB_Movies!Q$2:Q$3493)</f>
        <v>0</v>
      </c>
      <c r="E1964" s="20" t="s">
        <v>6618</v>
      </c>
      <c r="F1964" s="36">
        <f t="array" ref="F1964">XLOOKUP(A1964,IMDB_Movies!I$2:I$3493,IMDB_Movies!P$2:P$3493)</f>
        <v>329466</v>
      </c>
    </row>
    <row r="1965">
      <c r="A1965" s="11" t="s">
        <v>6620</v>
      </c>
      <c r="B1965" s="35">
        <f t="array" ref="B1965">XLOOKUP(A1965,IMDB_Movies!I$2:I$3493,IMDB_Movies!Q$2:Q$3493)</f>
        <v>0</v>
      </c>
      <c r="E1965" s="11" t="s">
        <v>6620</v>
      </c>
      <c r="F1965" s="36">
        <f t="array" ref="F1965">XLOOKUP(A1965,IMDB_Movies!I$2:I$3493,IMDB_Movies!P$2:P$3493)</f>
        <v>12550960</v>
      </c>
    </row>
    <row r="1966">
      <c r="A1966" s="32" t="s">
        <v>6622</v>
      </c>
      <c r="B1966" s="35">
        <f t="array" ref="B1966">XLOOKUP(A1966,IMDB_Movies!I$2:I$3493,IMDB_Movies!Q$2:Q$3493)</f>
        <v>14230040</v>
      </c>
      <c r="E1966" s="32" t="s">
        <v>6622</v>
      </c>
      <c r="F1966" s="36">
        <f t="array" ref="F1966">XLOOKUP(A1966,IMDB_Movies!I$2:I$3493,IMDB_Movies!P$2:P$3493)</f>
        <v>0</v>
      </c>
    </row>
    <row r="1967">
      <c r="A1967" s="16" t="s">
        <v>6625</v>
      </c>
      <c r="B1967" s="35">
        <f t="array" ref="B1967">XLOOKUP(A1967,IMDB_Movies!I$2:I$3493,IMDB_Movies!Q$2:Q$3493)</f>
        <v>9906393</v>
      </c>
      <c r="E1967" s="16" t="s">
        <v>6625</v>
      </c>
      <c r="F1967" s="36">
        <f t="array" ref="F1967">XLOOKUP(A1967,IMDB_Movies!I$2:I$3493,IMDB_Movies!P$2:P$3493)</f>
        <v>0</v>
      </c>
    </row>
    <row r="1968">
      <c r="A1968" s="20" t="s">
        <v>6627</v>
      </c>
      <c r="B1968" s="35">
        <f t="array" ref="B1968">XLOOKUP(A1968,IMDB_Movies!I$2:I$3493,IMDB_Movies!Q$2:Q$3493)</f>
        <v>0</v>
      </c>
      <c r="E1968" s="20" t="s">
        <v>6627</v>
      </c>
      <c r="F1968" s="36">
        <f t="array" ref="F1968">XLOOKUP(A1968,IMDB_Movies!I$2:I$3493,IMDB_Movies!P$2:P$3493)</f>
        <v>42357453</v>
      </c>
    </row>
    <row r="1969">
      <c r="A1969" s="28" t="s">
        <v>6630</v>
      </c>
      <c r="B1969" s="35">
        <f t="array" ref="B1969">XLOOKUP(A1969,IMDB_Movies!I$2:I$3493,IMDB_Movies!Q$2:Q$3493)</f>
        <v>0</v>
      </c>
      <c r="E1969" s="28" t="s">
        <v>6630</v>
      </c>
      <c r="F1969" s="36">
        <f t="array" ref="F1969">XLOOKUP(A1969,IMDB_Movies!I$2:I$3493,IMDB_Movies!P$2:P$3493)</f>
        <v>6876974</v>
      </c>
    </row>
    <row r="1970">
      <c r="A1970" s="28" t="s">
        <v>6632</v>
      </c>
      <c r="B1970" s="35">
        <f t="array" ref="B1970">XLOOKUP(A1970,IMDB_Movies!I$2:I$3493,IMDB_Movies!Q$2:Q$3493)</f>
        <v>0</v>
      </c>
      <c r="E1970" s="28" t="s">
        <v>6632</v>
      </c>
      <c r="F1970" s="36">
        <f t="array" ref="F1970">XLOOKUP(A1970,IMDB_Movies!I$2:I$3493,IMDB_Movies!P$2:P$3493)</f>
        <v>14365105</v>
      </c>
    </row>
    <row r="1971">
      <c r="A1971" s="24" t="s">
        <v>6634</v>
      </c>
      <c r="B1971" s="35">
        <f t="array" ref="B1971">XLOOKUP(A1971,IMDB_Movies!I$2:I$3493,IMDB_Movies!Q$2:Q$3493)</f>
        <v>0</v>
      </c>
      <c r="E1971" s="24" t="s">
        <v>6634</v>
      </c>
      <c r="F1971" s="36">
        <f t="array" ref="F1971">XLOOKUP(A1971,IMDB_Movies!I$2:I$3493,IMDB_Movies!P$2:P$3493)</f>
        <v>197756197</v>
      </c>
    </row>
    <row r="1972">
      <c r="A1972" s="28" t="s">
        <v>6637</v>
      </c>
      <c r="B1972" s="35">
        <f t="array" ref="B1972">XLOOKUP(A1972,IMDB_Movies!I$2:I$3493,IMDB_Movies!Q$2:Q$3493)</f>
        <v>0</v>
      </c>
      <c r="E1972" s="28" t="s">
        <v>6637</v>
      </c>
      <c r="F1972" s="36">
        <f t="array" ref="F1972">XLOOKUP(A1972,IMDB_Movies!I$2:I$3493,IMDB_Movies!P$2:P$3493)</f>
        <v>3325872</v>
      </c>
    </row>
    <row r="1973">
      <c r="A1973" s="11" t="s">
        <v>6640</v>
      </c>
      <c r="B1973" s="35">
        <f t="array" ref="B1973">XLOOKUP(A1973,IMDB_Movies!I$2:I$3493,IMDB_Movies!Q$2:Q$3493)</f>
        <v>0</v>
      </c>
      <c r="E1973" s="11" t="s">
        <v>6640</v>
      </c>
      <c r="F1973" s="36">
        <f t="array" ref="F1973">XLOOKUP(A1973,IMDB_Movies!I$2:I$3493,IMDB_Movies!P$2:P$3493)</f>
        <v>96308900</v>
      </c>
    </row>
    <row r="1974">
      <c r="A1974" s="11" t="s">
        <v>6643</v>
      </c>
      <c r="B1974" s="35">
        <f t="array" ref="B1974">XLOOKUP(A1974,IMDB_Movies!I$2:I$3493,IMDB_Movies!Q$2:Q$3493)</f>
        <v>0</v>
      </c>
      <c r="E1974" s="11" t="s">
        <v>6643</v>
      </c>
      <c r="F1974" s="36">
        <f t="array" ref="F1974">XLOOKUP(A1974,IMDB_Movies!I$2:I$3493,IMDB_Movies!P$2:P$3493)</f>
        <v>51990286</v>
      </c>
    </row>
    <row r="1975">
      <c r="A1975" s="24" t="s">
        <v>6647</v>
      </c>
      <c r="B1975" s="35">
        <f t="array" ref="B1975">XLOOKUP(A1975,IMDB_Movies!I$2:I$3493,IMDB_Movies!Q$2:Q$3493)</f>
        <v>0</v>
      </c>
      <c r="E1975" s="24" t="s">
        <v>6647</v>
      </c>
      <c r="F1975" s="36">
        <f t="array" ref="F1975">XLOOKUP(A1975,IMDB_Movies!I$2:I$3493,IMDB_Movies!P$2:P$3493)</f>
        <v>31726644</v>
      </c>
    </row>
    <row r="1976">
      <c r="A1976" s="11" t="s">
        <v>6650</v>
      </c>
      <c r="B1976" s="35">
        <f t="array" ref="B1976">XLOOKUP(A1976,IMDB_Movies!I$2:I$3493,IMDB_Movies!Q$2:Q$3493)</f>
        <v>6135658</v>
      </c>
      <c r="E1976" s="11" t="s">
        <v>6650</v>
      </c>
      <c r="F1976" s="36">
        <f t="array" ref="F1976">XLOOKUP(A1976,IMDB_Movies!I$2:I$3493,IMDB_Movies!P$2:P$3493)</f>
        <v>0</v>
      </c>
    </row>
    <row r="1977">
      <c r="A1977" s="20" t="s">
        <v>6653</v>
      </c>
      <c r="B1977" s="35">
        <f t="array" ref="B1977">XLOOKUP(A1977,IMDB_Movies!I$2:I$3493,IMDB_Movies!Q$2:Q$3493)</f>
        <v>2325000</v>
      </c>
      <c r="E1977" s="20" t="s">
        <v>6653</v>
      </c>
      <c r="F1977" s="36">
        <f t="array" ref="F1977">XLOOKUP(A1977,IMDB_Movies!I$2:I$3493,IMDB_Movies!P$2:P$3493)</f>
        <v>0</v>
      </c>
    </row>
    <row r="1978">
      <c r="A1978" s="11" t="s">
        <v>6655</v>
      </c>
      <c r="B1978" s="35">
        <f t="array" ref="B1978">XLOOKUP(A1978,IMDB_Movies!I$2:I$3493,IMDB_Movies!Q$2:Q$3493)</f>
        <v>22777816</v>
      </c>
      <c r="E1978" s="11" t="s">
        <v>6655</v>
      </c>
      <c r="F1978" s="36">
        <f t="array" ref="F1978">XLOOKUP(A1978,IMDB_Movies!I$2:I$3493,IMDB_Movies!P$2:P$3493)</f>
        <v>0</v>
      </c>
    </row>
    <row r="1979">
      <c r="A1979" s="24" t="s">
        <v>6659</v>
      </c>
      <c r="B1979" s="35">
        <f t="array" ref="B1979">XLOOKUP(A1979,IMDB_Movies!I$2:I$3493,IMDB_Movies!Q$2:Q$3493)</f>
        <v>2747274</v>
      </c>
      <c r="E1979" s="24" t="s">
        <v>6659</v>
      </c>
      <c r="F1979" s="36">
        <f t="array" ref="F1979">XLOOKUP(A1979,IMDB_Movies!I$2:I$3493,IMDB_Movies!P$2:P$3493)</f>
        <v>0</v>
      </c>
    </row>
    <row r="1980">
      <c r="A1980" s="11" t="s">
        <v>6661</v>
      </c>
      <c r="B1980" s="35">
        <f t="array" ref="B1980">XLOOKUP(A1980,IMDB_Movies!I$2:I$3493,IMDB_Movies!Q$2:Q$3493)</f>
        <v>24731154</v>
      </c>
      <c r="E1980" s="11" t="s">
        <v>6661</v>
      </c>
      <c r="F1980" s="36">
        <f t="array" ref="F1980">XLOOKUP(A1980,IMDB_Movies!I$2:I$3493,IMDB_Movies!P$2:P$3493)</f>
        <v>0</v>
      </c>
    </row>
    <row r="1981">
      <c r="A1981" s="20" t="s">
        <v>6665</v>
      </c>
      <c r="B1981" s="35">
        <f t="array" ref="B1981">XLOOKUP(A1981,IMDB_Movies!I$2:I$3493,IMDB_Movies!Q$2:Q$3493)</f>
        <v>689492</v>
      </c>
      <c r="E1981" s="20" t="s">
        <v>6665</v>
      </c>
      <c r="F1981" s="36">
        <f t="array" ref="F1981">XLOOKUP(A1981,IMDB_Movies!I$2:I$3493,IMDB_Movies!P$2:P$3493)</f>
        <v>0</v>
      </c>
    </row>
    <row r="1982">
      <c r="A1982" s="20" t="s">
        <v>6667</v>
      </c>
      <c r="B1982" s="35">
        <f t="array" ref="B1982">XLOOKUP(A1982,IMDB_Movies!I$2:I$3493,IMDB_Movies!Q$2:Q$3493)</f>
        <v>95588898</v>
      </c>
      <c r="E1982" s="20" t="s">
        <v>6667</v>
      </c>
      <c r="F1982" s="36">
        <f t="array" ref="F1982">XLOOKUP(A1982,IMDB_Movies!I$2:I$3493,IMDB_Movies!P$2:P$3493)</f>
        <v>0</v>
      </c>
    </row>
    <row r="1983">
      <c r="A1983" s="11" t="s">
        <v>6670</v>
      </c>
      <c r="B1983" s="35">
        <f t="array" ref="B1983">XLOOKUP(A1983,IMDB_Movies!I$2:I$3493,IMDB_Movies!Q$2:Q$3493)</f>
        <v>29000000</v>
      </c>
      <c r="E1983" s="11" t="s">
        <v>6670</v>
      </c>
      <c r="F1983" s="36">
        <f t="array" ref="F1983">XLOOKUP(A1983,IMDB_Movies!I$2:I$3493,IMDB_Movies!P$2:P$3493)</f>
        <v>0</v>
      </c>
    </row>
    <row r="1984">
      <c r="A1984" s="11" t="s">
        <v>6673</v>
      </c>
      <c r="B1984" s="35">
        <f t="array" ref="B1984">XLOOKUP(A1984,IMDB_Movies!I$2:I$3493,IMDB_Movies!Q$2:Q$3493)</f>
        <v>0</v>
      </c>
      <c r="E1984" s="11" t="s">
        <v>6673</v>
      </c>
      <c r="F1984" s="36">
        <f t="array" ref="F1984">XLOOKUP(A1984,IMDB_Movies!I$2:I$3493,IMDB_Movies!P$2:P$3493)</f>
        <v>3936931</v>
      </c>
    </row>
    <row r="1985">
      <c r="A1985" s="11" t="s">
        <v>6675</v>
      </c>
      <c r="B1985" s="35">
        <f t="array" ref="B1985">XLOOKUP(A1985,IMDB_Movies!I$2:I$3493,IMDB_Movies!Q$2:Q$3493)</f>
        <v>0</v>
      </c>
      <c r="E1985" s="11" t="s">
        <v>6675</v>
      </c>
      <c r="F1985" s="36">
        <f t="array" ref="F1985">XLOOKUP(A1985,IMDB_Movies!I$2:I$3493,IMDB_Movies!P$2:P$3493)</f>
        <v>20132596</v>
      </c>
    </row>
    <row r="1986">
      <c r="A1986" s="32" t="s">
        <v>6677</v>
      </c>
      <c r="B1986" s="35">
        <f t="array" ref="B1986">XLOOKUP(A1986,IMDB_Movies!I$2:I$3493,IMDB_Movies!Q$2:Q$3493)</f>
        <v>0</v>
      </c>
      <c r="E1986" s="32" t="s">
        <v>6677</v>
      </c>
      <c r="F1986" s="36">
        <f t="array" ref="F1986">XLOOKUP(A1986,IMDB_Movies!I$2:I$3493,IMDB_Movies!P$2:P$3493)</f>
        <v>40098138</v>
      </c>
    </row>
    <row r="1987">
      <c r="A1987" s="11" t="s">
        <v>6681</v>
      </c>
      <c r="B1987" s="35">
        <f t="array" ref="B1987">XLOOKUP(A1987,IMDB_Movies!I$2:I$3493,IMDB_Movies!Q$2:Q$3493)</f>
        <v>0</v>
      </c>
      <c r="E1987" s="11" t="s">
        <v>6681</v>
      </c>
      <c r="F1987" s="36">
        <f t="array" ref="F1987">XLOOKUP(A1987,IMDB_Movies!I$2:I$3493,IMDB_Movies!P$2:P$3493)</f>
        <v>19402612</v>
      </c>
    </row>
    <row r="1988">
      <c r="A1988" s="11" t="s">
        <v>6685</v>
      </c>
      <c r="B1988" s="35">
        <f t="array" ref="B1988">XLOOKUP(A1988,IMDB_Movies!I$2:I$3493,IMDB_Movies!Q$2:Q$3493)</f>
        <v>899760</v>
      </c>
      <c r="E1988" s="11" t="s">
        <v>6685</v>
      </c>
      <c r="F1988" s="36">
        <f t="array" ref="F1988">XLOOKUP(A1988,IMDB_Movies!I$2:I$3493,IMDB_Movies!P$2:P$3493)</f>
        <v>0</v>
      </c>
    </row>
    <row r="1989">
      <c r="A1989" s="20" t="s">
        <v>6688</v>
      </c>
      <c r="B1989" s="35">
        <f t="array" ref="B1989">XLOOKUP(A1989,IMDB_Movies!I$2:I$3493,IMDB_Movies!Q$2:Q$3493)</f>
        <v>0</v>
      </c>
      <c r="E1989" s="20" t="s">
        <v>6688</v>
      </c>
      <c r="F1989" s="36">
        <f t="array" ref="F1989">XLOOKUP(A1989,IMDB_Movies!I$2:I$3493,IMDB_Movies!P$2:P$3493)</f>
        <v>9533945</v>
      </c>
    </row>
    <row r="1990">
      <c r="A1990" s="28" t="s">
        <v>6690</v>
      </c>
      <c r="B1990" s="35">
        <f t="array" ref="B1990">XLOOKUP(A1990,IMDB_Movies!I$2:I$3493,IMDB_Movies!Q$2:Q$3493)</f>
        <v>0</v>
      </c>
      <c r="E1990" s="28" t="s">
        <v>6690</v>
      </c>
      <c r="F1990" s="36">
        <f t="array" ref="F1990">XLOOKUP(A1990,IMDB_Movies!I$2:I$3493,IMDB_Movies!P$2:P$3493)</f>
        <v>1003072</v>
      </c>
    </row>
    <row r="1991">
      <c r="A1991" s="11" t="s">
        <v>6694</v>
      </c>
      <c r="B1991" s="35">
        <f t="array" ref="B1991">XLOOKUP(A1991,IMDB_Movies!I$2:I$3493,IMDB_Movies!Q$2:Q$3493)</f>
        <v>149800772</v>
      </c>
      <c r="E1991" s="11" t="s">
        <v>6694</v>
      </c>
      <c r="F1991" s="36">
        <f t="array" ref="F1991">XLOOKUP(A1991,IMDB_Movies!I$2:I$3493,IMDB_Movies!P$2:P$3493)</f>
        <v>0</v>
      </c>
    </row>
    <row r="1992">
      <c r="A1992" s="20" t="s">
        <v>6696</v>
      </c>
      <c r="B1992" s="35">
        <f t="array" ref="B1992">XLOOKUP(A1992,IMDB_Movies!I$2:I$3493,IMDB_Movies!Q$2:Q$3493)</f>
        <v>0</v>
      </c>
      <c r="E1992" s="20" t="s">
        <v>6696</v>
      </c>
      <c r="F1992" s="36">
        <f t="array" ref="F1992">XLOOKUP(A1992,IMDB_Movies!I$2:I$3493,IMDB_Movies!P$2:P$3493)</f>
        <v>39703412</v>
      </c>
    </row>
    <row r="1993">
      <c r="A1993" s="24" t="s">
        <v>6698</v>
      </c>
      <c r="B1993" s="35">
        <f t="array" ref="B1993">XLOOKUP(A1993,IMDB_Movies!I$2:I$3493,IMDB_Movies!Q$2:Q$3493)</f>
        <v>0</v>
      </c>
      <c r="E1993" s="24" t="s">
        <v>6698</v>
      </c>
      <c r="F1993" s="36">
        <f t="array" ref="F1993">XLOOKUP(A1993,IMDB_Movies!I$2:I$3493,IMDB_Movies!P$2:P$3493)</f>
        <v>44100000</v>
      </c>
    </row>
    <row r="1994">
      <c r="A1994" s="32" t="s">
        <v>6700</v>
      </c>
      <c r="B1994" s="35">
        <f t="array" ref="B1994">XLOOKUP(A1994,IMDB_Movies!I$2:I$3493,IMDB_Movies!Q$2:Q$3493)</f>
        <v>0</v>
      </c>
      <c r="E1994" s="32" t="s">
        <v>6700</v>
      </c>
      <c r="F1994" s="36">
        <f t="array" ref="F1994">XLOOKUP(A1994,IMDB_Movies!I$2:I$3493,IMDB_Movies!P$2:P$3493)</f>
        <v>28715510</v>
      </c>
    </row>
    <row r="1995">
      <c r="A1995" s="11" t="s">
        <v>6704</v>
      </c>
      <c r="B1995" s="35">
        <f t="array" ref="B1995">XLOOKUP(A1995,IMDB_Movies!I$2:I$3493,IMDB_Movies!Q$2:Q$3493)</f>
        <v>0</v>
      </c>
      <c r="E1995" s="11" t="s">
        <v>6704</v>
      </c>
      <c r="F1995" s="36">
        <f t="array" ref="F1995">XLOOKUP(A1995,IMDB_Movies!I$2:I$3493,IMDB_Movies!P$2:P$3493)</f>
        <v>22689474</v>
      </c>
    </row>
    <row r="1996">
      <c r="A1996" s="24" t="s">
        <v>6706</v>
      </c>
      <c r="B1996" s="35">
        <f t="array" ref="B1996">XLOOKUP(A1996,IMDB_Movies!I$2:I$3493,IMDB_Movies!Q$2:Q$3493)</f>
        <v>5669173</v>
      </c>
      <c r="E1996" s="24" t="s">
        <v>6706</v>
      </c>
      <c r="F1996" s="36">
        <f t="array" ref="F1996">XLOOKUP(A1996,IMDB_Movies!I$2:I$3493,IMDB_Movies!P$2:P$3493)</f>
        <v>0</v>
      </c>
    </row>
    <row r="1997">
      <c r="A1997" s="24" t="s">
        <v>6708</v>
      </c>
      <c r="B1997" s="35">
        <f t="array" ref="B1997">XLOOKUP(A1997,IMDB_Movies!I$2:I$3493,IMDB_Movies!Q$2:Q$3493)</f>
        <v>0</v>
      </c>
      <c r="E1997" s="24" t="s">
        <v>6708</v>
      </c>
      <c r="F1997" s="36">
        <f t="array" ref="F1997">XLOOKUP(A1997,IMDB_Movies!I$2:I$3493,IMDB_Movies!P$2:P$3493)</f>
        <v>3901336</v>
      </c>
    </row>
    <row r="1998">
      <c r="A1998" s="16" t="s">
        <v>6711</v>
      </c>
      <c r="B1998" s="35">
        <f t="array" ref="B1998">XLOOKUP(A1998,IMDB_Movies!I$2:I$3493,IMDB_Movies!Q$2:Q$3493)</f>
        <v>0</v>
      </c>
      <c r="E1998" s="16" t="s">
        <v>6711</v>
      </c>
      <c r="F1998" s="36">
        <f t="array" ref="F1998">XLOOKUP(A1998,IMDB_Movies!I$2:I$3493,IMDB_Movies!P$2:P$3493)</f>
        <v>11514713</v>
      </c>
    </row>
    <row r="1999">
      <c r="A1999" s="24" t="s">
        <v>6714</v>
      </c>
      <c r="B1999" s="35">
        <f t="array" ref="B1999">XLOOKUP(A1999,IMDB_Movies!I$2:I$3493,IMDB_Movies!Q$2:Q$3493)</f>
        <v>0</v>
      </c>
      <c r="E1999" s="24" t="s">
        <v>6714</v>
      </c>
      <c r="F1999" s="36">
        <f t="array" ref="F1999">XLOOKUP(A1999,IMDB_Movies!I$2:I$3493,IMDB_Movies!P$2:P$3493)</f>
        <v>6675178</v>
      </c>
    </row>
    <row r="2000">
      <c r="A2000" s="11" t="s">
        <v>6717</v>
      </c>
      <c r="B2000" s="35">
        <f t="array" ref="B2000">XLOOKUP(A2000,IMDB_Movies!I$2:I$3493,IMDB_Movies!Q$2:Q$3493)</f>
        <v>0</v>
      </c>
      <c r="E2000" s="11" t="s">
        <v>6717</v>
      </c>
      <c r="F2000" s="36">
        <f t="array" ref="F2000">XLOOKUP(A2000,IMDB_Movies!I$2:I$3493,IMDB_Movies!P$2:P$3493)</f>
        <v>34073773</v>
      </c>
    </row>
    <row r="2001">
      <c r="A2001" s="11" t="s">
        <v>6719</v>
      </c>
      <c r="B2001" s="35">
        <f t="array" ref="B2001">XLOOKUP(A2001,IMDB_Movies!I$2:I$3493,IMDB_Movies!Q$2:Q$3493)</f>
        <v>0</v>
      </c>
      <c r="E2001" s="11" t="s">
        <v>6719</v>
      </c>
      <c r="F2001" s="36">
        <f t="array" ref="F2001">XLOOKUP(A2001,IMDB_Movies!I$2:I$3493,IMDB_Movies!P$2:P$3493)</f>
        <v>119358727</v>
      </c>
    </row>
    <row r="2002">
      <c r="A2002" s="20" t="s">
        <v>6722</v>
      </c>
      <c r="B2002" s="35">
        <f t="array" ref="B2002">XLOOKUP(A2002,IMDB_Movies!I$2:I$3493,IMDB_Movies!Q$2:Q$3493)</f>
        <v>6929955</v>
      </c>
      <c r="E2002" s="20" t="s">
        <v>6722</v>
      </c>
      <c r="F2002" s="36">
        <f t="array" ref="F2002">XLOOKUP(A2002,IMDB_Movies!I$2:I$3493,IMDB_Movies!P$2:P$3493)</f>
        <v>0</v>
      </c>
    </row>
    <row r="2003">
      <c r="A2003" s="20" t="s">
        <v>6724</v>
      </c>
      <c r="B2003" s="35">
        <f t="array" ref="B2003">XLOOKUP(A2003,IMDB_Movies!I$2:I$3493,IMDB_Movies!Q$2:Q$3493)</f>
        <v>1661305</v>
      </c>
      <c r="E2003" s="20" t="s">
        <v>6724</v>
      </c>
      <c r="F2003" s="36">
        <f t="array" ref="F2003">XLOOKUP(A2003,IMDB_Movies!I$2:I$3493,IMDB_Movies!P$2:P$3493)</f>
        <v>0</v>
      </c>
    </row>
    <row r="2004">
      <c r="A2004" s="11" t="s">
        <v>6726</v>
      </c>
      <c r="B2004" s="35">
        <f t="array" ref="B2004">XLOOKUP(A2004,IMDB_Movies!I$2:I$3493,IMDB_Movies!Q$2:Q$3493)</f>
        <v>41771652</v>
      </c>
      <c r="E2004" s="11" t="s">
        <v>6726</v>
      </c>
      <c r="F2004" s="36">
        <f t="array" ref="F2004">XLOOKUP(A2004,IMDB_Movies!I$2:I$3493,IMDB_Movies!P$2:P$3493)</f>
        <v>0</v>
      </c>
    </row>
    <row r="2005">
      <c r="A2005" s="24" t="s">
        <v>6730</v>
      </c>
      <c r="B2005" s="35">
        <f t="array" ref="B2005">XLOOKUP(A2005,IMDB_Movies!I$2:I$3493,IMDB_Movies!Q$2:Q$3493)</f>
        <v>14072893</v>
      </c>
      <c r="E2005" s="24" t="s">
        <v>6730</v>
      </c>
      <c r="F2005" s="36">
        <f t="array" ref="F2005">XLOOKUP(A2005,IMDB_Movies!I$2:I$3493,IMDB_Movies!P$2:P$3493)</f>
        <v>0</v>
      </c>
    </row>
    <row r="2006">
      <c r="A2006" s="11" t="s">
        <v>6734</v>
      </c>
      <c r="B2006" s="35">
        <f t="array" ref="B2006">XLOOKUP(A2006,IMDB_Movies!I$2:I$3493,IMDB_Movies!Q$2:Q$3493)</f>
        <v>15307392</v>
      </c>
      <c r="E2006" s="11" t="s">
        <v>6734</v>
      </c>
      <c r="F2006" s="36">
        <f t="array" ref="F2006">XLOOKUP(A2006,IMDB_Movies!I$2:I$3493,IMDB_Movies!P$2:P$3493)</f>
        <v>0</v>
      </c>
    </row>
    <row r="2007">
      <c r="A2007" s="11" t="s">
        <v>6736</v>
      </c>
      <c r="B2007" s="35">
        <f t="array" ref="B2007">XLOOKUP(A2007,IMDB_Movies!I$2:I$3493,IMDB_Movies!Q$2:Q$3493)</f>
        <v>0</v>
      </c>
      <c r="E2007" s="11" t="s">
        <v>6736</v>
      </c>
      <c r="F2007" s="36">
        <f t="array" ref="F2007">XLOOKUP(A2007,IMDB_Movies!I$2:I$3493,IMDB_Movies!P$2:P$3493)</f>
        <v>2000000</v>
      </c>
    </row>
    <row r="2008">
      <c r="A2008" s="24" t="s">
        <v>6739</v>
      </c>
      <c r="B2008" s="35">
        <f t="array" ref="B2008">XLOOKUP(A2008,IMDB_Movies!I$2:I$3493,IMDB_Movies!Q$2:Q$3493)</f>
        <v>1126033</v>
      </c>
      <c r="E2008" s="24" t="s">
        <v>6739</v>
      </c>
      <c r="F2008" s="36">
        <f t="array" ref="F2008">XLOOKUP(A2008,IMDB_Movies!I$2:I$3493,IMDB_Movies!P$2:P$3493)</f>
        <v>0</v>
      </c>
    </row>
    <row r="2009">
      <c r="A2009" s="24" t="s">
        <v>6742</v>
      </c>
      <c r="B2009" s="35">
        <f t="array" ref="B2009">XLOOKUP(A2009,IMDB_Movies!I$2:I$3493,IMDB_Movies!Q$2:Q$3493)</f>
        <v>7709024</v>
      </c>
      <c r="E2009" s="24" t="s">
        <v>6742</v>
      </c>
      <c r="F2009" s="36">
        <f t="array" ref="F2009">XLOOKUP(A2009,IMDB_Movies!I$2:I$3493,IMDB_Movies!P$2:P$3493)</f>
        <v>0</v>
      </c>
    </row>
    <row r="2010">
      <c r="A2010" s="24" t="s">
        <v>6745</v>
      </c>
      <c r="B2010" s="35">
        <f t="array" ref="B2010">XLOOKUP(A2010,IMDB_Movies!I$2:I$3493,IMDB_Movies!Q$2:Q$3493)</f>
        <v>1806081</v>
      </c>
      <c r="E2010" s="24" t="s">
        <v>6745</v>
      </c>
      <c r="F2010" s="36">
        <f t="array" ref="F2010">XLOOKUP(A2010,IMDB_Movies!I$2:I$3493,IMDB_Movies!P$2:P$3493)</f>
        <v>0</v>
      </c>
    </row>
    <row r="2011">
      <c r="A2011" s="11" t="s">
        <v>6747</v>
      </c>
      <c r="B2011" s="35">
        <f t="array" ref="B2011">XLOOKUP(A2011,IMDB_Movies!I$2:I$3493,IMDB_Movies!Q$2:Q$3493)</f>
        <v>0</v>
      </c>
      <c r="E2011" s="11" t="s">
        <v>6747</v>
      </c>
      <c r="F2011" s="36">
        <f t="array" ref="F2011">XLOOKUP(A2011,IMDB_Movies!I$2:I$3493,IMDB_Movies!P$2:P$3493)</f>
        <v>10384136</v>
      </c>
    </row>
    <row r="2012">
      <c r="A2012" s="28" t="s">
        <v>6749</v>
      </c>
      <c r="B2012" s="35">
        <f t="array" ref="B2012">XLOOKUP(A2012,IMDB_Movies!I$2:I$3493,IMDB_Movies!Q$2:Q$3493)</f>
        <v>23800483</v>
      </c>
      <c r="E2012" s="28" t="s">
        <v>6749</v>
      </c>
      <c r="F2012" s="36">
        <f t="array" ref="F2012">XLOOKUP(A2012,IMDB_Movies!I$2:I$3493,IMDB_Movies!P$2:P$3493)</f>
        <v>0</v>
      </c>
    </row>
    <row r="2013">
      <c r="A2013" s="11" t="s">
        <v>6751</v>
      </c>
      <c r="B2013" s="35">
        <f t="array" ref="B2013">XLOOKUP(A2013,IMDB_Movies!I$2:I$3493,IMDB_Movies!Q$2:Q$3493)</f>
        <v>0</v>
      </c>
      <c r="E2013" s="11" t="s">
        <v>6751</v>
      </c>
      <c r="F2013" s="36">
        <f t="array" ref="F2013">XLOOKUP(A2013,IMDB_Movies!I$2:I$3493,IMDB_Movies!P$2:P$3493)</f>
        <v>700000</v>
      </c>
    </row>
    <row r="2014">
      <c r="A2014" s="11" t="s">
        <v>6753</v>
      </c>
      <c r="B2014" s="35">
        <f t="array" ref="B2014">XLOOKUP(A2014,IMDB_Movies!I$2:I$3493,IMDB_Movies!Q$2:Q$3493)</f>
        <v>0</v>
      </c>
      <c r="E2014" s="11" t="s">
        <v>6753</v>
      </c>
      <c r="F2014" s="36">
        <f t="array" ref="F2014">XLOOKUP(A2014,IMDB_Movies!I$2:I$3493,IMDB_Movies!P$2:P$3493)</f>
        <v>28728000</v>
      </c>
    </row>
    <row r="2015">
      <c r="A2015" s="32" t="s">
        <v>6756</v>
      </c>
      <c r="B2015" s="35">
        <f t="array" ref="B2015">XLOOKUP(A2015,IMDB_Movies!I$2:I$3493,IMDB_Movies!Q$2:Q$3493)</f>
        <v>0</v>
      </c>
      <c r="E2015" s="32" t="s">
        <v>6756</v>
      </c>
      <c r="F2015" s="36">
        <f t="array" ref="F2015">XLOOKUP(A2015,IMDB_Movies!I$2:I$3493,IMDB_Movies!P$2:P$3493)</f>
        <v>24707598</v>
      </c>
    </row>
    <row r="2016">
      <c r="A2016" s="28" t="s">
        <v>6758</v>
      </c>
      <c r="B2016" s="35">
        <f t="array" ref="B2016">XLOOKUP(A2016,IMDB_Movies!I$2:I$3493,IMDB_Movies!Q$2:Q$3493)</f>
        <v>32637500</v>
      </c>
      <c r="E2016" s="28" t="s">
        <v>6758</v>
      </c>
      <c r="F2016" s="36">
        <f t="array" ref="F2016">XLOOKUP(A2016,IMDB_Movies!I$2:I$3493,IMDB_Movies!P$2:P$3493)</f>
        <v>0</v>
      </c>
    </row>
    <row r="2017">
      <c r="A2017" s="28" t="s">
        <v>6760</v>
      </c>
      <c r="B2017" s="35">
        <f t="array" ref="B2017">XLOOKUP(A2017,IMDB_Movies!I$2:I$3493,IMDB_Movies!Q$2:Q$3493)</f>
        <v>4241500</v>
      </c>
      <c r="E2017" s="28" t="s">
        <v>6760</v>
      </c>
      <c r="F2017" s="36">
        <f t="array" ref="F2017">XLOOKUP(A2017,IMDB_Movies!I$2:I$3493,IMDB_Movies!P$2:P$3493)</f>
        <v>0</v>
      </c>
    </row>
    <row r="2018">
      <c r="A2018" s="16" t="s">
        <v>6762</v>
      </c>
      <c r="B2018" s="35">
        <f t="array" ref="B2018">XLOOKUP(A2018,IMDB_Movies!I$2:I$3493,IMDB_Movies!Q$2:Q$3493)</f>
        <v>0</v>
      </c>
      <c r="E2018" s="16" t="s">
        <v>6762</v>
      </c>
      <c r="F2018" s="36">
        <f t="array" ref="F2018">XLOOKUP(A2018,IMDB_Movies!I$2:I$3493,IMDB_Movies!P$2:P$3493)</f>
        <v>308707</v>
      </c>
    </row>
    <row r="2019">
      <c r="A2019" s="20" t="s">
        <v>6765</v>
      </c>
      <c r="B2019" s="35">
        <f t="array" ref="B2019">XLOOKUP(A2019,IMDB_Movies!I$2:I$3493,IMDB_Movies!Q$2:Q$3493)</f>
        <v>447150</v>
      </c>
      <c r="E2019" s="20" t="s">
        <v>6765</v>
      </c>
      <c r="F2019" s="36">
        <f t="array" ref="F2019">XLOOKUP(A2019,IMDB_Movies!I$2:I$3493,IMDB_Movies!P$2:P$3493)</f>
        <v>0</v>
      </c>
    </row>
    <row r="2020">
      <c r="A2020" s="11" t="s">
        <v>6768</v>
      </c>
      <c r="B2020" s="35">
        <f t="array" ref="B2020">XLOOKUP(A2020,IMDB_Movies!I$2:I$3493,IMDB_Movies!Q$2:Q$3493)</f>
        <v>0</v>
      </c>
      <c r="E2020" s="11" t="s">
        <v>6768</v>
      </c>
      <c r="F2020" s="36">
        <f t="array" ref="F2020">XLOOKUP(A2020,IMDB_Movies!I$2:I$3493,IMDB_Movies!P$2:P$3493)</f>
        <v>14772796</v>
      </c>
    </row>
    <row r="2021">
      <c r="A2021" s="20" t="s">
        <v>6771</v>
      </c>
      <c r="B2021" s="35">
        <f t="array" ref="B2021">XLOOKUP(A2021,IMDB_Movies!I$2:I$3493,IMDB_Movies!Q$2:Q$3493)</f>
        <v>0</v>
      </c>
      <c r="E2021" s="20" t="s">
        <v>6771</v>
      </c>
      <c r="F2021" s="36">
        <f t="array" ref="F2021">XLOOKUP(A2021,IMDB_Movies!I$2:I$3493,IMDB_Movies!P$2:P$3493)</f>
        <v>32522221</v>
      </c>
    </row>
    <row r="2022">
      <c r="A2022" s="11" t="s">
        <v>6773</v>
      </c>
      <c r="B2022" s="35">
        <f t="array" ref="B2022">XLOOKUP(A2022,IMDB_Movies!I$2:I$3493,IMDB_Movies!Q$2:Q$3493)</f>
        <v>0</v>
      </c>
      <c r="E2022" s="11" t="s">
        <v>6773</v>
      </c>
      <c r="F2022" s="36">
        <f t="array" ref="F2022">XLOOKUP(A2022,IMDB_Movies!I$2:I$3493,IMDB_Movies!P$2:P$3493)</f>
        <v>26853450</v>
      </c>
    </row>
    <row r="2023">
      <c r="A2023" s="11" t="s">
        <v>6776</v>
      </c>
      <c r="B2023" s="35">
        <f t="array" ref="B2023">XLOOKUP(A2023,IMDB_Movies!I$2:I$3493,IMDB_Movies!Q$2:Q$3493)</f>
        <v>0</v>
      </c>
      <c r="E2023" s="11" t="s">
        <v>6776</v>
      </c>
      <c r="F2023" s="36">
        <f t="array" ref="F2023">XLOOKUP(A2023,IMDB_Movies!I$2:I$3493,IMDB_Movies!P$2:P$3493)</f>
        <v>2106233</v>
      </c>
    </row>
    <row r="2024">
      <c r="A2024" s="16" t="s">
        <v>6778</v>
      </c>
      <c r="B2024" s="35">
        <f t="array" ref="B2024">XLOOKUP(A2024,IMDB_Movies!I$2:I$3493,IMDB_Movies!Q$2:Q$3493)</f>
        <v>0</v>
      </c>
      <c r="E2024" s="16" t="s">
        <v>6778</v>
      </c>
      <c r="F2024" s="36">
        <f t="array" ref="F2024">XLOOKUP(A2024,IMDB_Movies!I$2:I$3493,IMDB_Movies!P$2:P$3493)</f>
        <v>50731542</v>
      </c>
    </row>
    <row r="2025">
      <c r="A2025" s="11" t="s">
        <v>6781</v>
      </c>
      <c r="B2025" s="35">
        <f t="array" ref="B2025">XLOOKUP(A2025,IMDB_Movies!I$2:I$3493,IMDB_Movies!Q$2:Q$3493)</f>
        <v>4508347</v>
      </c>
      <c r="E2025" s="11" t="s">
        <v>6781</v>
      </c>
      <c r="F2025" s="36">
        <f t="array" ref="F2025">XLOOKUP(A2025,IMDB_Movies!I$2:I$3493,IMDB_Movies!P$2:P$3493)</f>
        <v>0</v>
      </c>
    </row>
    <row r="2026">
      <c r="A2026" s="11" t="s">
        <v>6786</v>
      </c>
      <c r="B2026" s="35">
        <f t="array" ref="B2026">XLOOKUP(A2026,IMDB_Movies!I$2:I$3493,IMDB_Movies!Q$2:Q$3493)</f>
        <v>1234893</v>
      </c>
      <c r="E2026" s="11" t="s">
        <v>6786</v>
      </c>
      <c r="F2026" s="36">
        <f t="array" ref="F2026">XLOOKUP(A2026,IMDB_Movies!I$2:I$3493,IMDB_Movies!P$2:P$3493)</f>
        <v>0</v>
      </c>
    </row>
    <row r="2027">
      <c r="A2027" s="16" t="s">
        <v>6788</v>
      </c>
      <c r="B2027" s="35">
        <f t="array" ref="B2027">XLOOKUP(A2027,IMDB_Movies!I$2:I$3493,IMDB_Movies!Q$2:Q$3493)</f>
        <v>0</v>
      </c>
      <c r="E2027" s="16" t="s">
        <v>6788</v>
      </c>
      <c r="F2027" s="36">
        <f t="array" ref="F2027">XLOOKUP(A2027,IMDB_Movies!I$2:I$3493,IMDB_Movies!P$2:P$3493)</f>
        <v>21876365</v>
      </c>
    </row>
    <row r="2028">
      <c r="A2028" s="28" t="s">
        <v>6791</v>
      </c>
      <c r="B2028" s="35">
        <f t="array" ref="B2028">XLOOKUP(A2028,IMDB_Movies!I$2:I$3493,IMDB_Movies!Q$2:Q$3493)</f>
        <v>12698695</v>
      </c>
      <c r="E2028" s="28" t="s">
        <v>6791</v>
      </c>
      <c r="F2028" s="36">
        <f t="array" ref="F2028">XLOOKUP(A2028,IMDB_Movies!I$2:I$3493,IMDB_Movies!P$2:P$3493)</f>
        <v>0</v>
      </c>
    </row>
    <row r="2029">
      <c r="A2029" s="16" t="s">
        <v>6795</v>
      </c>
      <c r="B2029" s="35">
        <f t="array" ref="B2029">XLOOKUP(A2029,IMDB_Movies!I$2:I$3493,IMDB_Movies!Q$2:Q$3493)</f>
        <v>0</v>
      </c>
      <c r="E2029" s="16" t="s">
        <v>6795</v>
      </c>
      <c r="F2029" s="36">
        <f t="array" ref="F2029">XLOOKUP(A2029,IMDB_Movies!I$2:I$3493,IMDB_Movies!P$2:P$3493)</f>
        <v>22114556</v>
      </c>
    </row>
    <row r="2030">
      <c r="A2030" s="20" t="s">
        <v>6798</v>
      </c>
      <c r="B2030" s="35">
        <f t="array" ref="B2030">XLOOKUP(A2030,IMDB_Movies!I$2:I$3493,IMDB_Movies!Q$2:Q$3493)</f>
        <v>0</v>
      </c>
      <c r="E2030" s="20" t="s">
        <v>6798</v>
      </c>
      <c r="F2030" s="36">
        <f t="array" ref="F2030">XLOOKUP(A2030,IMDB_Movies!I$2:I$3493,IMDB_Movies!P$2:P$3493)</f>
        <v>45181732</v>
      </c>
    </row>
    <row r="2031">
      <c r="A2031" s="24" t="s">
        <v>6801</v>
      </c>
      <c r="B2031" s="35">
        <f t="array" ref="B2031">XLOOKUP(A2031,IMDB_Movies!I$2:I$3493,IMDB_Movies!Q$2:Q$3493)</f>
        <v>19523730</v>
      </c>
      <c r="E2031" s="24" t="s">
        <v>6801</v>
      </c>
      <c r="F2031" s="36">
        <f t="array" ref="F2031">XLOOKUP(A2031,IMDB_Movies!I$2:I$3493,IMDB_Movies!P$2:P$3493)</f>
        <v>0</v>
      </c>
    </row>
    <row r="2032">
      <c r="A2032" s="20" t="s">
        <v>6805</v>
      </c>
      <c r="B2032" s="35">
        <f t="array" ref="B2032">XLOOKUP(A2032,IMDB_Movies!I$2:I$3493,IMDB_Movies!Q$2:Q$3493)</f>
        <v>30863374</v>
      </c>
      <c r="E2032" s="20" t="s">
        <v>6805</v>
      </c>
      <c r="F2032" s="36">
        <f t="array" ref="F2032">XLOOKUP(A2032,IMDB_Movies!I$2:I$3493,IMDB_Movies!P$2:P$3493)</f>
        <v>0</v>
      </c>
    </row>
    <row r="2033">
      <c r="A2033" s="11" t="s">
        <v>6808</v>
      </c>
      <c r="B2033" s="35">
        <f t="array" ref="B2033">XLOOKUP(A2033,IMDB_Movies!I$2:I$3493,IMDB_Movies!Q$2:Q$3493)</f>
        <v>0</v>
      </c>
      <c r="E2033" s="11" t="s">
        <v>6808</v>
      </c>
      <c r="F2033" s="36">
        <f t="array" ref="F2033">XLOOKUP(A2033,IMDB_Movies!I$2:I$3493,IMDB_Movies!P$2:P$3493)</f>
        <v>12978402</v>
      </c>
    </row>
    <row r="2034">
      <c r="A2034" s="20" t="s">
        <v>6811</v>
      </c>
      <c r="B2034" s="35">
        <f t="array" ref="B2034">XLOOKUP(A2034,IMDB_Movies!I$2:I$3493,IMDB_Movies!Q$2:Q$3493)</f>
        <v>9975917</v>
      </c>
      <c r="E2034" s="20" t="s">
        <v>6811</v>
      </c>
      <c r="F2034" s="36">
        <f t="array" ref="F2034">XLOOKUP(A2034,IMDB_Movies!I$2:I$3493,IMDB_Movies!P$2:P$3493)</f>
        <v>0</v>
      </c>
    </row>
    <row r="2035">
      <c r="A2035" s="11" t="s">
        <v>6814</v>
      </c>
      <c r="B2035" s="35">
        <f t="array" ref="B2035">XLOOKUP(A2035,IMDB_Movies!I$2:I$3493,IMDB_Movies!Q$2:Q$3493)</f>
        <v>0</v>
      </c>
      <c r="E2035" s="11" t="s">
        <v>6814</v>
      </c>
      <c r="F2035" s="36">
        <f t="array" ref="F2035">XLOOKUP(A2035,IMDB_Movies!I$2:I$3493,IMDB_Movies!P$2:P$3493)</f>
        <v>35592846</v>
      </c>
    </row>
    <row r="2036">
      <c r="A2036" s="24" t="s">
        <v>6818</v>
      </c>
      <c r="B2036" s="35">
        <f t="array" ref="B2036">XLOOKUP(A2036,IMDB_Movies!I$2:I$3493,IMDB_Movies!Q$2:Q$3493)</f>
        <v>0</v>
      </c>
      <c r="E2036" s="24" t="s">
        <v>6818</v>
      </c>
      <c r="F2036" s="36">
        <f t="array" ref="F2036">XLOOKUP(A2036,IMDB_Movies!I$2:I$3493,IMDB_Movies!P$2:P$3493)</f>
        <v>2483154</v>
      </c>
    </row>
    <row r="2037">
      <c r="A2037" s="11" t="s">
        <v>6820</v>
      </c>
      <c r="B2037" s="35">
        <f t="array" ref="B2037">XLOOKUP(A2037,IMDB_Movies!I$2:I$3493,IMDB_Movies!Q$2:Q$3493)</f>
        <v>10673164</v>
      </c>
      <c r="E2037" s="11" t="s">
        <v>6820</v>
      </c>
      <c r="F2037" s="36">
        <f t="array" ref="F2037">XLOOKUP(A2037,IMDB_Movies!I$2:I$3493,IMDB_Movies!P$2:P$3493)</f>
        <v>0</v>
      </c>
    </row>
    <row r="2038">
      <c r="A2038" s="28" t="s">
        <v>6824</v>
      </c>
      <c r="B2038" s="35">
        <f t="array" ref="B2038">XLOOKUP(A2038,IMDB_Movies!I$2:I$3493,IMDB_Movies!Q$2:Q$3493)</f>
        <v>5600389</v>
      </c>
      <c r="E2038" s="28" t="s">
        <v>6824</v>
      </c>
      <c r="F2038" s="36">
        <f t="array" ref="F2038">XLOOKUP(A2038,IMDB_Movies!I$2:I$3493,IMDB_Movies!P$2:P$3493)</f>
        <v>0</v>
      </c>
    </row>
    <row r="2039">
      <c r="A2039" s="11" t="s">
        <v>6827</v>
      </c>
      <c r="B2039" s="35">
        <f t="array" ref="B2039">XLOOKUP(A2039,IMDB_Movies!I$2:I$3493,IMDB_Movies!Q$2:Q$3493)</f>
        <v>0</v>
      </c>
      <c r="E2039" s="11" t="s">
        <v>6827</v>
      </c>
      <c r="F2039" s="36">
        <f t="array" ref="F2039">XLOOKUP(A2039,IMDB_Movies!I$2:I$3493,IMDB_Movies!P$2:P$3493)</f>
        <v>47001027</v>
      </c>
    </row>
    <row r="2040">
      <c r="A2040" s="11" t="s">
        <v>6830</v>
      </c>
      <c r="B2040" s="35">
        <f t="array" ref="B2040">XLOOKUP(A2040,IMDB_Movies!I$2:I$3493,IMDB_Movies!Q$2:Q$3493)</f>
        <v>0</v>
      </c>
      <c r="E2040" s="11" t="s">
        <v>6830</v>
      </c>
      <c r="F2040" s="36">
        <f t="array" ref="F2040">XLOOKUP(A2040,IMDB_Movies!I$2:I$3493,IMDB_Movies!P$2:P$3493)</f>
        <v>46975611</v>
      </c>
    </row>
    <row r="2041">
      <c r="A2041" s="11" t="s">
        <v>6834</v>
      </c>
      <c r="B2041" s="35">
        <f t="array" ref="B2041">XLOOKUP(A2041,IMDB_Movies!I$2:I$3493,IMDB_Movies!Q$2:Q$3493)</f>
        <v>0</v>
      </c>
      <c r="E2041" s="11" t="s">
        <v>6834</v>
      </c>
      <c r="F2041" s="36">
        <f t="array" ref="F2041">XLOOKUP(A2041,IMDB_Movies!I$2:I$3493,IMDB_Movies!P$2:P$3493)</f>
        <v>109141530</v>
      </c>
    </row>
    <row r="2042">
      <c r="A2042" s="20" t="s">
        <v>6838</v>
      </c>
      <c r="B2042" s="35">
        <f t="array" ref="B2042">XLOOKUP(A2042,IMDB_Movies!I$2:I$3493,IMDB_Movies!Q$2:Q$3493)</f>
        <v>3312828</v>
      </c>
      <c r="E2042" s="20" t="s">
        <v>6838</v>
      </c>
      <c r="F2042" s="36">
        <f t="array" ref="F2042">XLOOKUP(A2042,IMDB_Movies!I$2:I$3493,IMDB_Movies!P$2:P$3493)</f>
        <v>0</v>
      </c>
    </row>
    <row r="2043">
      <c r="A2043" s="11" t="s">
        <v>6840</v>
      </c>
      <c r="B2043" s="35">
        <f t="array" ref="B2043">XLOOKUP(A2043,IMDB_Movies!I$2:I$3493,IMDB_Movies!Q$2:Q$3493)</f>
        <v>1845268</v>
      </c>
      <c r="E2043" s="11" t="s">
        <v>6840</v>
      </c>
      <c r="F2043" s="36">
        <f t="array" ref="F2043">XLOOKUP(A2043,IMDB_Movies!I$2:I$3493,IMDB_Movies!P$2:P$3493)</f>
        <v>0</v>
      </c>
    </row>
    <row r="2044">
      <c r="A2044" s="16" t="s">
        <v>6845</v>
      </c>
      <c r="B2044" s="35">
        <f t="array" ref="B2044">XLOOKUP(A2044,IMDB_Movies!I$2:I$3493,IMDB_Movies!Q$2:Q$3493)</f>
        <v>0</v>
      </c>
      <c r="E2044" s="16" t="s">
        <v>6845</v>
      </c>
      <c r="F2044" s="36">
        <f t="array" ref="F2044">XLOOKUP(A2044,IMDB_Movies!I$2:I$3493,IMDB_Movies!P$2:P$3493)</f>
        <v>4231215</v>
      </c>
    </row>
    <row r="2045">
      <c r="A2045" s="11" t="s">
        <v>6847</v>
      </c>
      <c r="B2045" s="35">
        <f t="array" ref="B2045">XLOOKUP(A2045,IMDB_Movies!I$2:I$3493,IMDB_Movies!Q$2:Q$3493)</f>
        <v>0</v>
      </c>
      <c r="E2045" s="11" t="s">
        <v>6847</v>
      </c>
      <c r="F2045" s="36">
        <f t="array" ref="F2045">XLOOKUP(A2045,IMDB_Movies!I$2:I$3493,IMDB_Movies!P$2:P$3493)</f>
        <v>14951824</v>
      </c>
    </row>
    <row r="2046">
      <c r="A2046" s="11" t="s">
        <v>6849</v>
      </c>
      <c r="B2046" s="35">
        <f t="array" ref="B2046">XLOOKUP(A2046,IMDB_Movies!I$2:I$3493,IMDB_Movies!Q$2:Q$3493)</f>
        <v>0</v>
      </c>
      <c r="E2046" s="11" t="s">
        <v>6849</v>
      </c>
      <c r="F2046" s="36">
        <f t="array" ref="F2046">XLOOKUP(A2046,IMDB_Movies!I$2:I$3493,IMDB_Movies!P$2:P$3493)</f>
        <v>2304950</v>
      </c>
    </row>
    <row r="2047">
      <c r="A2047" s="16" t="s">
        <v>6852</v>
      </c>
      <c r="B2047" s="35">
        <f t="array" ref="B2047">XLOOKUP(A2047,IMDB_Movies!I$2:I$3493,IMDB_Movies!Q$2:Q$3493)</f>
        <v>29821223</v>
      </c>
      <c r="E2047" s="16" t="s">
        <v>6852</v>
      </c>
      <c r="F2047" s="36">
        <f t="array" ref="F2047">XLOOKUP(A2047,IMDB_Movies!I$2:I$3493,IMDB_Movies!P$2:P$3493)</f>
        <v>0</v>
      </c>
    </row>
    <row r="2048">
      <c r="A2048" s="11" t="s">
        <v>6856</v>
      </c>
      <c r="B2048" s="35">
        <f t="array" ref="B2048">XLOOKUP(A2048,IMDB_Movies!I$2:I$3493,IMDB_Movies!Q$2:Q$3493)</f>
        <v>59801290</v>
      </c>
      <c r="E2048" s="11" t="s">
        <v>6856</v>
      </c>
      <c r="F2048" s="36">
        <f t="array" ref="F2048">XLOOKUP(A2048,IMDB_Movies!I$2:I$3493,IMDB_Movies!P$2:P$3493)</f>
        <v>0</v>
      </c>
    </row>
    <row r="2049">
      <c r="A2049" s="16" t="s">
        <v>6859</v>
      </c>
      <c r="B2049" s="35">
        <f t="array" ref="B2049">XLOOKUP(A2049,IMDB_Movies!I$2:I$3493,IMDB_Movies!Q$2:Q$3493)</f>
        <v>0</v>
      </c>
      <c r="E2049" s="16" t="s">
        <v>6859</v>
      </c>
      <c r="F2049" s="36">
        <f t="array" ref="F2049">XLOOKUP(A2049,IMDB_Movies!I$2:I$3493,IMDB_Movies!P$2:P$3493)</f>
        <v>58307945</v>
      </c>
    </row>
    <row r="2050">
      <c r="A2050" s="11" t="s">
        <v>6862</v>
      </c>
      <c r="B2050" s="35">
        <f t="array" ref="B2050">XLOOKUP(A2050,IMDB_Movies!I$2:I$3493,IMDB_Movies!Q$2:Q$3493)</f>
        <v>0</v>
      </c>
      <c r="E2050" s="11" t="s">
        <v>6862</v>
      </c>
      <c r="F2050" s="36">
        <f t="array" ref="F2050">XLOOKUP(A2050,IMDB_Movies!I$2:I$3493,IMDB_Movies!P$2:P$3493)</f>
        <v>10500000</v>
      </c>
    </row>
    <row r="2051">
      <c r="A2051" s="32" t="s">
        <v>6865</v>
      </c>
      <c r="B2051" s="35">
        <f t="array" ref="B2051">XLOOKUP(A2051,IMDB_Movies!I$2:I$3493,IMDB_Movies!Q$2:Q$3493)</f>
        <v>2397701809</v>
      </c>
      <c r="E2051" s="32" t="s">
        <v>6865</v>
      </c>
      <c r="F2051" s="36">
        <f t="array" ref="F2051">XLOOKUP(A2051,IMDB_Movies!I$2:I$3493,IMDB_Movies!P$2:P$3493)</f>
        <v>0</v>
      </c>
    </row>
    <row r="2052">
      <c r="A2052" s="11" t="s">
        <v>6868</v>
      </c>
      <c r="B2052" s="35">
        <f t="array" ref="B2052">XLOOKUP(A2052,IMDB_Movies!I$2:I$3493,IMDB_Movies!Q$2:Q$3493)</f>
        <v>16406844</v>
      </c>
      <c r="E2052" s="11" t="s">
        <v>6868</v>
      </c>
      <c r="F2052" s="36">
        <f t="array" ref="F2052">XLOOKUP(A2052,IMDB_Movies!I$2:I$3493,IMDB_Movies!P$2:P$3493)</f>
        <v>0</v>
      </c>
    </row>
    <row r="2053">
      <c r="A2053" s="20" t="s">
        <v>6870</v>
      </c>
      <c r="B2053" s="35">
        <f t="array" ref="B2053">XLOOKUP(A2053,IMDB_Movies!I$2:I$3493,IMDB_Movies!Q$2:Q$3493)</f>
        <v>17258404</v>
      </c>
      <c r="E2053" s="20" t="s">
        <v>6870</v>
      </c>
      <c r="F2053" s="36">
        <f t="array" ref="F2053">XLOOKUP(A2053,IMDB_Movies!I$2:I$3493,IMDB_Movies!P$2:P$3493)</f>
        <v>0</v>
      </c>
    </row>
    <row r="2054">
      <c r="A2054" s="24" t="s">
        <v>6872</v>
      </c>
      <c r="B2054" s="35">
        <f t="array" ref="B2054">XLOOKUP(A2054,IMDB_Movies!I$2:I$3493,IMDB_Movies!Q$2:Q$3493)</f>
        <v>14618493</v>
      </c>
      <c r="E2054" s="24" t="s">
        <v>6872</v>
      </c>
      <c r="F2054" s="36">
        <f t="array" ref="F2054">XLOOKUP(A2054,IMDB_Movies!I$2:I$3493,IMDB_Movies!P$2:P$3493)</f>
        <v>0</v>
      </c>
    </row>
    <row r="2055">
      <c r="A2055" s="11" t="s">
        <v>6876</v>
      </c>
      <c r="B2055" s="35">
        <f t="array" ref="B2055">XLOOKUP(A2055,IMDB_Movies!I$2:I$3493,IMDB_Movies!Q$2:Q$3493)</f>
        <v>34931608</v>
      </c>
      <c r="E2055" s="11" t="s">
        <v>6876</v>
      </c>
      <c r="F2055" s="36">
        <f t="array" ref="F2055">XLOOKUP(A2055,IMDB_Movies!I$2:I$3493,IMDB_Movies!P$2:P$3493)</f>
        <v>0</v>
      </c>
    </row>
    <row r="2056">
      <c r="A2056" s="32" t="s">
        <v>6878</v>
      </c>
      <c r="B2056" s="35">
        <f t="array" ref="B2056">XLOOKUP(A2056,IMDB_Movies!I$2:I$3493,IMDB_Movies!Q$2:Q$3493)</f>
        <v>0</v>
      </c>
      <c r="E2056" s="32" t="s">
        <v>6878</v>
      </c>
      <c r="F2056" s="36">
        <f t="array" ref="F2056">XLOOKUP(A2056,IMDB_Movies!I$2:I$3493,IMDB_Movies!P$2:P$3493)</f>
        <v>117500000</v>
      </c>
    </row>
    <row r="2057">
      <c r="A2057" s="24" t="s">
        <v>6880</v>
      </c>
      <c r="B2057" s="35">
        <f t="array" ref="B2057">XLOOKUP(A2057,IMDB_Movies!I$2:I$3493,IMDB_Movies!Q$2:Q$3493)</f>
        <v>0</v>
      </c>
      <c r="E2057" s="24" t="s">
        <v>6880</v>
      </c>
      <c r="F2057" s="36">
        <f t="array" ref="F2057">XLOOKUP(A2057,IMDB_Movies!I$2:I$3493,IMDB_Movies!P$2:P$3493)</f>
        <v>3629485</v>
      </c>
    </row>
    <row r="2058">
      <c r="A2058" s="11" t="s">
        <v>6883</v>
      </c>
      <c r="B2058" s="35">
        <f t="array" ref="B2058">XLOOKUP(A2058,IMDB_Movies!I$2:I$3493,IMDB_Movies!Q$2:Q$3493)</f>
        <v>0</v>
      </c>
      <c r="E2058" s="11" t="s">
        <v>6883</v>
      </c>
      <c r="F2058" s="36">
        <f t="array" ref="F2058">XLOOKUP(A2058,IMDB_Movies!I$2:I$3493,IMDB_Movies!P$2:P$3493)</f>
        <v>1250934</v>
      </c>
    </row>
    <row r="2059">
      <c r="A2059" s="24" t="s">
        <v>6887</v>
      </c>
      <c r="B2059" s="35">
        <f t="array" ref="B2059">XLOOKUP(A2059,IMDB_Movies!I$2:I$3493,IMDB_Movies!Q$2:Q$3493)</f>
        <v>190641321</v>
      </c>
      <c r="E2059" s="24" t="s">
        <v>6887</v>
      </c>
      <c r="F2059" s="36">
        <f t="array" ref="F2059">XLOOKUP(A2059,IMDB_Movies!I$2:I$3493,IMDB_Movies!P$2:P$3493)</f>
        <v>0</v>
      </c>
    </row>
    <row r="2060">
      <c r="A2060" s="11" t="s">
        <v>6890</v>
      </c>
      <c r="B2060" s="35">
        <f t="array" ref="B2060">XLOOKUP(A2060,IMDB_Movies!I$2:I$3493,IMDB_Movies!Q$2:Q$3493)</f>
        <v>1331157</v>
      </c>
      <c r="E2060" s="11" t="s">
        <v>6890</v>
      </c>
      <c r="F2060" s="36">
        <f t="array" ref="F2060">XLOOKUP(A2060,IMDB_Movies!I$2:I$3493,IMDB_Movies!P$2:P$3493)</f>
        <v>0</v>
      </c>
    </row>
    <row r="2061">
      <c r="A2061" s="24" t="s">
        <v>6894</v>
      </c>
      <c r="B2061" s="35">
        <f t="array" ref="B2061">XLOOKUP(A2061,IMDB_Movies!I$2:I$3493,IMDB_Movies!Q$2:Q$3493)</f>
        <v>9181250</v>
      </c>
      <c r="E2061" s="24" t="s">
        <v>6894</v>
      </c>
      <c r="F2061" s="36">
        <f t="array" ref="F2061">XLOOKUP(A2061,IMDB_Movies!I$2:I$3493,IMDB_Movies!P$2:P$3493)</f>
        <v>0</v>
      </c>
    </row>
    <row r="2062">
      <c r="A2062" s="11" t="s">
        <v>6897</v>
      </c>
      <c r="B2062" s="35">
        <f t="array" ref="B2062">XLOOKUP(A2062,IMDB_Movies!I$2:I$3493,IMDB_Movies!Q$2:Q$3493)</f>
        <v>0</v>
      </c>
      <c r="E2062" s="11" t="s">
        <v>6897</v>
      </c>
      <c r="F2062" s="36">
        <f t="array" ref="F2062">XLOOKUP(A2062,IMDB_Movies!I$2:I$3493,IMDB_Movies!P$2:P$3493)</f>
        <v>22285953</v>
      </c>
    </row>
    <row r="2063">
      <c r="A2063" s="20" t="s">
        <v>6901</v>
      </c>
      <c r="B2063" s="35">
        <f t="array" ref="B2063">XLOOKUP(A2063,IMDB_Movies!I$2:I$3493,IMDB_Movies!Q$2:Q$3493)</f>
        <v>1780971</v>
      </c>
      <c r="E2063" s="20" t="s">
        <v>6901</v>
      </c>
      <c r="F2063" s="36">
        <f t="array" ref="F2063">XLOOKUP(A2063,IMDB_Movies!I$2:I$3493,IMDB_Movies!P$2:P$3493)</f>
        <v>0</v>
      </c>
    </row>
    <row r="2064">
      <c r="A2064" s="16" t="s">
        <v>6905</v>
      </c>
      <c r="B2064" s="35">
        <f t="array" ref="B2064">XLOOKUP(A2064,IMDB_Movies!I$2:I$3493,IMDB_Movies!Q$2:Q$3493)</f>
        <v>6803933</v>
      </c>
      <c r="E2064" s="16" t="s">
        <v>6905</v>
      </c>
      <c r="F2064" s="36">
        <f t="array" ref="F2064">XLOOKUP(A2064,IMDB_Movies!I$2:I$3493,IMDB_Movies!P$2:P$3493)</f>
        <v>0</v>
      </c>
    </row>
    <row r="2065">
      <c r="A2065" s="11" t="s">
        <v>6907</v>
      </c>
      <c r="B2065" s="35">
        <f t="array" ref="B2065">XLOOKUP(A2065,IMDB_Movies!I$2:I$3493,IMDB_Movies!Q$2:Q$3493)</f>
        <v>553005191</v>
      </c>
      <c r="E2065" s="11" t="s">
        <v>6907</v>
      </c>
      <c r="F2065" s="36">
        <f t="array" ref="F2065">XLOOKUP(A2065,IMDB_Movies!I$2:I$3493,IMDB_Movies!P$2:P$3493)</f>
        <v>0</v>
      </c>
    </row>
    <row r="2066">
      <c r="A2066" s="11" t="s">
        <v>6911</v>
      </c>
      <c r="B2066" s="35">
        <f t="array" ref="B2066">XLOOKUP(A2066,IMDB_Movies!I$2:I$3493,IMDB_Movies!Q$2:Q$3493)</f>
        <v>1421092</v>
      </c>
      <c r="E2066" s="11" t="s">
        <v>6911</v>
      </c>
      <c r="F2066" s="36">
        <f t="array" ref="F2066">XLOOKUP(A2066,IMDB_Movies!I$2:I$3493,IMDB_Movies!P$2:P$3493)</f>
        <v>0</v>
      </c>
    </row>
    <row r="2067">
      <c r="A2067" s="16" t="s">
        <v>6914</v>
      </c>
      <c r="B2067" s="35">
        <f t="array" ref="B2067">XLOOKUP(A2067,IMDB_Movies!I$2:I$3493,IMDB_Movies!Q$2:Q$3493)</f>
        <v>9550442</v>
      </c>
      <c r="E2067" s="16" t="s">
        <v>6914</v>
      </c>
      <c r="F2067" s="36">
        <f t="array" ref="F2067">XLOOKUP(A2067,IMDB_Movies!I$2:I$3493,IMDB_Movies!P$2:P$3493)</f>
        <v>0</v>
      </c>
    </row>
    <row r="2068">
      <c r="A2068" s="11" t="s">
        <v>6916</v>
      </c>
      <c r="B2068" s="35">
        <f t="array" ref="B2068">XLOOKUP(A2068,IMDB_Movies!I$2:I$3493,IMDB_Movies!Q$2:Q$3493)</f>
        <v>20479108</v>
      </c>
      <c r="E2068" s="11" t="s">
        <v>6916</v>
      </c>
      <c r="F2068" s="36">
        <f t="array" ref="F2068">XLOOKUP(A2068,IMDB_Movies!I$2:I$3493,IMDB_Movies!P$2:P$3493)</f>
        <v>0</v>
      </c>
    </row>
    <row r="2069">
      <c r="A2069" s="16" t="s">
        <v>6918</v>
      </c>
      <c r="B2069" s="35">
        <f t="array" ref="B2069">XLOOKUP(A2069,IMDB_Movies!I$2:I$3493,IMDB_Movies!Q$2:Q$3493)</f>
        <v>0</v>
      </c>
      <c r="E2069" s="16" t="s">
        <v>6918</v>
      </c>
      <c r="F2069" s="36">
        <f t="array" ref="F2069">XLOOKUP(A2069,IMDB_Movies!I$2:I$3493,IMDB_Movies!P$2:P$3493)</f>
        <v>33355354</v>
      </c>
    </row>
    <row r="2070">
      <c r="A2070" s="24" t="s">
        <v>6920</v>
      </c>
      <c r="B2070" s="35">
        <f t="array" ref="B2070">XLOOKUP(A2070,IMDB_Movies!I$2:I$3493,IMDB_Movies!Q$2:Q$3493)</f>
        <v>3877439</v>
      </c>
      <c r="E2070" s="24" t="s">
        <v>6920</v>
      </c>
      <c r="F2070" s="36">
        <f t="array" ref="F2070">XLOOKUP(A2070,IMDB_Movies!I$2:I$3493,IMDB_Movies!P$2:P$3493)</f>
        <v>0</v>
      </c>
    </row>
    <row r="2071">
      <c r="A2071" s="11" t="s">
        <v>6924</v>
      </c>
      <c r="B2071" s="35">
        <f t="array" ref="B2071">XLOOKUP(A2071,IMDB_Movies!I$2:I$3493,IMDB_Movies!Q$2:Q$3493)</f>
        <v>2407809</v>
      </c>
      <c r="E2071" s="11" t="s">
        <v>6924</v>
      </c>
      <c r="F2071" s="36">
        <f t="array" ref="F2071">XLOOKUP(A2071,IMDB_Movies!I$2:I$3493,IMDB_Movies!P$2:P$3493)</f>
        <v>0</v>
      </c>
    </row>
    <row r="2072">
      <c r="A2072" s="11" t="s">
        <v>6927</v>
      </c>
      <c r="B2072" s="35">
        <f t="array" ref="B2072">XLOOKUP(A2072,IMDB_Movies!I$2:I$3493,IMDB_Movies!Q$2:Q$3493)</f>
        <v>7077834</v>
      </c>
      <c r="E2072" s="11" t="s">
        <v>6927</v>
      </c>
      <c r="F2072" s="36">
        <f t="array" ref="F2072">XLOOKUP(A2072,IMDB_Movies!I$2:I$3493,IMDB_Movies!P$2:P$3493)</f>
        <v>0</v>
      </c>
    </row>
    <row r="2073">
      <c r="A2073" s="11" t="s">
        <v>6930</v>
      </c>
      <c r="B2073" s="35">
        <f t="array" ref="B2073">XLOOKUP(A2073,IMDB_Movies!I$2:I$3493,IMDB_Movies!Q$2:Q$3493)</f>
        <v>0</v>
      </c>
      <c r="E2073" s="11" t="s">
        <v>6930</v>
      </c>
      <c r="F2073" s="36">
        <f t="array" ref="F2073">XLOOKUP(A2073,IMDB_Movies!I$2:I$3493,IMDB_Movies!P$2:P$3493)</f>
        <v>950218</v>
      </c>
    </row>
    <row r="2074">
      <c r="A2074" s="24" t="s">
        <v>6933</v>
      </c>
      <c r="B2074" s="35">
        <f t="array" ref="B2074">XLOOKUP(A2074,IMDB_Movies!I$2:I$3493,IMDB_Movies!Q$2:Q$3493)</f>
        <v>22620910</v>
      </c>
      <c r="E2074" s="24" t="s">
        <v>6933</v>
      </c>
      <c r="F2074" s="36">
        <f t="array" ref="F2074">XLOOKUP(A2074,IMDB_Movies!I$2:I$3493,IMDB_Movies!P$2:P$3493)</f>
        <v>0</v>
      </c>
    </row>
    <row r="2075">
      <c r="A2075" s="28" t="s">
        <v>6936</v>
      </c>
      <c r="B2075" s="35">
        <f t="array" ref="B2075">XLOOKUP(A2075,IMDB_Movies!I$2:I$3493,IMDB_Movies!Q$2:Q$3493)</f>
        <v>15182960</v>
      </c>
      <c r="E2075" s="28" t="s">
        <v>6936</v>
      </c>
      <c r="F2075" s="36">
        <f t="array" ref="F2075">XLOOKUP(A2075,IMDB_Movies!I$2:I$3493,IMDB_Movies!P$2:P$3493)</f>
        <v>0</v>
      </c>
    </row>
    <row r="2076">
      <c r="A2076" s="11" t="s">
        <v>6938</v>
      </c>
      <c r="B2076" s="35">
        <f t="array" ref="B2076">XLOOKUP(A2076,IMDB_Movies!I$2:I$3493,IMDB_Movies!Q$2:Q$3493)</f>
        <v>83406809</v>
      </c>
      <c r="E2076" s="11" t="s">
        <v>6938</v>
      </c>
      <c r="F2076" s="36">
        <f t="array" ref="F2076">XLOOKUP(A2076,IMDB_Movies!I$2:I$3493,IMDB_Movies!P$2:P$3493)</f>
        <v>0</v>
      </c>
    </row>
    <row r="2077">
      <c r="A2077" s="11" t="s">
        <v>6940</v>
      </c>
      <c r="B2077" s="35">
        <f t="array" ref="B2077">XLOOKUP(A2077,IMDB_Movies!I$2:I$3493,IMDB_Movies!Q$2:Q$3493)</f>
        <v>0</v>
      </c>
      <c r="E2077" s="11" t="s">
        <v>6940</v>
      </c>
      <c r="F2077" s="36">
        <f t="array" ref="F2077">XLOOKUP(A2077,IMDB_Movies!I$2:I$3493,IMDB_Movies!P$2:P$3493)</f>
        <v>10905674</v>
      </c>
    </row>
    <row r="2078">
      <c r="A2078" s="28" t="s">
        <v>6943</v>
      </c>
      <c r="B2078" s="35">
        <f t="array" ref="B2078">XLOOKUP(A2078,IMDB_Movies!I$2:I$3493,IMDB_Movies!Q$2:Q$3493)</f>
        <v>31951647</v>
      </c>
      <c r="E2078" s="28" t="s">
        <v>6943</v>
      </c>
      <c r="F2078" s="36">
        <f t="array" ref="F2078">XLOOKUP(A2078,IMDB_Movies!I$2:I$3493,IMDB_Movies!P$2:P$3493)</f>
        <v>0</v>
      </c>
    </row>
    <row r="2079">
      <c r="A2079" s="11" t="s">
        <v>6945</v>
      </c>
      <c r="B2079" s="35">
        <f t="array" ref="B2079">XLOOKUP(A2079,IMDB_Movies!I$2:I$3493,IMDB_Movies!Q$2:Q$3493)</f>
        <v>8167174</v>
      </c>
      <c r="E2079" s="11" t="s">
        <v>6945</v>
      </c>
      <c r="F2079" s="36">
        <f t="array" ref="F2079">XLOOKUP(A2079,IMDB_Movies!I$2:I$3493,IMDB_Movies!P$2:P$3493)</f>
        <v>0</v>
      </c>
    </row>
    <row r="2080">
      <c r="A2080" s="16" t="s">
        <v>6947</v>
      </c>
      <c r="B2080" s="35">
        <f t="array" ref="B2080">XLOOKUP(A2080,IMDB_Movies!I$2:I$3493,IMDB_Movies!Q$2:Q$3493)</f>
        <v>0</v>
      </c>
      <c r="E2080" s="16" t="s">
        <v>6947</v>
      </c>
      <c r="F2080" s="36">
        <f t="array" ref="F2080">XLOOKUP(A2080,IMDB_Movies!I$2:I$3493,IMDB_Movies!P$2:P$3493)</f>
        <v>17707116</v>
      </c>
    </row>
    <row r="2081">
      <c r="A2081" s="20" t="s">
        <v>6951</v>
      </c>
      <c r="B2081" s="35">
        <f t="array" ref="B2081">XLOOKUP(A2081,IMDB_Movies!I$2:I$3493,IMDB_Movies!Q$2:Q$3493)</f>
        <v>18423913</v>
      </c>
      <c r="E2081" s="20" t="s">
        <v>6951</v>
      </c>
      <c r="F2081" s="36">
        <f t="array" ref="F2081">XLOOKUP(A2081,IMDB_Movies!I$2:I$3493,IMDB_Movies!P$2:P$3493)</f>
        <v>0</v>
      </c>
    </row>
    <row r="2082">
      <c r="A2082" s="28" t="s">
        <v>6953</v>
      </c>
      <c r="B2082" s="35">
        <f t="array" ref="B2082">XLOOKUP(A2082,IMDB_Movies!I$2:I$3493,IMDB_Movies!Q$2:Q$3493)</f>
        <v>4308561</v>
      </c>
      <c r="E2082" s="28" t="s">
        <v>6953</v>
      </c>
      <c r="F2082" s="36">
        <f t="array" ref="F2082">XLOOKUP(A2082,IMDB_Movies!I$2:I$3493,IMDB_Movies!P$2:P$3493)</f>
        <v>0</v>
      </c>
    </row>
    <row r="2083">
      <c r="A2083" s="11" t="s">
        <v>6955</v>
      </c>
      <c r="B2083" s="35">
        <f t="array" ref="B2083">XLOOKUP(A2083,IMDB_Movies!I$2:I$3493,IMDB_Movies!Q$2:Q$3493)</f>
        <v>28407897</v>
      </c>
      <c r="E2083" s="11" t="s">
        <v>6955</v>
      </c>
      <c r="F2083" s="36">
        <f t="array" ref="F2083">XLOOKUP(A2083,IMDB_Movies!I$2:I$3493,IMDB_Movies!P$2:P$3493)</f>
        <v>0</v>
      </c>
    </row>
    <row r="2084">
      <c r="A2084" s="11" t="s">
        <v>6957</v>
      </c>
      <c r="B2084" s="35">
        <f t="array" ref="B2084">XLOOKUP(A2084,IMDB_Movies!I$2:I$3493,IMDB_Movies!Q$2:Q$3493)</f>
        <v>0</v>
      </c>
      <c r="E2084" s="11" t="s">
        <v>6957</v>
      </c>
      <c r="F2084" s="36">
        <f t="array" ref="F2084">XLOOKUP(A2084,IMDB_Movies!I$2:I$3493,IMDB_Movies!P$2:P$3493)</f>
        <v>29604977</v>
      </c>
    </row>
    <row r="2085">
      <c r="A2085" s="32" t="s">
        <v>6959</v>
      </c>
      <c r="B2085" s="35">
        <f t="array" ref="B2085">XLOOKUP(A2085,IMDB_Movies!I$2:I$3493,IMDB_Movies!Q$2:Q$3493)</f>
        <v>69223741</v>
      </c>
      <c r="E2085" s="32" t="s">
        <v>6959</v>
      </c>
      <c r="F2085" s="36">
        <f t="array" ref="F2085">XLOOKUP(A2085,IMDB_Movies!I$2:I$3493,IMDB_Movies!P$2:P$3493)</f>
        <v>0</v>
      </c>
    </row>
    <row r="2086">
      <c r="A2086" s="20" t="s">
        <v>6963</v>
      </c>
      <c r="B2086" s="35">
        <f t="array" ref="B2086">XLOOKUP(A2086,IMDB_Movies!I$2:I$3493,IMDB_Movies!Q$2:Q$3493)</f>
        <v>0</v>
      </c>
      <c r="E2086" s="20" t="s">
        <v>6963</v>
      </c>
      <c r="F2086" s="36">
        <f t="array" ref="F2086">XLOOKUP(A2086,IMDB_Movies!I$2:I$3493,IMDB_Movies!P$2:P$3493)</f>
        <v>42724272</v>
      </c>
    </row>
    <row r="2087">
      <c r="A2087" s="20" t="s">
        <v>6965</v>
      </c>
      <c r="B2087" s="35">
        <f t="array" ref="B2087">XLOOKUP(A2087,IMDB_Movies!I$2:I$3493,IMDB_Movies!Q$2:Q$3493)</f>
        <v>6640707</v>
      </c>
      <c r="E2087" s="20" t="s">
        <v>6965</v>
      </c>
      <c r="F2087" s="36">
        <f t="array" ref="F2087">XLOOKUP(A2087,IMDB_Movies!I$2:I$3493,IMDB_Movies!P$2:P$3493)</f>
        <v>0</v>
      </c>
    </row>
    <row r="2088">
      <c r="A2088" s="16" t="s">
        <v>6967</v>
      </c>
      <c r="B2088" s="35">
        <f t="array" ref="B2088">XLOOKUP(A2088,IMDB_Movies!I$2:I$3493,IMDB_Movies!Q$2:Q$3493)</f>
        <v>0</v>
      </c>
      <c r="E2088" s="16" t="s">
        <v>6967</v>
      </c>
      <c r="F2088" s="36">
        <f t="array" ref="F2088">XLOOKUP(A2088,IMDB_Movies!I$2:I$3493,IMDB_Movies!P$2:P$3493)</f>
        <v>10012500</v>
      </c>
    </row>
    <row r="2089">
      <c r="A2089" s="20" t="s">
        <v>6970</v>
      </c>
      <c r="B2089" s="35">
        <f t="array" ref="B2089">XLOOKUP(A2089,IMDB_Movies!I$2:I$3493,IMDB_Movies!Q$2:Q$3493)</f>
        <v>8192146</v>
      </c>
      <c r="E2089" s="20" t="s">
        <v>6970</v>
      </c>
      <c r="F2089" s="36">
        <f t="array" ref="F2089">XLOOKUP(A2089,IMDB_Movies!I$2:I$3493,IMDB_Movies!P$2:P$3493)</f>
        <v>0</v>
      </c>
    </row>
    <row r="2090">
      <c r="A2090" s="32" t="s">
        <v>6973</v>
      </c>
      <c r="B2090" s="35">
        <f t="array" ref="B2090">XLOOKUP(A2090,IMDB_Movies!I$2:I$3493,IMDB_Movies!Q$2:Q$3493)</f>
        <v>24816338</v>
      </c>
      <c r="E2090" s="32" t="s">
        <v>6973</v>
      </c>
      <c r="F2090" s="36">
        <f t="array" ref="F2090">XLOOKUP(A2090,IMDB_Movies!I$2:I$3493,IMDB_Movies!P$2:P$3493)</f>
        <v>0</v>
      </c>
    </row>
    <row r="2091">
      <c r="A2091" s="28" t="s">
        <v>6975</v>
      </c>
      <c r="B2091" s="35">
        <f t="array" ref="B2091">XLOOKUP(A2091,IMDB_Movies!I$2:I$3493,IMDB_Movies!Q$2:Q$3493)</f>
        <v>420316</v>
      </c>
      <c r="E2091" s="28" t="s">
        <v>6975</v>
      </c>
      <c r="F2091" s="36">
        <f t="array" ref="F2091">XLOOKUP(A2091,IMDB_Movies!I$2:I$3493,IMDB_Movies!P$2:P$3493)</f>
        <v>0</v>
      </c>
    </row>
    <row r="2092">
      <c r="A2092" s="24" t="s">
        <v>6977</v>
      </c>
      <c r="B2092" s="35">
        <f t="array" ref="B2092">XLOOKUP(A2092,IMDB_Movies!I$2:I$3493,IMDB_Movies!Q$2:Q$3493)</f>
        <v>28159583</v>
      </c>
      <c r="E2092" s="24" t="s">
        <v>6977</v>
      </c>
      <c r="F2092" s="36">
        <f t="array" ref="F2092">XLOOKUP(A2092,IMDB_Movies!I$2:I$3493,IMDB_Movies!P$2:P$3493)</f>
        <v>0</v>
      </c>
    </row>
    <row r="2093">
      <c r="A2093" s="11" t="s">
        <v>6979</v>
      </c>
      <c r="B2093" s="35">
        <f t="array" ref="B2093">XLOOKUP(A2093,IMDB_Movies!I$2:I$3493,IMDB_Movies!Q$2:Q$3493)</f>
        <v>15481610</v>
      </c>
      <c r="E2093" s="11" t="s">
        <v>6979</v>
      </c>
      <c r="F2093" s="36">
        <f t="array" ref="F2093">XLOOKUP(A2093,IMDB_Movies!I$2:I$3493,IMDB_Movies!P$2:P$3493)</f>
        <v>0</v>
      </c>
    </row>
    <row r="2094">
      <c r="A2094" s="11" t="s">
        <v>6981</v>
      </c>
      <c r="B2094" s="35">
        <f t="array" ref="B2094">XLOOKUP(A2094,IMDB_Movies!I$2:I$3493,IMDB_Movies!Q$2:Q$3493)</f>
        <v>0</v>
      </c>
      <c r="E2094" s="11" t="s">
        <v>6981</v>
      </c>
      <c r="F2094" s="36">
        <f t="array" ref="F2094">XLOOKUP(A2094,IMDB_Movies!I$2:I$3493,IMDB_Movies!P$2:P$3493)</f>
        <v>160034110</v>
      </c>
    </row>
    <row r="2095">
      <c r="A2095" s="16" t="s">
        <v>6984</v>
      </c>
      <c r="B2095" s="35">
        <f t="array" ref="B2095">XLOOKUP(A2095,IMDB_Movies!I$2:I$3493,IMDB_Movies!Q$2:Q$3493)</f>
        <v>14888185</v>
      </c>
      <c r="E2095" s="16" t="s">
        <v>6984</v>
      </c>
      <c r="F2095" s="36">
        <f t="array" ref="F2095">XLOOKUP(A2095,IMDB_Movies!I$2:I$3493,IMDB_Movies!P$2:P$3493)</f>
        <v>0</v>
      </c>
    </row>
    <row r="2096">
      <c r="A2096" s="11" t="s">
        <v>6986</v>
      </c>
      <c r="B2096" s="35">
        <f t="array" ref="B2096">XLOOKUP(A2096,IMDB_Movies!I$2:I$3493,IMDB_Movies!Q$2:Q$3493)</f>
        <v>0</v>
      </c>
      <c r="E2096" s="11" t="s">
        <v>6986</v>
      </c>
      <c r="F2096" s="36">
        <f t="array" ref="F2096">XLOOKUP(A2096,IMDB_Movies!I$2:I$3493,IMDB_Movies!P$2:P$3493)</f>
        <v>108383253</v>
      </c>
    </row>
    <row r="2097">
      <c r="A2097" s="11" t="s">
        <v>6989</v>
      </c>
      <c r="B2097" s="35">
        <f t="array" ref="B2097">XLOOKUP(A2097,IMDB_Movies!I$2:I$3493,IMDB_Movies!Q$2:Q$3493)</f>
        <v>6976162</v>
      </c>
      <c r="E2097" s="11" t="s">
        <v>6989</v>
      </c>
      <c r="F2097" s="36">
        <f t="array" ref="F2097">XLOOKUP(A2097,IMDB_Movies!I$2:I$3493,IMDB_Movies!P$2:P$3493)</f>
        <v>0</v>
      </c>
    </row>
    <row r="2098">
      <c r="A2098" s="11" t="s">
        <v>6991</v>
      </c>
      <c r="B2098" s="35">
        <f t="array" ref="B2098">XLOOKUP(A2098,IMDB_Movies!I$2:I$3493,IMDB_Movies!Q$2:Q$3493)</f>
        <v>9830576</v>
      </c>
      <c r="E2098" s="11" t="s">
        <v>6991</v>
      </c>
      <c r="F2098" s="36">
        <f t="array" ref="F2098">XLOOKUP(A2098,IMDB_Movies!I$2:I$3493,IMDB_Movies!P$2:P$3493)</f>
        <v>0</v>
      </c>
    </row>
    <row r="2099">
      <c r="A2099" s="20" t="s">
        <v>6993</v>
      </c>
      <c r="B2099" s="35">
        <f t="array" ref="B2099">XLOOKUP(A2099,IMDB_Movies!I$2:I$3493,IMDB_Movies!Q$2:Q$3493)</f>
        <v>0</v>
      </c>
      <c r="E2099" s="20" t="s">
        <v>6993</v>
      </c>
      <c r="F2099" s="36">
        <f t="array" ref="F2099">XLOOKUP(A2099,IMDB_Movies!I$2:I$3493,IMDB_Movies!P$2:P$3493)</f>
        <v>52491137</v>
      </c>
    </row>
    <row r="2100">
      <c r="A2100" s="11" t="s">
        <v>6996</v>
      </c>
      <c r="B2100" s="35">
        <f t="array" ref="B2100">XLOOKUP(A2100,IMDB_Movies!I$2:I$3493,IMDB_Movies!Q$2:Q$3493)</f>
        <v>1260859</v>
      </c>
      <c r="E2100" s="11" t="s">
        <v>6996</v>
      </c>
      <c r="F2100" s="36">
        <f t="array" ref="F2100">XLOOKUP(A2100,IMDB_Movies!I$2:I$3493,IMDB_Movies!P$2:P$3493)</f>
        <v>0</v>
      </c>
    </row>
    <row r="2101">
      <c r="A2101" s="32" t="s">
        <v>6999</v>
      </c>
      <c r="B2101" s="35">
        <f t="array" ref="B2101">XLOOKUP(A2101,IMDB_Movies!I$2:I$3493,IMDB_Movies!Q$2:Q$3493)</f>
        <v>0</v>
      </c>
      <c r="E2101" s="32" t="s">
        <v>6999</v>
      </c>
      <c r="F2101" s="36">
        <f t="array" ref="F2101">XLOOKUP(A2101,IMDB_Movies!I$2:I$3493,IMDB_Movies!P$2:P$3493)</f>
        <v>46400000</v>
      </c>
    </row>
    <row r="2102">
      <c r="A2102" s="24" t="s">
        <v>7001</v>
      </c>
      <c r="B2102" s="35">
        <f t="array" ref="B2102">XLOOKUP(A2102,IMDB_Movies!I$2:I$3493,IMDB_Movies!Q$2:Q$3493)</f>
        <v>15791616</v>
      </c>
      <c r="E2102" s="24" t="s">
        <v>7001</v>
      </c>
      <c r="F2102" s="36">
        <f t="array" ref="F2102">XLOOKUP(A2102,IMDB_Movies!I$2:I$3493,IMDB_Movies!P$2:P$3493)</f>
        <v>0</v>
      </c>
    </row>
    <row r="2103">
      <c r="A2103" s="20" t="s">
        <v>7004</v>
      </c>
      <c r="B2103" s="35">
        <f t="array" ref="B2103">XLOOKUP(A2103,IMDB_Movies!I$2:I$3493,IMDB_Movies!Q$2:Q$3493)</f>
        <v>0</v>
      </c>
      <c r="E2103" s="20" t="s">
        <v>7004</v>
      </c>
      <c r="F2103" s="36">
        <f t="array" ref="F2103">XLOOKUP(A2103,IMDB_Movies!I$2:I$3493,IMDB_Movies!P$2:P$3493)</f>
        <v>56702060</v>
      </c>
    </row>
    <row r="2104">
      <c r="A2104" s="11" t="s">
        <v>7008</v>
      </c>
      <c r="B2104" s="35">
        <f t="array" ref="B2104">XLOOKUP(A2104,IMDB_Movies!I$2:I$3493,IMDB_Movies!Q$2:Q$3493)</f>
        <v>0</v>
      </c>
      <c r="E2104" s="11" t="s">
        <v>7008</v>
      </c>
      <c r="F2104" s="36">
        <f t="array" ref="F2104">XLOOKUP(A2104,IMDB_Movies!I$2:I$3493,IMDB_Movies!P$2:P$3493)</f>
        <v>1755271</v>
      </c>
    </row>
    <row r="2105">
      <c r="A2105" s="24" t="s">
        <v>7010</v>
      </c>
      <c r="B2105" s="35">
        <f t="array" ref="B2105">XLOOKUP(A2105,IMDB_Movies!I$2:I$3493,IMDB_Movies!Q$2:Q$3493)</f>
        <v>55948241</v>
      </c>
      <c r="E2105" s="24" t="s">
        <v>7010</v>
      </c>
      <c r="F2105" s="36">
        <f t="array" ref="F2105">XLOOKUP(A2105,IMDB_Movies!I$2:I$3493,IMDB_Movies!P$2:P$3493)</f>
        <v>0</v>
      </c>
    </row>
    <row r="2106">
      <c r="A2106" s="24" t="s">
        <v>7014</v>
      </c>
      <c r="B2106" s="35">
        <f t="array" ref="B2106">XLOOKUP(A2106,IMDB_Movies!I$2:I$3493,IMDB_Movies!Q$2:Q$3493)</f>
        <v>0</v>
      </c>
      <c r="E2106" s="24" t="s">
        <v>7014</v>
      </c>
      <c r="F2106" s="36">
        <f t="array" ref="F2106">XLOOKUP(A2106,IMDB_Movies!I$2:I$3493,IMDB_Movies!P$2:P$3493)</f>
        <v>16585300</v>
      </c>
    </row>
    <row r="2107">
      <c r="A2107" s="11" t="s">
        <v>7018</v>
      </c>
      <c r="B2107" s="35">
        <f t="array" ref="B2107">XLOOKUP(A2107,IMDB_Movies!I$2:I$3493,IMDB_Movies!Q$2:Q$3493)</f>
        <v>22431493</v>
      </c>
      <c r="E2107" s="11" t="s">
        <v>7018</v>
      </c>
      <c r="F2107" s="36">
        <f t="array" ref="F2107">XLOOKUP(A2107,IMDB_Movies!I$2:I$3493,IMDB_Movies!P$2:P$3493)</f>
        <v>0</v>
      </c>
    </row>
    <row r="2108">
      <c r="A2108" s="11" t="s">
        <v>7020</v>
      </c>
      <c r="B2108" s="35">
        <f t="array" ref="B2108">XLOOKUP(A2108,IMDB_Movies!I$2:I$3493,IMDB_Movies!Q$2:Q$3493)</f>
        <v>0</v>
      </c>
      <c r="E2108" s="11" t="s">
        <v>7020</v>
      </c>
      <c r="F2108" s="36">
        <f t="array" ref="F2108">XLOOKUP(A2108,IMDB_Movies!I$2:I$3493,IMDB_Movies!P$2:P$3493)</f>
        <v>59502303</v>
      </c>
    </row>
    <row r="2109">
      <c r="A2109" s="28" t="s">
        <v>7023</v>
      </c>
      <c r="B2109" s="35">
        <f t="array" ref="B2109">XLOOKUP(A2109,IMDB_Movies!I$2:I$3493,IMDB_Movies!Q$2:Q$3493)</f>
        <v>11752860</v>
      </c>
      <c r="E2109" s="28" t="s">
        <v>7023</v>
      </c>
      <c r="F2109" s="36">
        <f t="array" ref="F2109">XLOOKUP(A2109,IMDB_Movies!I$2:I$3493,IMDB_Movies!P$2:P$3493)</f>
        <v>0</v>
      </c>
    </row>
    <row r="2110">
      <c r="A2110" s="11" t="s">
        <v>7026</v>
      </c>
      <c r="B2110" s="35">
        <f t="array" ref="B2110">XLOOKUP(A2110,IMDB_Movies!I$2:I$3493,IMDB_Movies!Q$2:Q$3493)</f>
        <v>0</v>
      </c>
      <c r="E2110" s="11" t="s">
        <v>7026</v>
      </c>
      <c r="F2110" s="36">
        <f t="array" ref="F2110">XLOOKUP(A2110,IMDB_Movies!I$2:I$3493,IMDB_Movies!P$2:P$3493)</f>
        <v>32235441</v>
      </c>
    </row>
    <row r="2111">
      <c r="A2111" s="11" t="s">
        <v>7029</v>
      </c>
      <c r="B2111" s="35">
        <f t="array" ref="B2111">XLOOKUP(A2111,IMDB_Movies!I$2:I$3493,IMDB_Movies!Q$2:Q$3493)</f>
        <v>15147856</v>
      </c>
      <c r="E2111" s="11" t="s">
        <v>7029</v>
      </c>
      <c r="F2111" s="36">
        <f t="array" ref="F2111">XLOOKUP(A2111,IMDB_Movies!I$2:I$3493,IMDB_Movies!P$2:P$3493)</f>
        <v>0</v>
      </c>
    </row>
    <row r="2112">
      <c r="A2112" s="11" t="s">
        <v>7032</v>
      </c>
      <c r="B2112" s="35">
        <f t="array" ref="B2112">XLOOKUP(A2112,IMDB_Movies!I$2:I$3493,IMDB_Movies!Q$2:Q$3493)</f>
        <v>0</v>
      </c>
      <c r="E2112" s="11" t="s">
        <v>7032</v>
      </c>
      <c r="F2112" s="36">
        <f t="array" ref="F2112">XLOOKUP(A2112,IMDB_Movies!I$2:I$3493,IMDB_Movies!P$2:P$3493)</f>
        <v>9427926</v>
      </c>
    </row>
    <row r="2113">
      <c r="A2113" s="28" t="s">
        <v>7035</v>
      </c>
      <c r="B2113" s="35">
        <f t="array" ref="B2113">XLOOKUP(A2113,IMDB_Movies!I$2:I$3493,IMDB_Movies!Q$2:Q$3493)</f>
        <v>3297099</v>
      </c>
      <c r="E2113" s="28" t="s">
        <v>7035</v>
      </c>
      <c r="F2113" s="36">
        <f t="array" ref="F2113">XLOOKUP(A2113,IMDB_Movies!I$2:I$3493,IMDB_Movies!P$2:P$3493)</f>
        <v>0</v>
      </c>
    </row>
    <row r="2114">
      <c r="A2114" s="20" t="s">
        <v>7037</v>
      </c>
      <c r="B2114" s="35">
        <f t="array" ref="B2114">XLOOKUP(A2114,IMDB_Movies!I$2:I$3493,IMDB_Movies!Q$2:Q$3493)</f>
        <v>0</v>
      </c>
      <c r="E2114" s="20" t="s">
        <v>7037</v>
      </c>
      <c r="F2114" s="36">
        <f t="array" ref="F2114">XLOOKUP(A2114,IMDB_Movies!I$2:I$3493,IMDB_Movies!P$2:P$3493)</f>
        <v>35003492</v>
      </c>
    </row>
    <row r="2115">
      <c r="A2115" s="24" t="s">
        <v>7039</v>
      </c>
      <c r="B2115" s="35">
        <f t="array" ref="B2115">XLOOKUP(A2115,IMDB_Movies!I$2:I$3493,IMDB_Movies!Q$2:Q$3493)</f>
        <v>0</v>
      </c>
      <c r="E2115" s="24" t="s">
        <v>7039</v>
      </c>
      <c r="F2115" s="36">
        <f t="array" ref="F2115">XLOOKUP(A2115,IMDB_Movies!I$2:I$3493,IMDB_Movies!P$2:P$3493)</f>
        <v>49354205</v>
      </c>
    </row>
    <row r="2116">
      <c r="A2116" s="28" t="s">
        <v>7042</v>
      </c>
      <c r="B2116" s="35">
        <f t="array" ref="B2116">XLOOKUP(A2116,IMDB_Movies!I$2:I$3493,IMDB_Movies!Q$2:Q$3493)</f>
        <v>0</v>
      </c>
      <c r="E2116" s="28" t="s">
        <v>7042</v>
      </c>
      <c r="F2116" s="36">
        <f t="array" ref="F2116">XLOOKUP(A2116,IMDB_Movies!I$2:I$3493,IMDB_Movies!P$2:P$3493)</f>
        <v>96945720</v>
      </c>
    </row>
    <row r="2117">
      <c r="A2117" s="24" t="s">
        <v>7044</v>
      </c>
      <c r="B2117" s="35">
        <f t="array" ref="B2117">XLOOKUP(A2117,IMDB_Movies!I$2:I$3493,IMDB_Movies!Q$2:Q$3493)</f>
        <v>0</v>
      </c>
      <c r="E2117" s="24" t="s">
        <v>7044</v>
      </c>
      <c r="F2117" s="36">
        <f t="array" ref="F2117">XLOOKUP(A2117,IMDB_Movies!I$2:I$3493,IMDB_Movies!P$2:P$3493)</f>
        <v>21000000</v>
      </c>
    </row>
    <row r="2118">
      <c r="A2118" s="20" t="s">
        <v>7047</v>
      </c>
      <c r="B2118" s="35">
        <f t="array" ref="B2118">XLOOKUP(A2118,IMDB_Movies!I$2:I$3493,IMDB_Movies!Q$2:Q$3493)</f>
        <v>47128307</v>
      </c>
      <c r="E2118" s="20" t="s">
        <v>7047</v>
      </c>
      <c r="F2118" s="36">
        <f t="array" ref="F2118">XLOOKUP(A2118,IMDB_Movies!I$2:I$3493,IMDB_Movies!P$2:P$3493)</f>
        <v>0</v>
      </c>
    </row>
    <row r="2119">
      <c r="A2119" s="24" t="s">
        <v>7050</v>
      </c>
      <c r="B2119" s="35">
        <f t="array" ref="B2119">XLOOKUP(A2119,IMDB_Movies!I$2:I$3493,IMDB_Movies!Q$2:Q$3493)</f>
        <v>10474724</v>
      </c>
      <c r="E2119" s="24" t="s">
        <v>7050</v>
      </c>
      <c r="F2119" s="36">
        <f t="array" ref="F2119">XLOOKUP(A2119,IMDB_Movies!I$2:I$3493,IMDB_Movies!P$2:P$3493)</f>
        <v>0</v>
      </c>
    </row>
    <row r="2120">
      <c r="A2120" s="20" t="s">
        <v>7052</v>
      </c>
      <c r="B2120" s="35">
        <f t="array" ref="B2120">XLOOKUP(A2120,IMDB_Movies!I$2:I$3493,IMDB_Movies!Q$2:Q$3493)</f>
        <v>125710090</v>
      </c>
      <c r="E2120" s="20" t="s">
        <v>7052</v>
      </c>
      <c r="F2120" s="36">
        <f t="array" ref="F2120">XLOOKUP(A2120,IMDB_Movies!I$2:I$3493,IMDB_Movies!P$2:P$3493)</f>
        <v>0</v>
      </c>
    </row>
    <row r="2121">
      <c r="A2121" s="11" t="s">
        <v>7056</v>
      </c>
      <c r="B2121" s="35">
        <f t="array" ref="B2121">XLOOKUP(A2121,IMDB_Movies!I$2:I$3493,IMDB_Movies!Q$2:Q$3493)</f>
        <v>0</v>
      </c>
      <c r="E2121" s="11" t="s">
        <v>7056</v>
      </c>
      <c r="F2121" s="36">
        <f t="array" ref="F2121">XLOOKUP(A2121,IMDB_Movies!I$2:I$3493,IMDB_Movies!P$2:P$3493)</f>
        <v>16000000</v>
      </c>
    </row>
    <row r="2122">
      <c r="A2122" s="24" t="s">
        <v>7059</v>
      </c>
      <c r="B2122" s="35">
        <f t="array" ref="B2122">XLOOKUP(A2122,IMDB_Movies!I$2:I$3493,IMDB_Movies!Q$2:Q$3493)</f>
        <v>20924712</v>
      </c>
      <c r="E2122" s="24" t="s">
        <v>7059</v>
      </c>
      <c r="F2122" s="36">
        <f t="array" ref="F2122">XLOOKUP(A2122,IMDB_Movies!I$2:I$3493,IMDB_Movies!P$2:P$3493)</f>
        <v>0</v>
      </c>
    </row>
    <row r="2123">
      <c r="A2123" s="28" t="s">
        <v>7063</v>
      </c>
      <c r="B2123" s="35">
        <f t="array" ref="B2123">XLOOKUP(A2123,IMDB_Movies!I$2:I$3493,IMDB_Movies!Q$2:Q$3493)</f>
        <v>0</v>
      </c>
      <c r="E2123" s="28" t="s">
        <v>7063</v>
      </c>
      <c r="F2123" s="36">
        <f t="array" ref="F2123">XLOOKUP(A2123,IMDB_Movies!I$2:I$3493,IMDB_Movies!P$2:P$3493)</f>
        <v>476767</v>
      </c>
    </row>
    <row r="2124">
      <c r="A2124" s="20" t="s">
        <v>7065</v>
      </c>
      <c r="B2124" s="35">
        <f t="array" ref="B2124">XLOOKUP(A2124,IMDB_Movies!I$2:I$3493,IMDB_Movies!Q$2:Q$3493)</f>
        <v>0</v>
      </c>
      <c r="E2124" s="20" t="s">
        <v>7065</v>
      </c>
      <c r="F2124" s="36">
        <f t="array" ref="F2124">XLOOKUP(A2124,IMDB_Movies!I$2:I$3493,IMDB_Movies!P$2:P$3493)</f>
        <v>60341380</v>
      </c>
    </row>
    <row r="2125">
      <c r="A2125" s="20" t="s">
        <v>7069</v>
      </c>
      <c r="B2125" s="35">
        <f t="array" ref="B2125">XLOOKUP(A2125,IMDB_Movies!I$2:I$3493,IMDB_Movies!Q$2:Q$3493)</f>
        <v>1288722</v>
      </c>
      <c r="E2125" s="20" t="s">
        <v>7069</v>
      </c>
      <c r="F2125" s="36">
        <f t="array" ref="F2125">XLOOKUP(A2125,IMDB_Movies!I$2:I$3493,IMDB_Movies!P$2:P$3493)</f>
        <v>0</v>
      </c>
    </row>
    <row r="2126">
      <c r="A2126" s="16" t="s">
        <v>7071</v>
      </c>
      <c r="B2126" s="35">
        <f t="array" ref="B2126">XLOOKUP(A2126,IMDB_Movies!I$2:I$3493,IMDB_Movies!Q$2:Q$3493)</f>
        <v>0</v>
      </c>
      <c r="E2126" s="16" t="s">
        <v>7071</v>
      </c>
      <c r="F2126" s="36">
        <f t="array" ref="F2126">XLOOKUP(A2126,IMDB_Movies!I$2:I$3493,IMDB_Movies!P$2:P$3493)</f>
        <v>3997790</v>
      </c>
    </row>
    <row r="2127">
      <c r="A2127" s="32" t="s">
        <v>7073</v>
      </c>
      <c r="B2127" s="35">
        <f t="array" ref="B2127">XLOOKUP(A2127,IMDB_Movies!I$2:I$3493,IMDB_Movies!Q$2:Q$3493)</f>
        <v>0</v>
      </c>
      <c r="E2127" s="32" t="s">
        <v>7073</v>
      </c>
      <c r="F2127" s="36">
        <f t="array" ref="F2127">XLOOKUP(A2127,IMDB_Movies!I$2:I$3493,IMDB_Movies!P$2:P$3493)</f>
        <v>10018837</v>
      </c>
    </row>
    <row r="2128">
      <c r="A2128" s="20" t="s">
        <v>7077</v>
      </c>
      <c r="B2128" s="35">
        <f t="array" ref="B2128">XLOOKUP(A2128,IMDB_Movies!I$2:I$3493,IMDB_Movies!Q$2:Q$3493)</f>
        <v>5940412</v>
      </c>
      <c r="E2128" s="20" t="s">
        <v>7077</v>
      </c>
      <c r="F2128" s="36">
        <f t="array" ref="F2128">XLOOKUP(A2128,IMDB_Movies!I$2:I$3493,IMDB_Movies!P$2:P$3493)</f>
        <v>0</v>
      </c>
    </row>
    <row r="2129">
      <c r="A2129" s="11" t="s">
        <v>7080</v>
      </c>
      <c r="B2129" s="35">
        <f t="array" ref="B2129">XLOOKUP(A2129,IMDB_Movies!I$2:I$3493,IMDB_Movies!Q$2:Q$3493)</f>
        <v>3557841</v>
      </c>
      <c r="E2129" s="11" t="s">
        <v>7080</v>
      </c>
      <c r="F2129" s="36">
        <f t="array" ref="F2129">XLOOKUP(A2129,IMDB_Movies!I$2:I$3493,IMDB_Movies!P$2:P$3493)</f>
        <v>0</v>
      </c>
    </row>
    <row r="2130">
      <c r="A2130" s="20" t="s">
        <v>7083</v>
      </c>
      <c r="B2130" s="35">
        <f t="array" ref="B2130">XLOOKUP(A2130,IMDB_Movies!I$2:I$3493,IMDB_Movies!Q$2:Q$3493)</f>
        <v>18891023</v>
      </c>
      <c r="E2130" s="20" t="s">
        <v>7083</v>
      </c>
      <c r="F2130" s="36">
        <f t="array" ref="F2130">XLOOKUP(A2130,IMDB_Movies!I$2:I$3493,IMDB_Movies!P$2:P$3493)</f>
        <v>0</v>
      </c>
    </row>
    <row r="2131">
      <c r="A2131" s="11" t="s">
        <v>7085</v>
      </c>
      <c r="B2131" s="35">
        <f t="array" ref="B2131">XLOOKUP(A2131,IMDB_Movies!I$2:I$3493,IMDB_Movies!Q$2:Q$3493)</f>
        <v>11827231</v>
      </c>
      <c r="E2131" s="11" t="s">
        <v>7085</v>
      </c>
      <c r="F2131" s="36">
        <f t="array" ref="F2131">XLOOKUP(A2131,IMDB_Movies!I$2:I$3493,IMDB_Movies!P$2:P$3493)</f>
        <v>0</v>
      </c>
    </row>
    <row r="2132">
      <c r="A2132" s="11" t="s">
        <v>7087</v>
      </c>
      <c r="B2132" s="35">
        <f t="array" ref="B2132">XLOOKUP(A2132,IMDB_Movies!I$2:I$3493,IMDB_Movies!Q$2:Q$3493)</f>
        <v>0</v>
      </c>
      <c r="E2132" s="11" t="s">
        <v>7087</v>
      </c>
      <c r="F2132" s="36">
        <f t="array" ref="F2132">XLOOKUP(A2132,IMDB_Movies!I$2:I$3493,IMDB_Movies!P$2:P$3493)</f>
        <v>1102171</v>
      </c>
    </row>
    <row r="2133">
      <c r="A2133" s="11" t="s">
        <v>7091</v>
      </c>
      <c r="B2133" s="35">
        <f t="array" ref="B2133">XLOOKUP(A2133,IMDB_Movies!I$2:I$3493,IMDB_Movies!Q$2:Q$3493)</f>
        <v>20066330</v>
      </c>
      <c r="E2133" s="11" t="s">
        <v>7091</v>
      </c>
      <c r="F2133" s="36">
        <f t="array" ref="F2133">XLOOKUP(A2133,IMDB_Movies!I$2:I$3493,IMDB_Movies!P$2:P$3493)</f>
        <v>0</v>
      </c>
    </row>
    <row r="2134">
      <c r="A2134" s="11" t="s">
        <v>7094</v>
      </c>
      <c r="B2134" s="35">
        <f t="array" ref="B2134">XLOOKUP(A2134,IMDB_Movies!I$2:I$3493,IMDB_Movies!Q$2:Q$3493)</f>
        <v>4505513</v>
      </c>
      <c r="E2134" s="11" t="s">
        <v>7094</v>
      </c>
      <c r="F2134" s="36">
        <f t="array" ref="F2134">XLOOKUP(A2134,IMDB_Movies!I$2:I$3493,IMDB_Movies!P$2:P$3493)</f>
        <v>0</v>
      </c>
    </row>
    <row r="2135">
      <c r="A2135" s="11" t="s">
        <v>7096</v>
      </c>
      <c r="B2135" s="35">
        <f t="array" ref="B2135">XLOOKUP(A2135,IMDB_Movies!I$2:I$3493,IMDB_Movies!Q$2:Q$3493)</f>
        <v>13266274</v>
      </c>
      <c r="E2135" s="11" t="s">
        <v>7096</v>
      </c>
      <c r="F2135" s="36">
        <f t="array" ref="F2135">XLOOKUP(A2135,IMDB_Movies!I$2:I$3493,IMDB_Movies!P$2:P$3493)</f>
        <v>0</v>
      </c>
    </row>
    <row r="2136">
      <c r="A2136" s="28" t="s">
        <v>7099</v>
      </c>
      <c r="B2136" s="35">
        <f t="array" ref="B2136">XLOOKUP(A2136,IMDB_Movies!I$2:I$3493,IMDB_Movies!Q$2:Q$3493)</f>
        <v>4169790</v>
      </c>
      <c r="E2136" s="28" t="s">
        <v>7099</v>
      </c>
      <c r="F2136" s="36">
        <f t="array" ref="F2136">XLOOKUP(A2136,IMDB_Movies!I$2:I$3493,IMDB_Movies!P$2:P$3493)</f>
        <v>0</v>
      </c>
    </row>
    <row r="2137">
      <c r="A2137" s="11" t="s">
        <v>7102</v>
      </c>
      <c r="B2137" s="35">
        <f t="array" ref="B2137">XLOOKUP(A2137,IMDB_Movies!I$2:I$3493,IMDB_Movies!Q$2:Q$3493)</f>
        <v>0</v>
      </c>
      <c r="E2137" s="11" t="s">
        <v>7102</v>
      </c>
      <c r="F2137" s="36">
        <f t="array" ref="F2137">XLOOKUP(A2137,IMDB_Movies!I$2:I$3493,IMDB_Movies!P$2:P$3493)</f>
        <v>27693162</v>
      </c>
    </row>
    <row r="2138">
      <c r="A2138" s="16" t="s">
        <v>7106</v>
      </c>
      <c r="B2138" s="35">
        <f t="array" ref="B2138">XLOOKUP(A2138,IMDB_Movies!I$2:I$3493,IMDB_Movies!Q$2:Q$3493)</f>
        <v>0</v>
      </c>
      <c r="E2138" s="16" t="s">
        <v>7106</v>
      </c>
      <c r="F2138" s="36">
        <f t="array" ref="F2138">XLOOKUP(A2138,IMDB_Movies!I$2:I$3493,IMDB_Movies!P$2:P$3493)</f>
        <v>750798</v>
      </c>
    </row>
    <row r="2139">
      <c r="A2139" s="24" t="s">
        <v>7109</v>
      </c>
      <c r="B2139" s="35">
        <f t="array" ref="B2139">XLOOKUP(A2139,IMDB_Movies!I$2:I$3493,IMDB_Movies!Q$2:Q$3493)</f>
        <v>0</v>
      </c>
      <c r="E2139" s="24" t="s">
        <v>7109</v>
      </c>
      <c r="F2139" s="36">
        <f t="array" ref="F2139">XLOOKUP(A2139,IMDB_Movies!I$2:I$3493,IMDB_Movies!P$2:P$3493)</f>
        <v>110922370</v>
      </c>
    </row>
    <row r="2140">
      <c r="A2140" s="28" t="s">
        <v>7111</v>
      </c>
      <c r="B2140" s="35">
        <f t="array" ref="B2140">XLOOKUP(A2140,IMDB_Movies!I$2:I$3493,IMDB_Movies!Q$2:Q$3493)</f>
        <v>10764163</v>
      </c>
      <c r="E2140" s="28" t="s">
        <v>7111</v>
      </c>
      <c r="F2140" s="36">
        <f t="array" ref="F2140">XLOOKUP(A2140,IMDB_Movies!I$2:I$3493,IMDB_Movies!P$2:P$3493)</f>
        <v>0</v>
      </c>
    </row>
    <row r="2141">
      <c r="A2141" s="11" t="s">
        <v>7115</v>
      </c>
      <c r="B2141" s="35">
        <f t="array" ref="B2141">XLOOKUP(A2141,IMDB_Movies!I$2:I$3493,IMDB_Movies!Q$2:Q$3493)</f>
        <v>1305432</v>
      </c>
      <c r="E2141" s="11" t="s">
        <v>7115</v>
      </c>
      <c r="F2141" s="36">
        <f t="array" ref="F2141">XLOOKUP(A2141,IMDB_Movies!I$2:I$3493,IMDB_Movies!P$2:P$3493)</f>
        <v>0</v>
      </c>
    </row>
    <row r="2142">
      <c r="A2142" s="20" t="s">
        <v>7118</v>
      </c>
      <c r="B2142" s="35">
        <f t="array" ref="B2142">XLOOKUP(A2142,IMDB_Movies!I$2:I$3493,IMDB_Movies!Q$2:Q$3493)</f>
        <v>0</v>
      </c>
      <c r="E2142" s="20" t="s">
        <v>7118</v>
      </c>
      <c r="F2142" s="36">
        <f t="array" ref="F2142">XLOOKUP(A2142,IMDB_Movies!I$2:I$3493,IMDB_Movies!P$2:P$3493)</f>
        <v>28848100</v>
      </c>
    </row>
    <row r="2143">
      <c r="A2143" s="28" t="s">
        <v>7121</v>
      </c>
      <c r="B2143" s="35">
        <f t="array" ref="B2143">XLOOKUP(A2143,IMDB_Movies!I$2:I$3493,IMDB_Movies!Q$2:Q$3493)</f>
        <v>0</v>
      </c>
      <c r="E2143" s="28" t="s">
        <v>7121</v>
      </c>
      <c r="F2143" s="36">
        <f t="array" ref="F2143">XLOOKUP(A2143,IMDB_Movies!I$2:I$3493,IMDB_Movies!P$2:P$3493)</f>
        <v>5128617</v>
      </c>
    </row>
    <row r="2144">
      <c r="A2144" s="11" t="s">
        <v>7124</v>
      </c>
      <c r="B2144" s="35">
        <f t="array" ref="B2144">XLOOKUP(A2144,IMDB_Movies!I$2:I$3493,IMDB_Movies!Q$2:Q$3493)</f>
        <v>0</v>
      </c>
      <c r="E2144" s="11" t="s">
        <v>7124</v>
      </c>
      <c r="F2144" s="36">
        <f t="array" ref="F2144">XLOOKUP(A2144,IMDB_Movies!I$2:I$3493,IMDB_Movies!P$2:P$3493)</f>
        <v>59267897</v>
      </c>
    </row>
    <row r="2145">
      <c r="A2145" s="11" t="s">
        <v>7126</v>
      </c>
      <c r="B2145" s="35">
        <f t="array" ref="B2145">XLOOKUP(A2145,IMDB_Movies!I$2:I$3493,IMDB_Movies!Q$2:Q$3493)</f>
        <v>1207221</v>
      </c>
      <c r="E2145" s="11" t="s">
        <v>7126</v>
      </c>
      <c r="F2145" s="36">
        <f t="array" ref="F2145">XLOOKUP(A2145,IMDB_Movies!I$2:I$3493,IMDB_Movies!P$2:P$3493)</f>
        <v>0</v>
      </c>
    </row>
    <row r="2146">
      <c r="A2146" s="20" t="s">
        <v>7129</v>
      </c>
      <c r="B2146" s="35">
        <f t="array" ref="B2146">XLOOKUP(A2146,IMDB_Movies!I$2:I$3493,IMDB_Movies!Q$2:Q$3493)</f>
        <v>4651683</v>
      </c>
      <c r="E2146" s="20" t="s">
        <v>7129</v>
      </c>
      <c r="F2146" s="36">
        <f t="array" ref="F2146">XLOOKUP(A2146,IMDB_Movies!I$2:I$3493,IMDB_Movies!P$2:P$3493)</f>
        <v>0</v>
      </c>
    </row>
    <row r="2147">
      <c r="A2147" s="32" t="s">
        <v>7132</v>
      </c>
      <c r="B2147" s="35">
        <f t="array" ref="B2147">XLOOKUP(A2147,IMDB_Movies!I$2:I$3493,IMDB_Movies!Q$2:Q$3493)</f>
        <v>0</v>
      </c>
      <c r="E2147" s="32" t="s">
        <v>7132</v>
      </c>
      <c r="F2147" s="36">
        <f t="array" ref="F2147">XLOOKUP(A2147,IMDB_Movies!I$2:I$3493,IMDB_Movies!P$2:P$3493)</f>
        <v>79225854</v>
      </c>
    </row>
    <row r="2148">
      <c r="A2148" s="24" t="s">
        <v>7136</v>
      </c>
      <c r="B2148" s="35">
        <f t="array" ref="B2148">XLOOKUP(A2148,IMDB_Movies!I$2:I$3493,IMDB_Movies!Q$2:Q$3493)</f>
        <v>9939047</v>
      </c>
      <c r="E2148" s="24" t="s">
        <v>7136</v>
      </c>
      <c r="F2148" s="36">
        <f t="array" ref="F2148">XLOOKUP(A2148,IMDB_Movies!I$2:I$3493,IMDB_Movies!P$2:P$3493)</f>
        <v>0</v>
      </c>
    </row>
    <row r="2149">
      <c r="A2149" s="20" t="s">
        <v>7140</v>
      </c>
      <c r="B2149" s="35">
        <f t="array" ref="B2149">XLOOKUP(A2149,IMDB_Movies!I$2:I$3493,IMDB_Movies!Q$2:Q$3493)</f>
        <v>0</v>
      </c>
      <c r="E2149" s="20" t="s">
        <v>7140</v>
      </c>
      <c r="F2149" s="36">
        <f t="array" ref="F2149">XLOOKUP(A2149,IMDB_Movies!I$2:I$3493,IMDB_Movies!P$2:P$3493)</f>
        <v>195631306</v>
      </c>
    </row>
    <row r="2150">
      <c r="A2150" s="24" t="s">
        <v>7143</v>
      </c>
      <c r="B2150" s="35">
        <f t="array" ref="B2150">XLOOKUP(A2150,IMDB_Movies!I$2:I$3493,IMDB_Movies!Q$2:Q$3493)</f>
        <v>9994022</v>
      </c>
      <c r="E2150" s="24" t="s">
        <v>7143</v>
      </c>
      <c r="F2150" s="36">
        <f t="array" ref="F2150">XLOOKUP(A2150,IMDB_Movies!I$2:I$3493,IMDB_Movies!P$2:P$3493)</f>
        <v>0</v>
      </c>
    </row>
    <row r="2151">
      <c r="A2151" s="11" t="s">
        <v>7145</v>
      </c>
      <c r="B2151" s="35">
        <f t="array" ref="B2151">XLOOKUP(A2151,IMDB_Movies!I$2:I$3493,IMDB_Movies!Q$2:Q$3493)</f>
        <v>25993274</v>
      </c>
      <c r="E2151" s="11" t="s">
        <v>7145</v>
      </c>
      <c r="F2151" s="36">
        <f t="array" ref="F2151">XLOOKUP(A2151,IMDB_Movies!I$2:I$3493,IMDB_Movies!P$2:P$3493)</f>
        <v>0</v>
      </c>
    </row>
    <row r="2152">
      <c r="A2152" s="24" t="s">
        <v>7148</v>
      </c>
      <c r="B2152" s="35">
        <f t="array" ref="B2152">XLOOKUP(A2152,IMDB_Movies!I$2:I$3493,IMDB_Movies!Q$2:Q$3493)</f>
        <v>11851144</v>
      </c>
      <c r="E2152" s="24" t="s">
        <v>7148</v>
      </c>
      <c r="F2152" s="36">
        <f t="array" ref="F2152">XLOOKUP(A2152,IMDB_Movies!I$2:I$3493,IMDB_Movies!P$2:P$3493)</f>
        <v>0</v>
      </c>
    </row>
    <row r="2153">
      <c r="A2153" s="24" t="s">
        <v>7150</v>
      </c>
      <c r="B2153" s="35">
        <f t="array" ref="B2153">XLOOKUP(A2153,IMDB_Movies!I$2:I$3493,IMDB_Movies!Q$2:Q$3493)</f>
        <v>0</v>
      </c>
      <c r="E2153" s="24" t="s">
        <v>7150</v>
      </c>
      <c r="F2153" s="36">
        <f t="array" ref="F2153">XLOOKUP(A2153,IMDB_Movies!I$2:I$3493,IMDB_Movies!P$2:P$3493)</f>
        <v>106148159</v>
      </c>
    </row>
    <row r="2154">
      <c r="A2154" s="24" t="s">
        <v>7152</v>
      </c>
      <c r="B2154" s="35">
        <f t="array" ref="B2154">XLOOKUP(A2154,IMDB_Movies!I$2:I$3493,IMDB_Movies!Q$2:Q$3493)</f>
        <v>0</v>
      </c>
      <c r="E2154" s="24" t="s">
        <v>7152</v>
      </c>
      <c r="F2154" s="36">
        <f t="array" ref="F2154">XLOOKUP(A2154,IMDB_Movies!I$2:I$3493,IMDB_Movies!P$2:P$3493)</f>
        <v>5648679</v>
      </c>
    </row>
    <row r="2155">
      <c r="A2155" s="11" t="s">
        <v>7155</v>
      </c>
      <c r="B2155" s="35">
        <f t="array" ref="B2155">XLOOKUP(A2155,IMDB_Movies!I$2:I$3493,IMDB_Movies!Q$2:Q$3493)</f>
        <v>0</v>
      </c>
      <c r="E2155" s="11" t="s">
        <v>7155</v>
      </c>
      <c r="F2155" s="36">
        <f t="array" ref="F2155">XLOOKUP(A2155,IMDB_Movies!I$2:I$3493,IMDB_Movies!P$2:P$3493)</f>
        <v>18860010</v>
      </c>
    </row>
    <row r="2156">
      <c r="A2156" s="11" t="s">
        <v>7157</v>
      </c>
      <c r="B2156" s="35">
        <f t="array" ref="B2156">XLOOKUP(A2156,IMDB_Movies!I$2:I$3493,IMDB_Movies!Q$2:Q$3493)</f>
        <v>30348023</v>
      </c>
      <c r="E2156" s="11" t="s">
        <v>7157</v>
      </c>
      <c r="F2156" s="36">
        <f t="array" ref="F2156">XLOOKUP(A2156,IMDB_Movies!I$2:I$3493,IMDB_Movies!P$2:P$3493)</f>
        <v>0</v>
      </c>
    </row>
    <row r="2157">
      <c r="A2157" s="24" t="s">
        <v>7159</v>
      </c>
      <c r="B2157" s="35">
        <f t="array" ref="B2157">XLOOKUP(A2157,IMDB_Movies!I$2:I$3493,IMDB_Movies!Q$2:Q$3493)</f>
        <v>0</v>
      </c>
      <c r="E2157" s="24" t="s">
        <v>7159</v>
      </c>
      <c r="F2157" s="36">
        <f t="array" ref="F2157">XLOOKUP(A2157,IMDB_Movies!I$2:I$3493,IMDB_Movies!P$2:P$3493)</f>
        <v>17162741</v>
      </c>
    </row>
    <row r="2158">
      <c r="A2158" s="11" t="s">
        <v>7162</v>
      </c>
      <c r="B2158" s="35">
        <f t="array" ref="B2158">XLOOKUP(A2158,IMDB_Movies!I$2:I$3493,IMDB_Movies!Q$2:Q$3493)</f>
        <v>6827190</v>
      </c>
      <c r="E2158" s="11" t="s">
        <v>7162</v>
      </c>
      <c r="F2158" s="36">
        <f t="array" ref="F2158">XLOOKUP(A2158,IMDB_Movies!I$2:I$3493,IMDB_Movies!P$2:P$3493)</f>
        <v>0</v>
      </c>
    </row>
    <row r="2159">
      <c r="A2159" s="28" t="s">
        <v>7165</v>
      </c>
      <c r="B2159" s="35">
        <f t="array" ref="B2159">XLOOKUP(A2159,IMDB_Movies!I$2:I$3493,IMDB_Movies!Q$2:Q$3493)</f>
        <v>0</v>
      </c>
      <c r="E2159" s="28" t="s">
        <v>7165</v>
      </c>
      <c r="F2159" s="36">
        <f t="array" ref="F2159">XLOOKUP(A2159,IMDB_Movies!I$2:I$3493,IMDB_Movies!P$2:P$3493)</f>
        <v>34098862</v>
      </c>
    </row>
    <row r="2160">
      <c r="A2160" s="28" t="s">
        <v>7167</v>
      </c>
      <c r="B2160" s="35">
        <f t="array" ref="B2160">XLOOKUP(A2160,IMDB_Movies!I$2:I$3493,IMDB_Movies!Q$2:Q$3493)</f>
        <v>688237</v>
      </c>
      <c r="E2160" s="28" t="s">
        <v>7167</v>
      </c>
      <c r="F2160" s="36">
        <f t="array" ref="F2160">XLOOKUP(A2160,IMDB_Movies!I$2:I$3493,IMDB_Movies!P$2:P$3493)</f>
        <v>0</v>
      </c>
    </row>
    <row r="2161">
      <c r="A2161" s="11" t="s">
        <v>7169</v>
      </c>
      <c r="B2161" s="35">
        <f t="array" ref="B2161">XLOOKUP(A2161,IMDB_Movies!I$2:I$3493,IMDB_Movies!Q$2:Q$3493)</f>
        <v>0</v>
      </c>
      <c r="E2161" s="11" t="s">
        <v>7169</v>
      </c>
      <c r="F2161" s="36">
        <f t="array" ref="F2161">XLOOKUP(A2161,IMDB_Movies!I$2:I$3493,IMDB_Movies!P$2:P$3493)</f>
        <v>41827000</v>
      </c>
    </row>
    <row r="2162">
      <c r="A2162" s="11" t="s">
        <v>7171</v>
      </c>
      <c r="B2162" s="35">
        <f t="array" ref="B2162">XLOOKUP(A2162,IMDB_Movies!I$2:I$3493,IMDB_Movies!Q$2:Q$3493)</f>
        <v>0</v>
      </c>
      <c r="E2162" s="11" t="s">
        <v>7171</v>
      </c>
      <c r="F2162" s="36">
        <f t="array" ref="F2162">XLOOKUP(A2162,IMDB_Movies!I$2:I$3493,IMDB_Movies!P$2:P$3493)</f>
        <v>220760500</v>
      </c>
    </row>
    <row r="2163">
      <c r="A2163" s="11" t="s">
        <v>7173</v>
      </c>
      <c r="B2163" s="35">
        <f t="array" ref="B2163">XLOOKUP(A2163,IMDB_Movies!I$2:I$3493,IMDB_Movies!Q$2:Q$3493)</f>
        <v>0</v>
      </c>
      <c r="E2163" s="11" t="s">
        <v>7173</v>
      </c>
      <c r="F2163" s="36">
        <f t="array" ref="F2163">XLOOKUP(A2163,IMDB_Movies!I$2:I$3493,IMDB_Movies!P$2:P$3493)</f>
        <v>31353636</v>
      </c>
    </row>
    <row r="2164">
      <c r="A2164" s="11" t="s">
        <v>7177</v>
      </c>
      <c r="B2164" s="35">
        <f t="array" ref="B2164">XLOOKUP(A2164,IMDB_Movies!I$2:I$3493,IMDB_Movies!Q$2:Q$3493)</f>
        <v>0</v>
      </c>
      <c r="E2164" s="11" t="s">
        <v>7177</v>
      </c>
      <c r="F2164" s="36">
        <f t="array" ref="F2164">XLOOKUP(A2164,IMDB_Movies!I$2:I$3493,IMDB_Movies!P$2:P$3493)</f>
        <v>7130611</v>
      </c>
    </row>
    <row r="2165">
      <c r="A2165" s="11" t="s">
        <v>7179</v>
      </c>
      <c r="B2165" s="35">
        <f t="array" ref="B2165">XLOOKUP(A2165,IMDB_Movies!I$2:I$3493,IMDB_Movies!Q$2:Q$3493)</f>
        <v>0</v>
      </c>
      <c r="E2165" s="11" t="s">
        <v>7179</v>
      </c>
      <c r="F2165" s="36">
        <f t="array" ref="F2165">XLOOKUP(A2165,IMDB_Movies!I$2:I$3493,IMDB_Movies!P$2:P$3493)</f>
        <v>58326666</v>
      </c>
    </row>
    <row r="2166">
      <c r="A2166" s="20" t="s">
        <v>7182</v>
      </c>
      <c r="B2166" s="35">
        <f t="array" ref="B2166">XLOOKUP(A2166,IMDB_Movies!I$2:I$3493,IMDB_Movies!Q$2:Q$3493)</f>
        <v>0</v>
      </c>
      <c r="E2166" s="20" t="s">
        <v>7182</v>
      </c>
      <c r="F2166" s="36">
        <f t="array" ref="F2166">XLOOKUP(A2166,IMDB_Movies!I$2:I$3493,IMDB_Movies!P$2:P$3493)</f>
        <v>1204508</v>
      </c>
    </row>
    <row r="2167">
      <c r="A2167" s="11" t="s">
        <v>7184</v>
      </c>
      <c r="B2167" s="35">
        <f t="array" ref="B2167">XLOOKUP(A2167,IMDB_Movies!I$2:I$3493,IMDB_Movies!Q$2:Q$3493)</f>
        <v>0</v>
      </c>
      <c r="E2167" s="11" t="s">
        <v>7184</v>
      </c>
      <c r="F2167" s="36">
        <f t="array" ref="F2167">XLOOKUP(A2167,IMDB_Movies!I$2:I$3493,IMDB_Movies!P$2:P$3493)</f>
        <v>7980275</v>
      </c>
    </row>
    <row r="2168">
      <c r="A2168" s="20" t="s">
        <v>7187</v>
      </c>
      <c r="B2168" s="35">
        <f t="array" ref="B2168">XLOOKUP(A2168,IMDB_Movies!I$2:I$3493,IMDB_Movies!Q$2:Q$3493)</f>
        <v>6967504</v>
      </c>
      <c r="E2168" s="20" t="s">
        <v>7187</v>
      </c>
      <c r="F2168" s="36">
        <f t="array" ref="F2168">XLOOKUP(A2168,IMDB_Movies!I$2:I$3493,IMDB_Movies!P$2:P$3493)</f>
        <v>0</v>
      </c>
    </row>
    <row r="2169">
      <c r="A2169" s="28" t="s">
        <v>7189</v>
      </c>
      <c r="B2169" s="35">
        <f t="array" ref="B2169">XLOOKUP(A2169,IMDB_Movies!I$2:I$3493,IMDB_Movies!Q$2:Q$3493)</f>
        <v>0</v>
      </c>
      <c r="E2169" s="28" t="s">
        <v>7189</v>
      </c>
      <c r="F2169" s="36">
        <f t="array" ref="F2169">XLOOKUP(A2169,IMDB_Movies!I$2:I$3493,IMDB_Movies!P$2:P$3493)</f>
        <v>8197405</v>
      </c>
    </row>
    <row r="2170">
      <c r="A2170" s="11" t="s">
        <v>7192</v>
      </c>
      <c r="B2170" s="35">
        <f t="array" ref="B2170">XLOOKUP(A2170,IMDB_Movies!I$2:I$3493,IMDB_Movies!Q$2:Q$3493)</f>
        <v>0</v>
      </c>
      <c r="E2170" s="11" t="s">
        <v>7192</v>
      </c>
      <c r="F2170" s="36">
        <f t="array" ref="F2170">XLOOKUP(A2170,IMDB_Movies!I$2:I$3493,IMDB_Movies!P$2:P$3493)</f>
        <v>53953403</v>
      </c>
    </row>
    <row r="2171">
      <c r="A2171" s="32" t="s">
        <v>7194</v>
      </c>
      <c r="B2171" s="35">
        <f t="array" ref="B2171">XLOOKUP(A2171,IMDB_Movies!I$2:I$3493,IMDB_Movies!Q$2:Q$3493)</f>
        <v>8954199</v>
      </c>
      <c r="E2171" s="32" t="s">
        <v>7194</v>
      </c>
      <c r="F2171" s="36">
        <f t="array" ref="F2171">XLOOKUP(A2171,IMDB_Movies!I$2:I$3493,IMDB_Movies!P$2:P$3493)</f>
        <v>0</v>
      </c>
    </row>
    <row r="2172">
      <c r="A2172" s="24" t="s">
        <v>7198</v>
      </c>
      <c r="B2172" s="35">
        <f t="array" ref="B2172">XLOOKUP(A2172,IMDB_Movies!I$2:I$3493,IMDB_Movies!Q$2:Q$3493)</f>
        <v>1455956</v>
      </c>
      <c r="E2172" s="24" t="s">
        <v>7198</v>
      </c>
      <c r="F2172" s="36">
        <f t="array" ref="F2172">XLOOKUP(A2172,IMDB_Movies!I$2:I$3493,IMDB_Movies!P$2:P$3493)</f>
        <v>0</v>
      </c>
    </row>
    <row r="2173">
      <c r="A2173" s="32" t="s">
        <v>7200</v>
      </c>
      <c r="B2173" s="35">
        <f t="array" ref="B2173">XLOOKUP(A2173,IMDB_Movies!I$2:I$3493,IMDB_Movies!Q$2:Q$3493)</f>
        <v>0</v>
      </c>
      <c r="E2173" s="32" t="s">
        <v>7200</v>
      </c>
      <c r="F2173" s="36">
        <f t="array" ref="F2173">XLOOKUP(A2173,IMDB_Movies!I$2:I$3493,IMDB_Movies!P$2:P$3493)</f>
        <v>195675583</v>
      </c>
    </row>
    <row r="2174">
      <c r="A2174" s="16" t="s">
        <v>7202</v>
      </c>
      <c r="B2174" s="35">
        <f t="array" ref="B2174">XLOOKUP(A2174,IMDB_Movies!I$2:I$3493,IMDB_Movies!Q$2:Q$3493)</f>
        <v>0</v>
      </c>
      <c r="E2174" s="16" t="s">
        <v>7202</v>
      </c>
      <c r="F2174" s="36">
        <f t="array" ref="F2174">XLOOKUP(A2174,IMDB_Movies!I$2:I$3493,IMDB_Movies!P$2:P$3493)</f>
        <v>274691196</v>
      </c>
    </row>
    <row r="2175">
      <c r="A2175" s="16" t="s">
        <v>7204</v>
      </c>
      <c r="B2175" s="35">
        <f t="array" ref="B2175">XLOOKUP(A2175,IMDB_Movies!I$2:I$3493,IMDB_Movies!Q$2:Q$3493)</f>
        <v>0</v>
      </c>
      <c r="E2175" s="16" t="s">
        <v>7204</v>
      </c>
      <c r="F2175" s="36">
        <f t="array" ref="F2175">XLOOKUP(A2175,IMDB_Movies!I$2:I$3493,IMDB_Movies!P$2:P$3493)</f>
        <v>18292061</v>
      </c>
    </row>
    <row r="2176">
      <c r="A2176" s="24" t="s">
        <v>7207</v>
      </c>
      <c r="B2176" s="35">
        <f t="array" ref="B2176">XLOOKUP(A2176,IMDB_Movies!I$2:I$3493,IMDB_Movies!Q$2:Q$3493)</f>
        <v>0</v>
      </c>
      <c r="E2176" s="24" t="s">
        <v>7207</v>
      </c>
      <c r="F2176" s="36">
        <f t="array" ref="F2176">XLOOKUP(A2176,IMDB_Movies!I$2:I$3493,IMDB_Movies!P$2:P$3493)</f>
        <v>8272447</v>
      </c>
    </row>
    <row r="2177">
      <c r="A2177" s="24" t="s">
        <v>7209</v>
      </c>
      <c r="B2177" s="35">
        <f t="array" ref="B2177">XLOOKUP(A2177,IMDB_Movies!I$2:I$3493,IMDB_Movies!Q$2:Q$3493)</f>
        <v>0</v>
      </c>
      <c r="E2177" s="24" t="s">
        <v>7209</v>
      </c>
      <c r="F2177" s="36">
        <f t="array" ref="F2177">XLOOKUP(A2177,IMDB_Movies!I$2:I$3493,IMDB_Movies!P$2:P$3493)</f>
        <v>359544677</v>
      </c>
    </row>
    <row r="2178">
      <c r="A2178" s="32" t="s">
        <v>7212</v>
      </c>
      <c r="B2178" s="35">
        <f t="array" ref="B2178">XLOOKUP(A2178,IMDB_Movies!I$2:I$3493,IMDB_Movies!Q$2:Q$3493)</f>
        <v>0</v>
      </c>
      <c r="E2178" s="32" t="s">
        <v>7212</v>
      </c>
      <c r="F2178" s="36">
        <f t="array" ref="F2178">XLOOKUP(A2178,IMDB_Movies!I$2:I$3493,IMDB_Movies!P$2:P$3493)</f>
        <v>8642254</v>
      </c>
    </row>
    <row r="2179">
      <c r="A2179" s="11" t="s">
        <v>7214</v>
      </c>
      <c r="B2179" s="35">
        <f t="array" ref="B2179">XLOOKUP(A2179,IMDB_Movies!I$2:I$3493,IMDB_Movies!Q$2:Q$3493)</f>
        <v>42718168</v>
      </c>
      <c r="E2179" s="11" t="s">
        <v>7214</v>
      </c>
      <c r="F2179" s="36">
        <f t="array" ref="F2179">XLOOKUP(A2179,IMDB_Movies!I$2:I$3493,IMDB_Movies!P$2:P$3493)</f>
        <v>0</v>
      </c>
    </row>
    <row r="2180">
      <c r="A2180" s="24" t="s">
        <v>7216</v>
      </c>
      <c r="B2180" s="35">
        <f t="array" ref="B2180">XLOOKUP(A2180,IMDB_Movies!I$2:I$3493,IMDB_Movies!Q$2:Q$3493)</f>
        <v>0</v>
      </c>
      <c r="E2180" s="24" t="s">
        <v>7216</v>
      </c>
      <c r="F2180" s="36">
        <f t="array" ref="F2180">XLOOKUP(A2180,IMDB_Movies!I$2:I$3493,IMDB_Movies!P$2:P$3493)</f>
        <v>40136047</v>
      </c>
    </row>
    <row r="2181">
      <c r="A2181" s="11" t="s">
        <v>7218</v>
      </c>
      <c r="B2181" s="35">
        <f t="array" ref="B2181">XLOOKUP(A2181,IMDB_Movies!I$2:I$3493,IMDB_Movies!Q$2:Q$3493)</f>
        <v>7391173</v>
      </c>
      <c r="E2181" s="11" t="s">
        <v>7218</v>
      </c>
      <c r="F2181" s="36">
        <f t="array" ref="F2181">XLOOKUP(A2181,IMDB_Movies!I$2:I$3493,IMDB_Movies!P$2:P$3493)</f>
        <v>0</v>
      </c>
    </row>
    <row r="2182">
      <c r="A2182" s="11" t="s">
        <v>7220</v>
      </c>
      <c r="B2182" s="35">
        <f t="array" ref="B2182">XLOOKUP(A2182,IMDB_Movies!I$2:I$3493,IMDB_Movies!Q$2:Q$3493)</f>
        <v>0</v>
      </c>
      <c r="E2182" s="11" t="s">
        <v>7220</v>
      </c>
      <c r="F2182" s="36">
        <f t="array" ref="F2182">XLOOKUP(A2182,IMDB_Movies!I$2:I$3493,IMDB_Movies!P$2:P$3493)</f>
        <v>34034755</v>
      </c>
    </row>
    <row r="2183">
      <c r="A2183" s="20" t="s">
        <v>7223</v>
      </c>
      <c r="B2183" s="35">
        <f t="array" ref="B2183">XLOOKUP(A2183,IMDB_Movies!I$2:I$3493,IMDB_Movies!Q$2:Q$3493)</f>
        <v>67047980</v>
      </c>
      <c r="E2183" s="20" t="s">
        <v>7223</v>
      </c>
      <c r="F2183" s="36">
        <f t="array" ref="F2183">XLOOKUP(A2183,IMDB_Movies!I$2:I$3493,IMDB_Movies!P$2:P$3493)</f>
        <v>0</v>
      </c>
    </row>
    <row r="2184">
      <c r="A2184" s="24" t="s">
        <v>7225</v>
      </c>
      <c r="B2184" s="35">
        <f t="array" ref="B2184">XLOOKUP(A2184,IMDB_Movies!I$2:I$3493,IMDB_Movies!Q$2:Q$3493)</f>
        <v>0</v>
      </c>
      <c r="E2184" s="24" t="s">
        <v>7225</v>
      </c>
      <c r="F2184" s="36">
        <f t="array" ref="F2184">XLOOKUP(A2184,IMDB_Movies!I$2:I$3493,IMDB_Movies!P$2:P$3493)</f>
        <v>32306065</v>
      </c>
    </row>
    <row r="2185">
      <c r="A2185" s="11" t="s">
        <v>7228</v>
      </c>
      <c r="B2185" s="35">
        <f t="array" ref="B2185">XLOOKUP(A2185,IMDB_Movies!I$2:I$3493,IMDB_Movies!Q$2:Q$3493)</f>
        <v>0</v>
      </c>
      <c r="E2185" s="11" t="s">
        <v>7228</v>
      </c>
      <c r="F2185" s="36">
        <f t="array" ref="F2185">XLOOKUP(A2185,IMDB_Movies!I$2:I$3493,IMDB_Movies!P$2:P$3493)</f>
        <v>10152879</v>
      </c>
    </row>
    <row r="2186">
      <c r="A2186" s="11" t="s">
        <v>7231</v>
      </c>
      <c r="B2186" s="35">
        <f t="array" ref="B2186">XLOOKUP(A2186,IMDB_Movies!I$2:I$3493,IMDB_Movies!Q$2:Q$3493)</f>
        <v>28169943</v>
      </c>
      <c r="E2186" s="11" t="s">
        <v>7231</v>
      </c>
      <c r="F2186" s="36">
        <f t="array" ref="F2186">XLOOKUP(A2186,IMDB_Movies!I$2:I$3493,IMDB_Movies!P$2:P$3493)</f>
        <v>0</v>
      </c>
    </row>
    <row r="2187">
      <c r="A2187" s="11" t="s">
        <v>7233</v>
      </c>
      <c r="B2187" s="35">
        <f t="array" ref="B2187">XLOOKUP(A2187,IMDB_Movies!I$2:I$3493,IMDB_Movies!Q$2:Q$3493)</f>
        <v>0</v>
      </c>
      <c r="E2187" s="11" t="s">
        <v>7233</v>
      </c>
      <c r="F2187" s="36">
        <f t="array" ref="F2187">XLOOKUP(A2187,IMDB_Movies!I$2:I$3493,IMDB_Movies!P$2:P$3493)</f>
        <v>24054514</v>
      </c>
    </row>
    <row r="2188">
      <c r="A2188" s="11" t="s">
        <v>7237</v>
      </c>
      <c r="B2188" s="35">
        <f t="array" ref="B2188">XLOOKUP(A2188,IMDB_Movies!I$2:I$3493,IMDB_Movies!Q$2:Q$3493)</f>
        <v>2450515</v>
      </c>
      <c r="E2188" s="11" t="s">
        <v>7237</v>
      </c>
      <c r="F2188" s="36">
        <f t="array" ref="F2188">XLOOKUP(A2188,IMDB_Movies!I$2:I$3493,IMDB_Movies!P$2:P$3493)</f>
        <v>0</v>
      </c>
    </row>
    <row r="2189">
      <c r="A2189" s="24" t="s">
        <v>7240</v>
      </c>
      <c r="B2189" s="35">
        <f t="array" ref="B2189">XLOOKUP(A2189,IMDB_Movies!I$2:I$3493,IMDB_Movies!Q$2:Q$3493)</f>
        <v>46840695</v>
      </c>
      <c r="E2189" s="24" t="s">
        <v>7240</v>
      </c>
      <c r="F2189" s="36">
        <f t="array" ref="F2189">XLOOKUP(A2189,IMDB_Movies!I$2:I$3493,IMDB_Movies!P$2:P$3493)</f>
        <v>0</v>
      </c>
    </row>
    <row r="2190">
      <c r="A2190" s="24" t="s">
        <v>7244</v>
      </c>
      <c r="B2190" s="35">
        <f t="array" ref="B2190">XLOOKUP(A2190,IMDB_Movies!I$2:I$3493,IMDB_Movies!Q$2:Q$3493)</f>
        <v>4934913</v>
      </c>
      <c r="E2190" s="24" t="s">
        <v>7244</v>
      </c>
      <c r="F2190" s="36">
        <f t="array" ref="F2190">XLOOKUP(A2190,IMDB_Movies!I$2:I$3493,IMDB_Movies!P$2:P$3493)</f>
        <v>0</v>
      </c>
    </row>
    <row r="2191">
      <c r="A2191" s="11" t="s">
        <v>7246</v>
      </c>
      <c r="B2191" s="35">
        <f t="array" ref="B2191">XLOOKUP(A2191,IMDB_Movies!I$2:I$3493,IMDB_Movies!Q$2:Q$3493)</f>
        <v>0</v>
      </c>
      <c r="E2191" s="11" t="s">
        <v>7246</v>
      </c>
      <c r="F2191" s="36">
        <f t="array" ref="F2191">XLOOKUP(A2191,IMDB_Movies!I$2:I$3493,IMDB_Movies!P$2:P$3493)</f>
        <v>55173235</v>
      </c>
    </row>
    <row r="2192">
      <c r="A2192" s="11" t="s">
        <v>7248</v>
      </c>
      <c r="B2192" s="35">
        <f t="array" ref="B2192">XLOOKUP(A2192,IMDB_Movies!I$2:I$3493,IMDB_Movies!Q$2:Q$3493)</f>
        <v>1774772</v>
      </c>
      <c r="E2192" s="11" t="s">
        <v>7248</v>
      </c>
      <c r="F2192" s="36">
        <f t="array" ref="F2192">XLOOKUP(A2192,IMDB_Movies!I$2:I$3493,IMDB_Movies!P$2:P$3493)</f>
        <v>0</v>
      </c>
    </row>
    <row r="2193">
      <c r="A2193" s="16" t="s">
        <v>7251</v>
      </c>
      <c r="B2193" s="35">
        <f t="array" ref="B2193">XLOOKUP(A2193,IMDB_Movies!I$2:I$3493,IMDB_Movies!Q$2:Q$3493)</f>
        <v>0</v>
      </c>
      <c r="E2193" s="16" t="s">
        <v>7251</v>
      </c>
      <c r="F2193" s="36">
        <f t="array" ref="F2193">XLOOKUP(A2193,IMDB_Movies!I$2:I$3493,IMDB_Movies!P$2:P$3493)</f>
        <v>46257845</v>
      </c>
    </row>
    <row r="2194">
      <c r="A2194" s="24" t="s">
        <v>7253</v>
      </c>
      <c r="B2194" s="35">
        <f t="array" ref="B2194">XLOOKUP(A2194,IMDB_Movies!I$2:I$3493,IMDB_Movies!Q$2:Q$3493)</f>
        <v>0</v>
      </c>
      <c r="E2194" s="24" t="s">
        <v>7253</v>
      </c>
      <c r="F2194" s="36">
        <f t="array" ref="F2194">XLOOKUP(A2194,IMDB_Movies!I$2:I$3493,IMDB_Movies!P$2:P$3493)</f>
        <v>50401464</v>
      </c>
    </row>
    <row r="2195">
      <c r="A2195" s="32" t="s">
        <v>7255</v>
      </c>
      <c r="B2195" s="35">
        <f t="array" ref="B2195">XLOOKUP(A2195,IMDB_Movies!I$2:I$3493,IMDB_Movies!Q$2:Q$3493)</f>
        <v>0</v>
      </c>
      <c r="E2195" s="32" t="s">
        <v>7255</v>
      </c>
      <c r="F2195" s="36">
        <f t="array" ref="F2195">XLOOKUP(A2195,IMDB_Movies!I$2:I$3493,IMDB_Movies!P$2:P$3493)</f>
        <v>19588068</v>
      </c>
    </row>
    <row r="2196">
      <c r="A2196" s="16" t="s">
        <v>7258</v>
      </c>
      <c r="B2196" s="35">
        <f t="array" ref="B2196">XLOOKUP(A2196,IMDB_Movies!I$2:I$3493,IMDB_Movies!Q$2:Q$3493)</f>
        <v>24903810</v>
      </c>
      <c r="E2196" s="16" t="s">
        <v>7258</v>
      </c>
      <c r="F2196" s="36">
        <f t="array" ref="F2196">XLOOKUP(A2196,IMDB_Movies!I$2:I$3493,IMDB_Movies!P$2:P$3493)</f>
        <v>0</v>
      </c>
    </row>
    <row r="2197">
      <c r="A2197" s="28" t="s">
        <v>7260</v>
      </c>
      <c r="B2197" s="35">
        <f t="array" ref="B2197">XLOOKUP(A2197,IMDB_Movies!I$2:I$3493,IMDB_Movies!Q$2:Q$3493)</f>
        <v>5744713</v>
      </c>
      <c r="E2197" s="28" t="s">
        <v>7260</v>
      </c>
      <c r="F2197" s="36">
        <f t="array" ref="F2197">XLOOKUP(A2197,IMDB_Movies!I$2:I$3493,IMDB_Movies!P$2:P$3493)</f>
        <v>0</v>
      </c>
    </row>
    <row r="2198">
      <c r="A2198" s="28" t="s">
        <v>7264</v>
      </c>
      <c r="B2198" s="35">
        <f t="array" ref="B2198">XLOOKUP(A2198,IMDB_Movies!I$2:I$3493,IMDB_Movies!Q$2:Q$3493)</f>
        <v>0</v>
      </c>
      <c r="E2198" s="28" t="s">
        <v>7264</v>
      </c>
      <c r="F2198" s="36">
        <f t="array" ref="F2198">XLOOKUP(A2198,IMDB_Movies!I$2:I$3493,IMDB_Movies!P$2:P$3493)</f>
        <v>4351969</v>
      </c>
    </row>
    <row r="2199">
      <c r="A2199" s="11" t="s">
        <v>7268</v>
      </c>
      <c r="B2199" s="35">
        <f t="array" ref="B2199">XLOOKUP(A2199,IMDB_Movies!I$2:I$3493,IMDB_Movies!Q$2:Q$3493)</f>
        <v>7899497</v>
      </c>
      <c r="E2199" s="11" t="s">
        <v>7268</v>
      </c>
      <c r="F2199" s="36">
        <f t="array" ref="F2199">XLOOKUP(A2199,IMDB_Movies!I$2:I$3493,IMDB_Movies!P$2:P$3493)</f>
        <v>0</v>
      </c>
    </row>
    <row r="2200">
      <c r="A2200" s="11" t="s">
        <v>7270</v>
      </c>
      <c r="B2200" s="35">
        <f t="array" ref="B2200">XLOOKUP(A2200,IMDB_Movies!I$2:I$3493,IMDB_Movies!Q$2:Q$3493)</f>
        <v>0</v>
      </c>
      <c r="E2200" s="11" t="s">
        <v>7270</v>
      </c>
      <c r="F2200" s="36">
        <f t="array" ref="F2200">XLOOKUP(A2200,IMDB_Movies!I$2:I$3493,IMDB_Movies!P$2:P$3493)</f>
        <v>77946274</v>
      </c>
    </row>
    <row r="2201">
      <c r="A2201" s="16" t="s">
        <v>7273</v>
      </c>
      <c r="B2201" s="35">
        <f t="array" ref="B2201">XLOOKUP(A2201,IMDB_Movies!I$2:I$3493,IMDB_Movies!Q$2:Q$3493)</f>
        <v>4072280</v>
      </c>
      <c r="E2201" s="16" t="s">
        <v>7273</v>
      </c>
      <c r="F2201" s="36">
        <f t="array" ref="F2201">XLOOKUP(A2201,IMDB_Movies!I$2:I$3493,IMDB_Movies!P$2:P$3493)</f>
        <v>0</v>
      </c>
    </row>
    <row r="2202">
      <c r="A2202" s="20" t="s">
        <v>7275</v>
      </c>
      <c r="B2202" s="35">
        <f t="array" ref="B2202">XLOOKUP(A2202,IMDB_Movies!I$2:I$3493,IMDB_Movies!Q$2:Q$3493)</f>
        <v>417976</v>
      </c>
      <c r="E2202" s="20" t="s">
        <v>7275</v>
      </c>
      <c r="F2202" s="36">
        <f t="array" ref="F2202">XLOOKUP(A2202,IMDB_Movies!I$2:I$3493,IMDB_Movies!P$2:P$3493)</f>
        <v>0</v>
      </c>
    </row>
    <row r="2203">
      <c r="A2203" s="11" t="s">
        <v>7278</v>
      </c>
      <c r="B2203" s="35">
        <f t="array" ref="B2203">XLOOKUP(A2203,IMDB_Movies!I$2:I$3493,IMDB_Movies!Q$2:Q$3493)</f>
        <v>0</v>
      </c>
      <c r="E2203" s="11" t="s">
        <v>7278</v>
      </c>
      <c r="F2203" s="36">
        <f t="array" ref="F2203">XLOOKUP(A2203,IMDB_Movies!I$2:I$3493,IMDB_Movies!P$2:P$3493)</f>
        <v>16002004</v>
      </c>
    </row>
    <row r="2204">
      <c r="A2204" s="20" t="s">
        <v>7283</v>
      </c>
      <c r="B2204" s="35">
        <f t="array" ref="B2204">XLOOKUP(A2204,IMDB_Movies!I$2:I$3493,IMDB_Movies!Q$2:Q$3493)</f>
        <v>20000000</v>
      </c>
      <c r="E2204" s="20" t="s">
        <v>7283</v>
      </c>
      <c r="F2204" s="36">
        <f t="array" ref="F2204">XLOOKUP(A2204,IMDB_Movies!I$2:I$3493,IMDB_Movies!P$2:P$3493)</f>
        <v>0</v>
      </c>
    </row>
    <row r="2205">
      <c r="A2205" s="11" t="s">
        <v>7285</v>
      </c>
      <c r="B2205" s="35">
        <f t="array" ref="B2205">XLOOKUP(A2205,IMDB_Movies!I$2:I$3493,IMDB_Movies!Q$2:Q$3493)</f>
        <v>9094723</v>
      </c>
      <c r="E2205" s="11" t="s">
        <v>7285</v>
      </c>
      <c r="F2205" s="36">
        <f t="array" ref="F2205">XLOOKUP(A2205,IMDB_Movies!I$2:I$3493,IMDB_Movies!P$2:P$3493)</f>
        <v>0</v>
      </c>
    </row>
    <row r="2206">
      <c r="A2206" s="28" t="s">
        <v>7288</v>
      </c>
      <c r="B2206" s="35">
        <f t="array" ref="B2206">XLOOKUP(A2206,IMDB_Movies!I$2:I$3493,IMDB_Movies!Q$2:Q$3493)</f>
        <v>7128397</v>
      </c>
      <c r="E2206" s="28" t="s">
        <v>7288</v>
      </c>
      <c r="F2206" s="36">
        <f t="array" ref="F2206">XLOOKUP(A2206,IMDB_Movies!I$2:I$3493,IMDB_Movies!P$2:P$3493)</f>
        <v>0</v>
      </c>
    </row>
    <row r="2207">
      <c r="A2207" s="11" t="s">
        <v>7290</v>
      </c>
      <c r="B2207" s="35">
        <f t="array" ref="B2207">XLOOKUP(A2207,IMDB_Movies!I$2:I$3493,IMDB_Movies!Q$2:Q$3493)</f>
        <v>0</v>
      </c>
      <c r="E2207" s="11" t="s">
        <v>7290</v>
      </c>
      <c r="F2207" s="36">
        <f t="array" ref="F2207">XLOOKUP(A2207,IMDB_Movies!I$2:I$3493,IMDB_Movies!P$2:P$3493)</f>
        <v>41439400</v>
      </c>
    </row>
    <row r="2208">
      <c r="A2208" s="20" t="s">
        <v>7294</v>
      </c>
      <c r="B2208" s="35">
        <f t="array" ref="B2208">XLOOKUP(A2208,IMDB_Movies!I$2:I$3493,IMDB_Movies!Q$2:Q$3493)</f>
        <v>0</v>
      </c>
      <c r="E2208" s="20" t="s">
        <v>7294</v>
      </c>
      <c r="F2208" s="36">
        <f t="array" ref="F2208">XLOOKUP(A2208,IMDB_Movies!I$2:I$3493,IMDB_Movies!P$2:P$3493)</f>
        <v>182925485</v>
      </c>
    </row>
    <row r="2209">
      <c r="A2209" s="11" t="s">
        <v>7297</v>
      </c>
      <c r="B2209" s="35">
        <f t="array" ref="B2209">XLOOKUP(A2209,IMDB_Movies!I$2:I$3493,IMDB_Movies!Q$2:Q$3493)</f>
        <v>0</v>
      </c>
      <c r="E2209" s="11" t="s">
        <v>7297</v>
      </c>
      <c r="F2209" s="36">
        <f t="array" ref="F2209">XLOOKUP(A2209,IMDB_Movies!I$2:I$3493,IMDB_Movies!P$2:P$3493)</f>
        <v>54412921</v>
      </c>
    </row>
    <row r="2210">
      <c r="A2210" s="11" t="s">
        <v>7299</v>
      </c>
      <c r="B2210" s="35">
        <f t="array" ref="B2210">XLOOKUP(A2210,IMDB_Movies!I$2:I$3493,IMDB_Movies!Q$2:Q$3493)</f>
        <v>34816875</v>
      </c>
      <c r="E2210" s="11" t="s">
        <v>7299</v>
      </c>
      <c r="F2210" s="36">
        <f t="array" ref="F2210">XLOOKUP(A2210,IMDB_Movies!I$2:I$3493,IMDB_Movies!P$2:P$3493)</f>
        <v>0</v>
      </c>
    </row>
    <row r="2211">
      <c r="A2211" s="28" t="s">
        <v>7303</v>
      </c>
      <c r="B2211" s="35">
        <f t="array" ref="B2211">XLOOKUP(A2211,IMDB_Movies!I$2:I$3493,IMDB_Movies!Q$2:Q$3493)</f>
        <v>0</v>
      </c>
      <c r="E2211" s="28" t="s">
        <v>7303</v>
      </c>
      <c r="F2211" s="36">
        <f t="array" ref="F2211">XLOOKUP(A2211,IMDB_Movies!I$2:I$3493,IMDB_Movies!P$2:P$3493)</f>
        <v>3517198</v>
      </c>
    </row>
    <row r="2212">
      <c r="A2212" s="32" t="s">
        <v>7307</v>
      </c>
      <c r="B2212" s="35">
        <f t="array" ref="B2212">XLOOKUP(A2212,IMDB_Movies!I$2:I$3493,IMDB_Movies!Q$2:Q$3493)</f>
        <v>0</v>
      </c>
      <c r="E2212" s="32" t="s">
        <v>7307</v>
      </c>
      <c r="F2212" s="36">
        <f t="array" ref="F2212">XLOOKUP(A2212,IMDB_Movies!I$2:I$3493,IMDB_Movies!P$2:P$3493)</f>
        <v>16994911</v>
      </c>
    </row>
    <row r="2213">
      <c r="A2213" s="20" t="s">
        <v>7309</v>
      </c>
      <c r="B2213" s="35">
        <f t="array" ref="B2213">XLOOKUP(A2213,IMDB_Movies!I$2:I$3493,IMDB_Movies!Q$2:Q$3493)</f>
        <v>26161870</v>
      </c>
      <c r="E2213" s="20" t="s">
        <v>7309</v>
      </c>
      <c r="F2213" s="36">
        <f t="array" ref="F2213">XLOOKUP(A2213,IMDB_Movies!I$2:I$3493,IMDB_Movies!P$2:P$3493)</f>
        <v>0</v>
      </c>
    </row>
    <row r="2214">
      <c r="A2214" s="11" t="s">
        <v>7311</v>
      </c>
      <c r="B2214" s="35">
        <f t="array" ref="B2214">XLOOKUP(A2214,IMDB_Movies!I$2:I$3493,IMDB_Movies!Q$2:Q$3493)</f>
        <v>0</v>
      </c>
      <c r="E2214" s="11" t="s">
        <v>7311</v>
      </c>
      <c r="F2214" s="36">
        <f t="array" ref="F2214">XLOOKUP(A2214,IMDB_Movies!I$2:I$3493,IMDB_Movies!P$2:P$3493)</f>
        <v>19540762</v>
      </c>
    </row>
    <row r="2215">
      <c r="A2215" s="16" t="s">
        <v>7314</v>
      </c>
      <c r="B2215" s="35">
        <f t="array" ref="B2215">XLOOKUP(A2215,IMDB_Movies!I$2:I$3493,IMDB_Movies!Q$2:Q$3493)</f>
        <v>0</v>
      </c>
      <c r="E2215" s="16" t="s">
        <v>7314</v>
      </c>
      <c r="F2215" s="36">
        <f t="array" ref="F2215">XLOOKUP(A2215,IMDB_Movies!I$2:I$3493,IMDB_Movies!P$2:P$3493)</f>
        <v>7617947</v>
      </c>
    </row>
    <row r="2216">
      <c r="A2216" s="28" t="s">
        <v>7317</v>
      </c>
      <c r="B2216" s="35">
        <f t="array" ref="B2216">XLOOKUP(A2216,IMDB_Movies!I$2:I$3493,IMDB_Movies!Q$2:Q$3493)</f>
        <v>6919884</v>
      </c>
      <c r="E2216" s="28" t="s">
        <v>7317</v>
      </c>
      <c r="F2216" s="36">
        <f t="array" ref="F2216">XLOOKUP(A2216,IMDB_Movies!I$2:I$3493,IMDB_Movies!P$2:P$3493)</f>
        <v>0</v>
      </c>
    </row>
    <row r="2217">
      <c r="A2217" s="20" t="s">
        <v>7319</v>
      </c>
      <c r="B2217" s="35">
        <f t="array" ref="B2217">XLOOKUP(A2217,IMDB_Movies!I$2:I$3493,IMDB_Movies!Q$2:Q$3493)</f>
        <v>1912244</v>
      </c>
      <c r="E2217" s="20" t="s">
        <v>7319</v>
      </c>
      <c r="F2217" s="36">
        <f t="array" ref="F2217">XLOOKUP(A2217,IMDB_Movies!I$2:I$3493,IMDB_Movies!P$2:P$3493)</f>
        <v>0</v>
      </c>
    </row>
    <row r="2218">
      <c r="A2218" s="16" t="s">
        <v>7321</v>
      </c>
      <c r="B2218" s="35">
        <f t="array" ref="B2218">XLOOKUP(A2218,IMDB_Movies!I$2:I$3493,IMDB_Movies!Q$2:Q$3493)</f>
        <v>0</v>
      </c>
      <c r="E2218" s="16" t="s">
        <v>7321</v>
      </c>
      <c r="F2218" s="36">
        <f t="array" ref="F2218">XLOOKUP(A2218,IMDB_Movies!I$2:I$3493,IMDB_Movies!P$2:P$3493)</f>
        <v>116578352</v>
      </c>
    </row>
    <row r="2219">
      <c r="A2219" s="24" t="s">
        <v>7323</v>
      </c>
      <c r="B2219" s="35">
        <f t="array" ref="B2219">XLOOKUP(A2219,IMDB_Movies!I$2:I$3493,IMDB_Movies!Q$2:Q$3493)</f>
        <v>7469465</v>
      </c>
      <c r="E2219" s="24" t="s">
        <v>7323</v>
      </c>
      <c r="F2219" s="36">
        <f t="array" ref="F2219">XLOOKUP(A2219,IMDB_Movies!I$2:I$3493,IMDB_Movies!P$2:P$3493)</f>
        <v>0</v>
      </c>
    </row>
    <row r="2220">
      <c r="A2220" s="11" t="s">
        <v>7326</v>
      </c>
      <c r="B2220" s="35">
        <f t="array" ref="B2220">XLOOKUP(A2220,IMDB_Movies!I$2:I$3493,IMDB_Movies!Q$2:Q$3493)</f>
        <v>1233986</v>
      </c>
      <c r="E2220" s="11" t="s">
        <v>7326</v>
      </c>
      <c r="F2220" s="36">
        <f t="array" ref="F2220">XLOOKUP(A2220,IMDB_Movies!I$2:I$3493,IMDB_Movies!P$2:P$3493)</f>
        <v>0</v>
      </c>
    </row>
    <row r="2221">
      <c r="A2221" s="20" t="s">
        <v>7329</v>
      </c>
      <c r="B2221" s="35">
        <f t="array" ref="B2221">XLOOKUP(A2221,IMDB_Movies!I$2:I$3493,IMDB_Movies!Q$2:Q$3493)</f>
        <v>0</v>
      </c>
      <c r="E2221" s="20" t="s">
        <v>7329</v>
      </c>
      <c r="F2221" s="36">
        <f t="array" ref="F2221">XLOOKUP(A2221,IMDB_Movies!I$2:I$3493,IMDB_Movies!P$2:P$3493)</f>
        <v>6753840</v>
      </c>
    </row>
    <row r="2222">
      <c r="A2222" s="11" t="s">
        <v>7333</v>
      </c>
      <c r="B2222" s="35">
        <f t="array" ref="B2222">XLOOKUP(A2222,IMDB_Movies!I$2:I$3493,IMDB_Movies!Q$2:Q$3493)</f>
        <v>17786</v>
      </c>
      <c r="E2222" s="11" t="s">
        <v>7333</v>
      </c>
      <c r="F2222" s="36">
        <f t="array" ref="F2222">XLOOKUP(A2222,IMDB_Movies!I$2:I$3493,IMDB_Movies!P$2:P$3493)</f>
        <v>0</v>
      </c>
    </row>
    <row r="2223">
      <c r="A2223" s="28" t="s">
        <v>7336</v>
      </c>
      <c r="B2223" s="35">
        <f t="array" ref="B2223">XLOOKUP(A2223,IMDB_Movies!I$2:I$3493,IMDB_Movies!Q$2:Q$3493)</f>
        <v>0</v>
      </c>
      <c r="E2223" s="28" t="s">
        <v>7336</v>
      </c>
      <c r="F2223" s="36">
        <f t="array" ref="F2223">XLOOKUP(A2223,IMDB_Movies!I$2:I$3493,IMDB_Movies!P$2:P$3493)</f>
        <v>40668868</v>
      </c>
    </row>
    <row r="2224">
      <c r="A2224" s="11" t="s">
        <v>7339</v>
      </c>
      <c r="B2224" s="35">
        <f t="array" ref="B2224">XLOOKUP(A2224,IMDB_Movies!I$2:I$3493,IMDB_Movies!Q$2:Q$3493)</f>
        <v>0</v>
      </c>
      <c r="E2224" s="11" t="s">
        <v>7339</v>
      </c>
      <c r="F2224" s="36">
        <f t="array" ref="F2224">XLOOKUP(A2224,IMDB_Movies!I$2:I$3493,IMDB_Movies!P$2:P$3493)</f>
        <v>23071558</v>
      </c>
    </row>
    <row r="2225">
      <c r="A2225" s="20" t="s">
        <v>7341</v>
      </c>
      <c r="B2225" s="35">
        <f t="array" ref="B2225">XLOOKUP(A2225,IMDB_Movies!I$2:I$3493,IMDB_Movies!Q$2:Q$3493)</f>
        <v>0</v>
      </c>
      <c r="E2225" s="20" t="s">
        <v>7341</v>
      </c>
      <c r="F2225" s="36">
        <f t="array" ref="F2225">XLOOKUP(A2225,IMDB_Movies!I$2:I$3493,IMDB_Movies!P$2:P$3493)</f>
        <v>117137090</v>
      </c>
    </row>
    <row r="2226">
      <c r="A2226" s="11" t="s">
        <v>7344</v>
      </c>
      <c r="B2226" s="35">
        <f t="array" ref="B2226">XLOOKUP(A2226,IMDB_Movies!I$2:I$3493,IMDB_Movies!Q$2:Q$3493)</f>
        <v>0</v>
      </c>
      <c r="E2226" s="11" t="s">
        <v>7344</v>
      </c>
      <c r="F2226" s="36">
        <f t="array" ref="F2226">XLOOKUP(A2226,IMDB_Movies!I$2:I$3493,IMDB_Movies!P$2:P$3493)</f>
        <v>12051917</v>
      </c>
    </row>
    <row r="2227">
      <c r="A2227" s="11" t="s">
        <v>7347</v>
      </c>
      <c r="B2227" s="35">
        <f t="array" ref="B2227">XLOOKUP(A2227,IMDB_Movies!I$2:I$3493,IMDB_Movies!Q$2:Q$3493)</f>
        <v>0</v>
      </c>
      <c r="E2227" s="11" t="s">
        <v>7347</v>
      </c>
      <c r="F2227" s="36">
        <f t="array" ref="F2227">XLOOKUP(A2227,IMDB_Movies!I$2:I$3493,IMDB_Movies!P$2:P$3493)</f>
        <v>199816</v>
      </c>
    </row>
    <row r="2228">
      <c r="A2228" s="11" t="s">
        <v>7350</v>
      </c>
      <c r="B2228" s="35">
        <f t="array" ref="B2228">XLOOKUP(A2228,IMDB_Movies!I$2:I$3493,IMDB_Movies!Q$2:Q$3493)</f>
        <v>0</v>
      </c>
      <c r="E2228" s="11" t="s">
        <v>7350</v>
      </c>
      <c r="F2228" s="36">
        <f t="array" ref="F2228">XLOOKUP(A2228,IMDB_Movies!I$2:I$3493,IMDB_Movies!P$2:P$3493)</f>
        <v>815288</v>
      </c>
    </row>
    <row r="2229">
      <c r="A2229" s="11" t="s">
        <v>7352</v>
      </c>
      <c r="B2229" s="35">
        <f t="array" ref="B2229">XLOOKUP(A2229,IMDB_Movies!I$2:I$3493,IMDB_Movies!Q$2:Q$3493)</f>
        <v>32245792</v>
      </c>
      <c r="E2229" s="11" t="s">
        <v>7352</v>
      </c>
      <c r="F2229" s="36">
        <f t="array" ref="F2229">XLOOKUP(A2229,IMDB_Movies!I$2:I$3493,IMDB_Movies!P$2:P$3493)</f>
        <v>0</v>
      </c>
    </row>
    <row r="2230">
      <c r="A2230" s="11" t="s">
        <v>7355</v>
      </c>
      <c r="B2230" s="35">
        <f t="array" ref="B2230">XLOOKUP(A2230,IMDB_Movies!I$2:I$3493,IMDB_Movies!Q$2:Q$3493)</f>
        <v>0</v>
      </c>
      <c r="E2230" s="11" t="s">
        <v>7355</v>
      </c>
      <c r="F2230" s="36">
        <f t="array" ref="F2230">XLOOKUP(A2230,IMDB_Movies!I$2:I$3493,IMDB_Movies!P$2:P$3493)</f>
        <v>36398162</v>
      </c>
    </row>
    <row r="2231">
      <c r="A2231" s="24" t="s">
        <v>7359</v>
      </c>
      <c r="B2231" s="35">
        <f t="array" ref="B2231">XLOOKUP(A2231,IMDB_Movies!I$2:I$3493,IMDB_Movies!Q$2:Q$3493)</f>
        <v>0</v>
      </c>
      <c r="E2231" s="24" t="s">
        <v>7359</v>
      </c>
      <c r="F2231" s="36">
        <f t="array" ref="F2231">XLOOKUP(A2231,IMDB_Movies!I$2:I$3493,IMDB_Movies!P$2:P$3493)</f>
        <v>17926543</v>
      </c>
    </row>
    <row r="2232">
      <c r="A2232" s="11" t="s">
        <v>7362</v>
      </c>
      <c r="B2232" s="35">
        <f t="array" ref="B2232">XLOOKUP(A2232,IMDB_Movies!I$2:I$3493,IMDB_Movies!Q$2:Q$3493)</f>
        <v>9099074</v>
      </c>
      <c r="E2232" s="11" t="s">
        <v>7362</v>
      </c>
      <c r="F2232" s="36">
        <f t="array" ref="F2232">XLOOKUP(A2232,IMDB_Movies!I$2:I$3493,IMDB_Movies!P$2:P$3493)</f>
        <v>0</v>
      </c>
    </row>
    <row r="2233">
      <c r="A2233" s="11" t="s">
        <v>7365</v>
      </c>
      <c r="B2233" s="35">
        <f t="array" ref="B2233">XLOOKUP(A2233,IMDB_Movies!I$2:I$3493,IMDB_Movies!Q$2:Q$3493)</f>
        <v>4877005</v>
      </c>
      <c r="E2233" s="11" t="s">
        <v>7365</v>
      </c>
      <c r="F2233" s="36">
        <f t="array" ref="F2233">XLOOKUP(A2233,IMDB_Movies!I$2:I$3493,IMDB_Movies!P$2:P$3493)</f>
        <v>0</v>
      </c>
    </row>
    <row r="2234">
      <c r="A2234" s="11" t="s">
        <v>7367</v>
      </c>
      <c r="B2234" s="35">
        <f t="array" ref="B2234">XLOOKUP(A2234,IMDB_Movies!I$2:I$3493,IMDB_Movies!Q$2:Q$3493)</f>
        <v>74901420</v>
      </c>
      <c r="E2234" s="11" t="s">
        <v>7367</v>
      </c>
      <c r="F2234" s="36">
        <f t="array" ref="F2234">XLOOKUP(A2234,IMDB_Movies!I$2:I$3493,IMDB_Movies!P$2:P$3493)</f>
        <v>0</v>
      </c>
    </row>
    <row r="2235">
      <c r="A2235" s="11" t="s">
        <v>7370</v>
      </c>
      <c r="B2235" s="35">
        <f t="array" ref="B2235">XLOOKUP(A2235,IMDB_Movies!I$2:I$3493,IMDB_Movies!Q$2:Q$3493)</f>
        <v>0</v>
      </c>
      <c r="E2235" s="11" t="s">
        <v>7370</v>
      </c>
      <c r="F2235" s="36">
        <f t="array" ref="F2235">XLOOKUP(A2235,IMDB_Movies!I$2:I$3493,IMDB_Movies!P$2:P$3493)</f>
        <v>2269307</v>
      </c>
    </row>
    <row r="2236">
      <c r="A2236" s="11" t="s">
        <v>7372</v>
      </c>
      <c r="B2236" s="35">
        <f t="array" ref="B2236">XLOOKUP(A2236,IMDB_Movies!I$2:I$3493,IMDB_Movies!Q$2:Q$3493)</f>
        <v>0</v>
      </c>
      <c r="E2236" s="11" t="s">
        <v>7372</v>
      </c>
      <c r="F2236" s="36">
        <f t="array" ref="F2236">XLOOKUP(A2236,IMDB_Movies!I$2:I$3493,IMDB_Movies!P$2:P$3493)</f>
        <v>12969824</v>
      </c>
    </row>
    <row r="2237">
      <c r="A2237" s="16" t="s">
        <v>7376</v>
      </c>
      <c r="B2237" s="35">
        <f t="array" ref="B2237">XLOOKUP(A2237,IMDB_Movies!I$2:I$3493,IMDB_Movies!Q$2:Q$3493)</f>
        <v>0</v>
      </c>
      <c r="E2237" s="16" t="s">
        <v>7376</v>
      </c>
      <c r="F2237" s="36">
        <f t="array" ref="F2237">XLOOKUP(A2237,IMDB_Movies!I$2:I$3493,IMDB_Movies!P$2:P$3493)</f>
        <v>106415432</v>
      </c>
    </row>
    <row r="2238">
      <c r="A2238" s="11" t="s">
        <v>7379</v>
      </c>
      <c r="B2238" s="35">
        <f t="array" ref="B2238">XLOOKUP(A2238,IMDB_Movies!I$2:I$3493,IMDB_Movies!Q$2:Q$3493)</f>
        <v>0</v>
      </c>
      <c r="E2238" s="11" t="s">
        <v>7379</v>
      </c>
      <c r="F2238" s="36">
        <f t="array" ref="F2238">XLOOKUP(A2238,IMDB_Movies!I$2:I$3493,IMDB_Movies!P$2:P$3493)</f>
        <v>3179303</v>
      </c>
    </row>
    <row r="2239">
      <c r="A2239" s="11" t="s">
        <v>7381</v>
      </c>
      <c r="B2239" s="35">
        <f t="array" ref="B2239">XLOOKUP(A2239,IMDB_Movies!I$2:I$3493,IMDB_Movies!Q$2:Q$3493)</f>
        <v>17680813</v>
      </c>
      <c r="E2239" s="11" t="s">
        <v>7381</v>
      </c>
      <c r="F2239" s="36">
        <f t="array" ref="F2239">XLOOKUP(A2239,IMDB_Movies!I$2:I$3493,IMDB_Movies!P$2:P$3493)</f>
        <v>0</v>
      </c>
    </row>
    <row r="2240">
      <c r="A2240" s="28" t="s">
        <v>7384</v>
      </c>
      <c r="B2240" s="35">
        <f t="array" ref="B2240">XLOOKUP(A2240,IMDB_Movies!I$2:I$3493,IMDB_Movies!Q$2:Q$3493)</f>
        <v>6644564</v>
      </c>
      <c r="E2240" s="28" t="s">
        <v>7384</v>
      </c>
      <c r="F2240" s="36">
        <f t="array" ref="F2240">XLOOKUP(A2240,IMDB_Movies!I$2:I$3493,IMDB_Movies!P$2:P$3493)</f>
        <v>0</v>
      </c>
    </row>
    <row r="2241">
      <c r="A2241" s="16" t="s">
        <v>7387</v>
      </c>
      <c r="B2241" s="35">
        <f t="array" ref="B2241">XLOOKUP(A2241,IMDB_Movies!I$2:I$3493,IMDB_Movies!Q$2:Q$3493)</f>
        <v>0</v>
      </c>
      <c r="E2241" s="16" t="s">
        <v>7387</v>
      </c>
      <c r="F2241" s="36">
        <f t="array" ref="F2241">XLOOKUP(A2241,IMDB_Movies!I$2:I$3493,IMDB_Movies!P$2:P$3493)</f>
        <v>30270227</v>
      </c>
    </row>
    <row r="2242">
      <c r="A2242" s="11" t="s">
        <v>7390</v>
      </c>
      <c r="B2242" s="35">
        <f t="array" ref="B2242">XLOOKUP(A2242,IMDB_Movies!I$2:I$3493,IMDB_Movies!Q$2:Q$3493)</f>
        <v>5628919</v>
      </c>
      <c r="E2242" s="11" t="s">
        <v>7390</v>
      </c>
      <c r="F2242" s="36">
        <f t="array" ref="F2242">XLOOKUP(A2242,IMDB_Movies!I$2:I$3493,IMDB_Movies!P$2:P$3493)</f>
        <v>0</v>
      </c>
    </row>
    <row r="2243">
      <c r="A2243" s="24" t="s">
        <v>7393</v>
      </c>
      <c r="B2243" s="35">
        <f t="array" ref="B2243">XLOOKUP(A2243,IMDB_Movies!I$2:I$3493,IMDB_Movies!Q$2:Q$3493)</f>
        <v>7027590</v>
      </c>
      <c r="E2243" s="24" t="s">
        <v>7393</v>
      </c>
      <c r="F2243" s="36">
        <f t="array" ref="F2243">XLOOKUP(A2243,IMDB_Movies!I$2:I$3493,IMDB_Movies!P$2:P$3493)</f>
        <v>0</v>
      </c>
    </row>
    <row r="2244">
      <c r="A2244" s="24" t="s">
        <v>7395</v>
      </c>
      <c r="B2244" s="35">
        <f t="array" ref="B2244">XLOOKUP(A2244,IMDB_Movies!I$2:I$3493,IMDB_Movies!Q$2:Q$3493)</f>
        <v>28889425</v>
      </c>
      <c r="E2244" s="24" t="s">
        <v>7395</v>
      </c>
      <c r="F2244" s="36">
        <f t="array" ref="F2244">XLOOKUP(A2244,IMDB_Movies!I$2:I$3493,IMDB_Movies!P$2:P$3493)</f>
        <v>0</v>
      </c>
    </row>
    <row r="2245">
      <c r="A2245" s="20" t="s">
        <v>7398</v>
      </c>
      <c r="B2245" s="35">
        <f t="array" ref="B2245">XLOOKUP(A2245,IMDB_Movies!I$2:I$3493,IMDB_Movies!Q$2:Q$3493)</f>
        <v>8185137</v>
      </c>
      <c r="E2245" s="20" t="s">
        <v>7398</v>
      </c>
      <c r="F2245" s="36">
        <f t="array" ref="F2245">XLOOKUP(A2245,IMDB_Movies!I$2:I$3493,IMDB_Movies!P$2:P$3493)</f>
        <v>0</v>
      </c>
    </row>
    <row r="2246">
      <c r="A2246" s="24" t="s">
        <v>7402</v>
      </c>
      <c r="B2246" s="35">
        <f t="array" ref="B2246">XLOOKUP(A2246,IMDB_Movies!I$2:I$3493,IMDB_Movies!Q$2:Q$3493)</f>
        <v>0</v>
      </c>
      <c r="E2246" s="24" t="s">
        <v>7402</v>
      </c>
      <c r="F2246" s="36">
        <f t="array" ref="F2246">XLOOKUP(A2246,IMDB_Movies!I$2:I$3493,IMDB_Movies!P$2:P$3493)</f>
        <v>8876924</v>
      </c>
    </row>
    <row r="2247">
      <c r="A2247" s="11" t="s">
        <v>7404</v>
      </c>
      <c r="B2247" s="35">
        <f t="array" ref="B2247">XLOOKUP(A2247,IMDB_Movies!I$2:I$3493,IMDB_Movies!Q$2:Q$3493)</f>
        <v>16662721</v>
      </c>
      <c r="E2247" s="11" t="s">
        <v>7404</v>
      </c>
      <c r="F2247" s="36">
        <f t="array" ref="F2247">XLOOKUP(A2247,IMDB_Movies!I$2:I$3493,IMDB_Movies!P$2:P$3493)</f>
        <v>0</v>
      </c>
    </row>
    <row r="2248">
      <c r="A2248" s="11" t="s">
        <v>7408</v>
      </c>
      <c r="B2248" s="35">
        <f t="array" ref="B2248">XLOOKUP(A2248,IMDB_Movies!I$2:I$3493,IMDB_Movies!Q$2:Q$3493)</f>
        <v>299897945</v>
      </c>
      <c r="E2248" s="11" t="s">
        <v>7408</v>
      </c>
      <c r="F2248" s="36">
        <f t="array" ref="F2248">XLOOKUP(A2248,IMDB_Movies!I$2:I$3493,IMDB_Movies!P$2:P$3493)</f>
        <v>0</v>
      </c>
    </row>
    <row r="2249">
      <c r="A2249" s="11" t="s">
        <v>7412</v>
      </c>
      <c r="B2249" s="35">
        <f t="array" ref="B2249">XLOOKUP(A2249,IMDB_Movies!I$2:I$3493,IMDB_Movies!Q$2:Q$3493)</f>
        <v>0</v>
      </c>
      <c r="E2249" s="11" t="s">
        <v>7412</v>
      </c>
      <c r="F2249" s="36">
        <f t="array" ref="F2249">XLOOKUP(A2249,IMDB_Movies!I$2:I$3493,IMDB_Movies!P$2:P$3493)</f>
        <v>5862100</v>
      </c>
    </row>
    <row r="2250">
      <c r="A2250" s="11" t="s">
        <v>7415</v>
      </c>
      <c r="B2250" s="35">
        <f t="array" ref="B2250">XLOOKUP(A2250,IMDB_Movies!I$2:I$3493,IMDB_Movies!Q$2:Q$3493)</f>
        <v>0</v>
      </c>
      <c r="E2250" s="11" t="s">
        <v>7415</v>
      </c>
      <c r="F2250" s="36">
        <f t="array" ref="F2250">XLOOKUP(A2250,IMDB_Movies!I$2:I$3493,IMDB_Movies!P$2:P$3493)</f>
        <v>50920948</v>
      </c>
    </row>
    <row r="2251">
      <c r="A2251" s="24" t="s">
        <v>7417</v>
      </c>
      <c r="B2251" s="35">
        <f t="array" ref="B2251">XLOOKUP(A2251,IMDB_Movies!I$2:I$3493,IMDB_Movies!Q$2:Q$3493)</f>
        <v>0</v>
      </c>
      <c r="E2251" s="24" t="s">
        <v>7417</v>
      </c>
      <c r="F2251" s="36">
        <f t="array" ref="F2251">XLOOKUP(A2251,IMDB_Movies!I$2:I$3493,IMDB_Movies!P$2:P$3493)</f>
        <v>3245861</v>
      </c>
    </row>
    <row r="2252">
      <c r="A2252" s="20" t="s">
        <v>7420</v>
      </c>
      <c r="B2252" s="35">
        <f t="array" ref="B2252">XLOOKUP(A2252,IMDB_Movies!I$2:I$3493,IMDB_Movies!Q$2:Q$3493)</f>
        <v>6073753</v>
      </c>
      <c r="E2252" s="20" t="s">
        <v>7420</v>
      </c>
      <c r="F2252" s="36">
        <f t="array" ref="F2252">XLOOKUP(A2252,IMDB_Movies!I$2:I$3493,IMDB_Movies!P$2:P$3493)</f>
        <v>0</v>
      </c>
    </row>
    <row r="2253">
      <c r="A2253" s="32" t="s">
        <v>7423</v>
      </c>
      <c r="B2253" s="35">
        <f t="array" ref="B2253">XLOOKUP(A2253,IMDB_Movies!I$2:I$3493,IMDB_Movies!Q$2:Q$3493)</f>
        <v>0</v>
      </c>
      <c r="E2253" s="32" t="s">
        <v>7423</v>
      </c>
      <c r="F2253" s="36">
        <f t="array" ref="F2253">XLOOKUP(A2253,IMDB_Movies!I$2:I$3493,IMDB_Movies!P$2:P$3493)</f>
        <v>48884821</v>
      </c>
    </row>
    <row r="2254">
      <c r="A2254" s="24" t="s">
        <v>7426</v>
      </c>
      <c r="B2254" s="35">
        <f t="array" ref="B2254">XLOOKUP(A2254,IMDB_Movies!I$2:I$3493,IMDB_Movies!Q$2:Q$3493)</f>
        <v>7200000</v>
      </c>
      <c r="E2254" s="24" t="s">
        <v>7426</v>
      </c>
      <c r="F2254" s="36">
        <f t="array" ref="F2254">XLOOKUP(A2254,IMDB_Movies!I$2:I$3493,IMDB_Movies!P$2:P$3493)</f>
        <v>0</v>
      </c>
    </row>
    <row r="2255">
      <c r="A2255" s="11" t="s">
        <v>7430</v>
      </c>
      <c r="B2255" s="35">
        <f t="array" ref="B2255">XLOOKUP(A2255,IMDB_Movies!I$2:I$3493,IMDB_Movies!Q$2:Q$3493)</f>
        <v>4907100</v>
      </c>
      <c r="E2255" s="11" t="s">
        <v>7430</v>
      </c>
      <c r="F2255" s="36">
        <f t="array" ref="F2255">XLOOKUP(A2255,IMDB_Movies!I$2:I$3493,IMDB_Movies!P$2:P$3493)</f>
        <v>0</v>
      </c>
    </row>
    <row r="2256">
      <c r="A2256" s="11" t="s">
        <v>7434</v>
      </c>
      <c r="B2256" s="35">
        <f t="array" ref="B2256">XLOOKUP(A2256,IMDB_Movies!I$2:I$3493,IMDB_Movies!Q$2:Q$3493)</f>
        <v>0</v>
      </c>
      <c r="E2256" s="11" t="s">
        <v>7434</v>
      </c>
      <c r="F2256" s="36">
        <f t="array" ref="F2256">XLOOKUP(A2256,IMDB_Movies!I$2:I$3493,IMDB_Movies!P$2:P$3493)</f>
        <v>1081331</v>
      </c>
    </row>
    <row r="2257">
      <c r="A2257" s="11" t="s">
        <v>7440</v>
      </c>
      <c r="B2257" s="35">
        <f t="array" ref="B2257">XLOOKUP(A2257,IMDB_Movies!I$2:I$3493,IMDB_Movies!Q$2:Q$3493)</f>
        <v>0</v>
      </c>
      <c r="E2257" s="11" t="s">
        <v>7440</v>
      </c>
      <c r="F2257" s="36">
        <f t="array" ref="F2257">XLOOKUP(A2257,IMDB_Movies!I$2:I$3493,IMDB_Movies!P$2:P$3493)</f>
        <v>26087366</v>
      </c>
    </row>
    <row r="2258">
      <c r="A2258" s="24" t="s">
        <v>7442</v>
      </c>
      <c r="B2258" s="35">
        <f t="array" ref="B2258">XLOOKUP(A2258,IMDB_Movies!I$2:I$3493,IMDB_Movies!Q$2:Q$3493)</f>
        <v>0</v>
      </c>
      <c r="E2258" s="24" t="s">
        <v>7442</v>
      </c>
      <c r="F2258" s="36">
        <f t="array" ref="F2258">XLOOKUP(A2258,IMDB_Movies!I$2:I$3493,IMDB_Movies!P$2:P$3493)</f>
        <v>24093107</v>
      </c>
    </row>
    <row r="2259">
      <c r="A2259" s="32" t="s">
        <v>7444</v>
      </c>
      <c r="B2259" s="35">
        <f t="array" ref="B2259">XLOOKUP(A2259,IMDB_Movies!I$2:I$3493,IMDB_Movies!Q$2:Q$3493)</f>
        <v>0</v>
      </c>
      <c r="E2259" s="32" t="s">
        <v>7444</v>
      </c>
      <c r="F2259" s="36">
        <f t="array" ref="F2259">XLOOKUP(A2259,IMDB_Movies!I$2:I$3493,IMDB_Movies!P$2:P$3493)</f>
        <v>82299717</v>
      </c>
    </row>
    <row r="2260">
      <c r="A2260" s="11" t="s">
        <v>7446</v>
      </c>
      <c r="B2260" s="35">
        <f t="array" ref="B2260">XLOOKUP(A2260,IMDB_Movies!I$2:I$3493,IMDB_Movies!Q$2:Q$3493)</f>
        <v>143826840</v>
      </c>
      <c r="E2260" s="11" t="s">
        <v>7446</v>
      </c>
      <c r="F2260" s="36">
        <f t="array" ref="F2260">XLOOKUP(A2260,IMDB_Movies!I$2:I$3493,IMDB_Movies!P$2:P$3493)</f>
        <v>0</v>
      </c>
    </row>
    <row r="2261">
      <c r="A2261" s="11" t="s">
        <v>7449</v>
      </c>
      <c r="B2261" s="35">
        <f t="array" ref="B2261">XLOOKUP(A2261,IMDB_Movies!I$2:I$3493,IMDB_Movies!Q$2:Q$3493)</f>
        <v>7891338</v>
      </c>
      <c r="E2261" s="11" t="s">
        <v>7449</v>
      </c>
      <c r="F2261" s="36">
        <f t="array" ref="F2261">XLOOKUP(A2261,IMDB_Movies!I$2:I$3493,IMDB_Movies!P$2:P$3493)</f>
        <v>0</v>
      </c>
    </row>
    <row r="2262">
      <c r="A2262" s="20" t="s">
        <v>7451</v>
      </c>
      <c r="B2262" s="35">
        <f t="array" ref="B2262">XLOOKUP(A2262,IMDB_Movies!I$2:I$3493,IMDB_Movies!Q$2:Q$3493)</f>
        <v>4921063</v>
      </c>
      <c r="E2262" s="20" t="s">
        <v>7451</v>
      </c>
      <c r="F2262" s="36">
        <f t="array" ref="F2262">XLOOKUP(A2262,IMDB_Movies!I$2:I$3493,IMDB_Movies!P$2:P$3493)</f>
        <v>0</v>
      </c>
    </row>
    <row r="2263">
      <c r="A2263" s="32" t="s">
        <v>7453</v>
      </c>
      <c r="B2263" s="35">
        <f t="array" ref="B2263">XLOOKUP(A2263,IMDB_Movies!I$2:I$3493,IMDB_Movies!Q$2:Q$3493)</f>
        <v>3535096</v>
      </c>
      <c r="E2263" s="32" t="s">
        <v>7453</v>
      </c>
      <c r="F2263" s="36">
        <f t="array" ref="F2263">XLOOKUP(A2263,IMDB_Movies!I$2:I$3493,IMDB_Movies!P$2:P$3493)</f>
        <v>0</v>
      </c>
    </row>
    <row r="2264">
      <c r="A2264" s="24" t="s">
        <v>7455</v>
      </c>
      <c r="B2264" s="35">
        <f t="array" ref="B2264">XLOOKUP(A2264,IMDB_Movies!I$2:I$3493,IMDB_Movies!Q$2:Q$3493)</f>
        <v>12305895</v>
      </c>
      <c r="E2264" s="24" t="s">
        <v>7455</v>
      </c>
      <c r="F2264" s="36">
        <f t="array" ref="F2264">XLOOKUP(A2264,IMDB_Movies!I$2:I$3493,IMDB_Movies!P$2:P$3493)</f>
        <v>0</v>
      </c>
    </row>
    <row r="2265">
      <c r="A2265" s="16" t="s">
        <v>7458</v>
      </c>
      <c r="B2265" s="35">
        <f t="array" ref="B2265">XLOOKUP(A2265,IMDB_Movies!I$2:I$3493,IMDB_Movies!Q$2:Q$3493)</f>
        <v>0</v>
      </c>
      <c r="E2265" s="16" t="s">
        <v>7458</v>
      </c>
      <c r="F2265" s="36">
        <f t="array" ref="F2265">XLOOKUP(A2265,IMDB_Movies!I$2:I$3493,IMDB_Movies!P$2:P$3493)</f>
        <v>74497271</v>
      </c>
    </row>
    <row r="2266">
      <c r="A2266" s="32" t="s">
        <v>7461</v>
      </c>
      <c r="B2266" s="35">
        <f t="array" ref="B2266">XLOOKUP(A2266,IMDB_Movies!I$2:I$3493,IMDB_Movies!Q$2:Q$3493)</f>
        <v>48197944</v>
      </c>
      <c r="E2266" s="32" t="s">
        <v>7461</v>
      </c>
      <c r="F2266" s="36">
        <f t="array" ref="F2266">XLOOKUP(A2266,IMDB_Movies!I$2:I$3493,IMDB_Movies!P$2:P$3493)</f>
        <v>0</v>
      </c>
    </row>
    <row r="2267">
      <c r="A2267" s="11" t="s">
        <v>7465</v>
      </c>
      <c r="B2267" s="35">
        <f t="array" ref="B2267">XLOOKUP(A2267,IMDB_Movies!I$2:I$3493,IMDB_Movies!Q$2:Q$3493)</f>
        <v>5477230</v>
      </c>
      <c r="E2267" s="11" t="s">
        <v>7465</v>
      </c>
      <c r="F2267" s="36">
        <f t="array" ref="F2267">XLOOKUP(A2267,IMDB_Movies!I$2:I$3493,IMDB_Movies!P$2:P$3493)</f>
        <v>0</v>
      </c>
    </row>
    <row r="2268">
      <c r="A2268" s="28" t="s">
        <v>7468</v>
      </c>
      <c r="B2268" s="35">
        <f t="array" ref="B2268">XLOOKUP(A2268,IMDB_Movies!I$2:I$3493,IMDB_Movies!Q$2:Q$3493)</f>
        <v>2436330</v>
      </c>
      <c r="E2268" s="28" t="s">
        <v>7468</v>
      </c>
      <c r="F2268" s="36">
        <f t="array" ref="F2268">XLOOKUP(A2268,IMDB_Movies!I$2:I$3493,IMDB_Movies!P$2:P$3493)</f>
        <v>0</v>
      </c>
    </row>
    <row r="2269">
      <c r="A2269" s="11" t="s">
        <v>7470</v>
      </c>
      <c r="B2269" s="35">
        <f t="array" ref="B2269">XLOOKUP(A2269,IMDB_Movies!I$2:I$3493,IMDB_Movies!Q$2:Q$3493)</f>
        <v>15705099</v>
      </c>
      <c r="E2269" s="11" t="s">
        <v>7470</v>
      </c>
      <c r="F2269" s="36">
        <f t="array" ref="F2269">XLOOKUP(A2269,IMDB_Movies!I$2:I$3493,IMDB_Movies!P$2:P$3493)</f>
        <v>0</v>
      </c>
    </row>
    <row r="2270">
      <c r="A2270" s="20" t="s">
        <v>7473</v>
      </c>
      <c r="B2270" s="35">
        <f t="array" ref="B2270">XLOOKUP(A2270,IMDB_Movies!I$2:I$3493,IMDB_Movies!Q$2:Q$3493)</f>
        <v>0</v>
      </c>
      <c r="E2270" s="20" t="s">
        <v>7473</v>
      </c>
      <c r="F2270" s="36">
        <f t="array" ref="F2270">XLOOKUP(A2270,IMDB_Movies!I$2:I$3493,IMDB_Movies!P$2:P$3493)</f>
        <v>16089953</v>
      </c>
    </row>
    <row r="2271">
      <c r="A2271" s="20" t="s">
        <v>7475</v>
      </c>
      <c r="B2271" s="35">
        <f t="array" ref="B2271">XLOOKUP(A2271,IMDB_Movies!I$2:I$3493,IMDB_Movies!Q$2:Q$3493)</f>
        <v>0</v>
      </c>
      <c r="E2271" s="20" t="s">
        <v>7475</v>
      </c>
      <c r="F2271" s="36">
        <f t="array" ref="F2271">XLOOKUP(A2271,IMDB_Movies!I$2:I$3493,IMDB_Movies!P$2:P$3493)</f>
        <v>115329763</v>
      </c>
    </row>
    <row r="2272">
      <c r="A2272" s="24" t="s">
        <v>7477</v>
      </c>
      <c r="B2272" s="35">
        <f t="array" ref="B2272">XLOOKUP(A2272,IMDB_Movies!I$2:I$3493,IMDB_Movies!Q$2:Q$3493)</f>
        <v>0</v>
      </c>
      <c r="E2272" s="24" t="s">
        <v>7477</v>
      </c>
      <c r="F2272" s="36">
        <f t="array" ref="F2272">XLOOKUP(A2272,IMDB_Movies!I$2:I$3493,IMDB_Movies!P$2:P$3493)</f>
        <v>1854039</v>
      </c>
    </row>
    <row r="2273">
      <c r="A2273" s="28" t="s">
        <v>7480</v>
      </c>
      <c r="B2273" s="35">
        <f t="array" ref="B2273">XLOOKUP(A2273,IMDB_Movies!I$2:I$3493,IMDB_Movies!Q$2:Q$3493)</f>
        <v>0</v>
      </c>
      <c r="E2273" s="28" t="s">
        <v>7480</v>
      </c>
      <c r="F2273" s="36">
        <f t="array" ref="F2273">XLOOKUP(A2273,IMDB_Movies!I$2:I$3493,IMDB_Movies!P$2:P$3493)</f>
        <v>5114507</v>
      </c>
    </row>
    <row r="2274">
      <c r="A2274" s="24" t="s">
        <v>7482</v>
      </c>
      <c r="B2274" s="35">
        <f t="array" ref="B2274">XLOOKUP(A2274,IMDB_Movies!I$2:I$3493,IMDB_Movies!Q$2:Q$3493)</f>
        <v>0</v>
      </c>
      <c r="E2274" s="24" t="s">
        <v>7482</v>
      </c>
      <c r="F2274" s="36">
        <f t="array" ref="F2274">XLOOKUP(A2274,IMDB_Movies!I$2:I$3493,IMDB_Movies!P$2:P$3493)</f>
        <v>216188924</v>
      </c>
    </row>
    <row r="2275">
      <c r="A2275" s="11" t="s">
        <v>7484</v>
      </c>
      <c r="B2275" s="35">
        <f t="array" ref="B2275">XLOOKUP(A2275,IMDB_Movies!I$2:I$3493,IMDB_Movies!Q$2:Q$3493)</f>
        <v>0</v>
      </c>
      <c r="E2275" s="11" t="s">
        <v>7484</v>
      </c>
      <c r="F2275" s="36">
        <f t="array" ref="F2275">XLOOKUP(A2275,IMDB_Movies!I$2:I$3493,IMDB_Movies!P$2:P$3493)</f>
        <v>58813460</v>
      </c>
    </row>
    <row r="2276">
      <c r="A2276" s="28" t="s">
        <v>7488</v>
      </c>
      <c r="B2276" s="35">
        <f t="array" ref="B2276">XLOOKUP(A2276,IMDB_Movies!I$2:I$3493,IMDB_Movies!Q$2:Q$3493)</f>
        <v>9421473</v>
      </c>
      <c r="E2276" s="28" t="s">
        <v>7488</v>
      </c>
      <c r="F2276" s="36">
        <f t="array" ref="F2276">XLOOKUP(A2276,IMDB_Movies!I$2:I$3493,IMDB_Movies!P$2:P$3493)</f>
        <v>0</v>
      </c>
    </row>
    <row r="2277">
      <c r="A2277" s="24" t="s">
        <v>7491</v>
      </c>
      <c r="B2277" s="35">
        <f t="array" ref="B2277">XLOOKUP(A2277,IMDB_Movies!I$2:I$3493,IMDB_Movies!Q$2:Q$3493)</f>
        <v>0</v>
      </c>
      <c r="E2277" s="24" t="s">
        <v>7491</v>
      </c>
      <c r="F2277" s="36">
        <f t="array" ref="F2277">XLOOKUP(A2277,IMDB_Movies!I$2:I$3493,IMDB_Movies!P$2:P$3493)</f>
        <v>12043633</v>
      </c>
    </row>
    <row r="2278">
      <c r="A2278" s="20" t="s">
        <v>7493</v>
      </c>
      <c r="B2278" s="35">
        <f t="array" ref="B2278">XLOOKUP(A2278,IMDB_Movies!I$2:I$3493,IMDB_Movies!Q$2:Q$3493)</f>
        <v>13912817</v>
      </c>
      <c r="E2278" s="20" t="s">
        <v>7493</v>
      </c>
      <c r="F2278" s="36">
        <f t="array" ref="F2278">XLOOKUP(A2278,IMDB_Movies!I$2:I$3493,IMDB_Movies!P$2:P$3493)</f>
        <v>0</v>
      </c>
    </row>
    <row r="2279">
      <c r="A2279" s="24" t="s">
        <v>7496</v>
      </c>
      <c r="B2279" s="35">
        <f t="array" ref="B2279">XLOOKUP(A2279,IMDB_Movies!I$2:I$3493,IMDB_Movies!Q$2:Q$3493)</f>
        <v>21383311</v>
      </c>
      <c r="E2279" s="24" t="s">
        <v>7496</v>
      </c>
      <c r="F2279" s="36">
        <f t="array" ref="F2279">XLOOKUP(A2279,IMDB_Movies!I$2:I$3493,IMDB_Movies!P$2:P$3493)</f>
        <v>0</v>
      </c>
    </row>
    <row r="2280">
      <c r="A2280" s="16" t="s">
        <v>7499</v>
      </c>
      <c r="B2280" s="35">
        <f t="array" ref="B2280">XLOOKUP(A2280,IMDB_Movies!I$2:I$3493,IMDB_Movies!Q$2:Q$3493)</f>
        <v>45618284</v>
      </c>
      <c r="E2280" s="16" t="s">
        <v>7499</v>
      </c>
      <c r="F2280" s="36">
        <f t="array" ref="F2280">XLOOKUP(A2280,IMDB_Movies!I$2:I$3493,IMDB_Movies!P$2:P$3493)</f>
        <v>0</v>
      </c>
    </row>
    <row r="2281">
      <c r="A2281" s="20" t="s">
        <v>7502</v>
      </c>
      <c r="B2281" s="35">
        <f t="array" ref="B2281">XLOOKUP(A2281,IMDB_Movies!I$2:I$3493,IMDB_Movies!Q$2:Q$3493)</f>
        <v>0</v>
      </c>
      <c r="E2281" s="20" t="s">
        <v>7502</v>
      </c>
      <c r="F2281" s="36">
        <f t="array" ref="F2281">XLOOKUP(A2281,IMDB_Movies!I$2:I$3493,IMDB_Movies!P$2:P$3493)</f>
        <v>58103929</v>
      </c>
    </row>
    <row r="2282">
      <c r="A2282" s="20" t="s">
        <v>7504</v>
      </c>
      <c r="B2282" s="35">
        <f t="array" ref="B2282">XLOOKUP(A2282,IMDB_Movies!I$2:I$3493,IMDB_Movies!Q$2:Q$3493)</f>
        <v>0</v>
      </c>
      <c r="E2282" s="20" t="s">
        <v>7504</v>
      </c>
      <c r="F2282" s="36">
        <f t="array" ref="F2282">XLOOKUP(A2282,IMDB_Movies!I$2:I$3493,IMDB_Movies!P$2:P$3493)</f>
        <v>61573391</v>
      </c>
    </row>
    <row r="2283">
      <c r="A2283" s="11" t="s">
        <v>7507</v>
      </c>
      <c r="B2283" s="35">
        <f t="array" ref="B2283">XLOOKUP(A2283,IMDB_Movies!I$2:I$3493,IMDB_Movies!Q$2:Q$3493)</f>
        <v>0</v>
      </c>
      <c r="E2283" s="11" t="s">
        <v>7507</v>
      </c>
      <c r="F2283" s="36">
        <f t="array" ref="F2283">XLOOKUP(A2283,IMDB_Movies!I$2:I$3493,IMDB_Movies!P$2:P$3493)</f>
        <v>15102717</v>
      </c>
    </row>
    <row r="2284">
      <c r="A2284" s="11" t="s">
        <v>7509</v>
      </c>
      <c r="B2284" s="35">
        <f t="array" ref="B2284">XLOOKUP(A2284,IMDB_Movies!I$2:I$3493,IMDB_Movies!Q$2:Q$3493)</f>
        <v>0</v>
      </c>
      <c r="E2284" s="11" t="s">
        <v>7509</v>
      </c>
      <c r="F2284" s="36">
        <f t="array" ref="F2284">XLOOKUP(A2284,IMDB_Movies!I$2:I$3493,IMDB_Movies!P$2:P$3493)</f>
        <v>107586036</v>
      </c>
    </row>
    <row r="2285">
      <c r="A2285" s="20" t="s">
        <v>7511</v>
      </c>
      <c r="B2285" s="35">
        <f t="array" ref="B2285">XLOOKUP(A2285,IMDB_Movies!I$2:I$3493,IMDB_Movies!Q$2:Q$3493)</f>
        <v>0</v>
      </c>
      <c r="E2285" s="20" t="s">
        <v>7511</v>
      </c>
      <c r="F2285" s="36">
        <f t="array" ref="F2285">XLOOKUP(A2285,IMDB_Movies!I$2:I$3493,IMDB_Movies!P$2:P$3493)</f>
        <v>30695394</v>
      </c>
    </row>
    <row r="2286">
      <c r="A2286" s="32" t="s">
        <v>7513</v>
      </c>
      <c r="B2286" s="35">
        <f t="array" ref="B2286">XLOOKUP(A2286,IMDB_Movies!I$2:I$3493,IMDB_Movies!Q$2:Q$3493)</f>
        <v>4483513</v>
      </c>
      <c r="E2286" s="32" t="s">
        <v>7513</v>
      </c>
      <c r="F2286" s="36">
        <f t="array" ref="F2286">XLOOKUP(A2286,IMDB_Movies!I$2:I$3493,IMDB_Movies!P$2:P$3493)</f>
        <v>0</v>
      </c>
    </row>
    <row r="2287">
      <c r="A2287" s="28" t="s">
        <v>7515</v>
      </c>
      <c r="B2287" s="35">
        <f t="array" ref="B2287">XLOOKUP(A2287,IMDB_Movies!I$2:I$3493,IMDB_Movies!Q$2:Q$3493)</f>
        <v>0</v>
      </c>
      <c r="E2287" s="28" t="s">
        <v>7515</v>
      </c>
      <c r="F2287" s="36">
        <f t="array" ref="F2287">XLOOKUP(A2287,IMDB_Movies!I$2:I$3493,IMDB_Movies!P$2:P$3493)</f>
        <v>19103378</v>
      </c>
    </row>
    <row r="2288">
      <c r="A2288" s="11" t="s">
        <v>7519</v>
      </c>
      <c r="B2288" s="35">
        <f t="array" ref="B2288">XLOOKUP(A2288,IMDB_Movies!I$2:I$3493,IMDB_Movies!Q$2:Q$3493)</f>
        <v>12037424</v>
      </c>
      <c r="E2288" s="11" t="s">
        <v>7519</v>
      </c>
      <c r="F2288" s="36">
        <f t="array" ref="F2288">XLOOKUP(A2288,IMDB_Movies!I$2:I$3493,IMDB_Movies!P$2:P$3493)</f>
        <v>0</v>
      </c>
    </row>
    <row r="2289">
      <c r="A2289" s="24" t="s">
        <v>7521</v>
      </c>
      <c r="B2289" s="35">
        <f t="array" ref="B2289">XLOOKUP(A2289,IMDB_Movies!I$2:I$3493,IMDB_Movies!Q$2:Q$3493)</f>
        <v>0</v>
      </c>
      <c r="E2289" s="24" t="s">
        <v>7521</v>
      </c>
      <c r="F2289" s="36">
        <f t="array" ref="F2289">XLOOKUP(A2289,IMDB_Movies!I$2:I$3493,IMDB_Movies!P$2:P$3493)</f>
        <v>60012710</v>
      </c>
    </row>
    <row r="2290">
      <c r="A2290" s="20" t="s">
        <v>7524</v>
      </c>
      <c r="B2290" s="35">
        <f t="array" ref="B2290">XLOOKUP(A2290,IMDB_Movies!I$2:I$3493,IMDB_Movies!Q$2:Q$3493)</f>
        <v>0</v>
      </c>
      <c r="E2290" s="20" t="s">
        <v>7524</v>
      </c>
      <c r="F2290" s="36">
        <f t="array" ref="F2290">XLOOKUP(A2290,IMDB_Movies!I$2:I$3493,IMDB_Movies!P$2:P$3493)</f>
        <v>291323553</v>
      </c>
    </row>
    <row r="2291">
      <c r="A2291" s="11" t="s">
        <v>7527</v>
      </c>
      <c r="B2291" s="35">
        <f t="array" ref="B2291">XLOOKUP(A2291,IMDB_Movies!I$2:I$3493,IMDB_Movies!Q$2:Q$3493)</f>
        <v>0</v>
      </c>
      <c r="E2291" s="11" t="s">
        <v>7527</v>
      </c>
      <c r="F2291" s="36">
        <f t="array" ref="F2291">XLOOKUP(A2291,IMDB_Movies!I$2:I$3493,IMDB_Movies!P$2:P$3493)</f>
        <v>182501645</v>
      </c>
    </row>
    <row r="2292">
      <c r="A2292" s="24" t="s">
        <v>7529</v>
      </c>
      <c r="B2292" s="35">
        <f t="array" ref="B2292">XLOOKUP(A2292,IMDB_Movies!I$2:I$3493,IMDB_Movies!Q$2:Q$3493)</f>
        <v>21949883</v>
      </c>
      <c r="E2292" s="24" t="s">
        <v>7529</v>
      </c>
      <c r="F2292" s="36">
        <f t="array" ref="F2292">XLOOKUP(A2292,IMDB_Movies!I$2:I$3493,IMDB_Movies!P$2:P$3493)</f>
        <v>0</v>
      </c>
    </row>
    <row r="2293">
      <c r="A2293" s="20" t="s">
        <v>7532</v>
      </c>
      <c r="B2293" s="35">
        <f t="array" ref="B2293">XLOOKUP(A2293,IMDB_Movies!I$2:I$3493,IMDB_Movies!Q$2:Q$3493)</f>
        <v>6953549</v>
      </c>
      <c r="E2293" s="20" t="s">
        <v>7532</v>
      </c>
      <c r="F2293" s="36">
        <f t="array" ref="F2293">XLOOKUP(A2293,IMDB_Movies!I$2:I$3493,IMDB_Movies!P$2:P$3493)</f>
        <v>0</v>
      </c>
    </row>
    <row r="2294">
      <c r="A2294" s="32" t="s">
        <v>7534</v>
      </c>
      <c r="B2294" s="35">
        <f t="array" ref="B2294">XLOOKUP(A2294,IMDB_Movies!I$2:I$3493,IMDB_Movies!Q$2:Q$3493)</f>
        <v>24943308</v>
      </c>
      <c r="E2294" s="32" t="s">
        <v>7534</v>
      </c>
      <c r="F2294" s="36">
        <f t="array" ref="F2294">XLOOKUP(A2294,IMDB_Movies!I$2:I$3493,IMDB_Movies!P$2:P$3493)</f>
        <v>0</v>
      </c>
    </row>
    <row r="2295">
      <c r="A2295" s="11" t="s">
        <v>7537</v>
      </c>
      <c r="B2295" s="35">
        <f t="array" ref="B2295">XLOOKUP(A2295,IMDB_Movies!I$2:I$3493,IMDB_Movies!Q$2:Q$3493)</f>
        <v>23402879</v>
      </c>
      <c r="E2295" s="11" t="s">
        <v>7537</v>
      </c>
      <c r="F2295" s="36">
        <f t="array" ref="F2295">XLOOKUP(A2295,IMDB_Movies!I$2:I$3493,IMDB_Movies!P$2:P$3493)</f>
        <v>0</v>
      </c>
    </row>
    <row r="2296">
      <c r="A2296" s="16" t="s">
        <v>7540</v>
      </c>
      <c r="B2296" s="35">
        <f t="array" ref="B2296">XLOOKUP(A2296,IMDB_Movies!I$2:I$3493,IMDB_Movies!Q$2:Q$3493)</f>
        <v>11792806</v>
      </c>
      <c r="E2296" s="16" t="s">
        <v>7540</v>
      </c>
      <c r="F2296" s="36">
        <f t="array" ref="F2296">XLOOKUP(A2296,IMDB_Movies!I$2:I$3493,IMDB_Movies!P$2:P$3493)</f>
        <v>0</v>
      </c>
    </row>
    <row r="2297">
      <c r="A2297" s="20" t="s">
        <v>7542</v>
      </c>
      <c r="B2297" s="35">
        <f t="array" ref="B2297">XLOOKUP(A2297,IMDB_Movies!I$2:I$3493,IMDB_Movies!Q$2:Q$3493)</f>
        <v>2718714</v>
      </c>
      <c r="E2297" s="20" t="s">
        <v>7542</v>
      </c>
      <c r="F2297" s="36">
        <f t="array" ref="F2297">XLOOKUP(A2297,IMDB_Movies!I$2:I$3493,IMDB_Movies!P$2:P$3493)</f>
        <v>0</v>
      </c>
    </row>
    <row r="2298">
      <c r="A2298" s="20" t="s">
        <v>7544</v>
      </c>
      <c r="B2298" s="35">
        <f t="array" ref="B2298">XLOOKUP(A2298,IMDB_Movies!I$2:I$3493,IMDB_Movies!Q$2:Q$3493)</f>
        <v>0</v>
      </c>
      <c r="E2298" s="20" t="s">
        <v>7544</v>
      </c>
      <c r="F2298" s="36">
        <f t="array" ref="F2298">XLOOKUP(A2298,IMDB_Movies!I$2:I$3493,IMDB_Movies!P$2:P$3493)</f>
        <v>5266619</v>
      </c>
    </row>
    <row r="2299">
      <c r="A2299" s="28" t="s">
        <v>7548</v>
      </c>
      <c r="B2299" s="35">
        <f t="array" ref="B2299">XLOOKUP(A2299,IMDB_Movies!I$2:I$3493,IMDB_Movies!Q$2:Q$3493)</f>
        <v>3725615</v>
      </c>
      <c r="E2299" s="28" t="s">
        <v>7548</v>
      </c>
      <c r="F2299" s="36">
        <f t="array" ref="F2299">XLOOKUP(A2299,IMDB_Movies!I$2:I$3493,IMDB_Movies!P$2:P$3493)</f>
        <v>0</v>
      </c>
    </row>
    <row r="2300">
      <c r="A2300" s="11" t="s">
        <v>7552</v>
      </c>
      <c r="B2300" s="35">
        <f t="array" ref="B2300">XLOOKUP(A2300,IMDB_Movies!I$2:I$3493,IMDB_Movies!Q$2:Q$3493)</f>
        <v>17092709</v>
      </c>
      <c r="E2300" s="11" t="s">
        <v>7552</v>
      </c>
      <c r="F2300" s="36">
        <f t="array" ref="F2300">XLOOKUP(A2300,IMDB_Movies!I$2:I$3493,IMDB_Movies!P$2:P$3493)</f>
        <v>0</v>
      </c>
    </row>
    <row r="2301">
      <c r="A2301" s="16" t="s">
        <v>7554</v>
      </c>
      <c r="B2301" s="35">
        <f t="array" ref="B2301">XLOOKUP(A2301,IMDB_Movies!I$2:I$3493,IMDB_Movies!Q$2:Q$3493)</f>
        <v>0</v>
      </c>
      <c r="E2301" s="16" t="s">
        <v>7554</v>
      </c>
      <c r="F2301" s="36">
        <f t="array" ref="F2301">XLOOKUP(A2301,IMDB_Movies!I$2:I$3493,IMDB_Movies!P$2:P$3493)</f>
        <v>2439163</v>
      </c>
    </row>
    <row r="2302">
      <c r="A2302" s="28" t="s">
        <v>7558</v>
      </c>
      <c r="B2302" s="35">
        <f t="array" ref="B2302">XLOOKUP(A2302,IMDB_Movies!I$2:I$3493,IMDB_Movies!Q$2:Q$3493)</f>
        <v>0</v>
      </c>
      <c r="E2302" s="28" t="s">
        <v>7558</v>
      </c>
      <c r="F2302" s="36">
        <f t="array" ref="F2302">XLOOKUP(A2302,IMDB_Movies!I$2:I$3493,IMDB_Movies!P$2:P$3493)</f>
        <v>24123143</v>
      </c>
    </row>
    <row r="2303">
      <c r="A2303" s="20" t="s">
        <v>7562</v>
      </c>
      <c r="B2303" s="35">
        <f t="array" ref="B2303">XLOOKUP(A2303,IMDB_Movies!I$2:I$3493,IMDB_Movies!Q$2:Q$3493)</f>
        <v>0</v>
      </c>
      <c r="E2303" s="20" t="s">
        <v>7562</v>
      </c>
      <c r="F2303" s="36">
        <f t="array" ref="F2303">XLOOKUP(A2303,IMDB_Movies!I$2:I$3493,IMDB_Movies!P$2:P$3493)</f>
        <v>1216074</v>
      </c>
    </row>
    <row r="2304">
      <c r="A2304" s="11" t="s">
        <v>7564</v>
      </c>
      <c r="B2304" s="35">
        <f t="array" ref="B2304">XLOOKUP(A2304,IMDB_Movies!I$2:I$3493,IMDB_Movies!Q$2:Q$3493)</f>
        <v>6210687</v>
      </c>
      <c r="E2304" s="11" t="s">
        <v>7564</v>
      </c>
      <c r="F2304" s="36">
        <f t="array" ref="F2304">XLOOKUP(A2304,IMDB_Movies!I$2:I$3493,IMDB_Movies!P$2:P$3493)</f>
        <v>0</v>
      </c>
    </row>
    <row r="2305">
      <c r="A2305" s="11" t="s">
        <v>7568</v>
      </c>
      <c r="B2305" s="35">
        <f t="array" ref="B2305">XLOOKUP(A2305,IMDB_Movies!I$2:I$3493,IMDB_Movies!Q$2:Q$3493)</f>
        <v>0</v>
      </c>
      <c r="E2305" s="11" t="s">
        <v>7568</v>
      </c>
      <c r="F2305" s="36">
        <f t="array" ref="F2305">XLOOKUP(A2305,IMDB_Movies!I$2:I$3493,IMDB_Movies!P$2:P$3493)</f>
        <v>3649779</v>
      </c>
    </row>
    <row r="2306">
      <c r="A2306" s="20" t="s">
        <v>7570</v>
      </c>
      <c r="B2306" s="35">
        <f t="array" ref="B2306">XLOOKUP(A2306,IMDB_Movies!I$2:I$3493,IMDB_Movies!Q$2:Q$3493)</f>
        <v>8245681</v>
      </c>
      <c r="E2306" s="20" t="s">
        <v>7570</v>
      </c>
      <c r="F2306" s="36">
        <f t="array" ref="F2306">XLOOKUP(A2306,IMDB_Movies!I$2:I$3493,IMDB_Movies!P$2:P$3493)</f>
        <v>0</v>
      </c>
    </row>
    <row r="2307">
      <c r="A2307" s="11" t="s">
        <v>7572</v>
      </c>
      <c r="B2307" s="35">
        <f t="array" ref="B2307">XLOOKUP(A2307,IMDB_Movies!I$2:I$3493,IMDB_Movies!Q$2:Q$3493)</f>
        <v>0</v>
      </c>
      <c r="E2307" s="11" t="s">
        <v>7572</v>
      </c>
      <c r="F2307" s="36">
        <f t="array" ref="F2307">XLOOKUP(A2307,IMDB_Movies!I$2:I$3493,IMDB_Movies!P$2:P$3493)</f>
        <v>4997476</v>
      </c>
    </row>
    <row r="2308">
      <c r="A2308" s="11" t="s">
        <v>7574</v>
      </c>
      <c r="B2308" s="35">
        <f t="array" ref="B2308">XLOOKUP(A2308,IMDB_Movies!I$2:I$3493,IMDB_Movies!Q$2:Q$3493)</f>
        <v>0</v>
      </c>
      <c r="E2308" s="11" t="s">
        <v>7574</v>
      </c>
      <c r="F2308" s="36">
        <f t="array" ref="F2308">XLOOKUP(A2308,IMDB_Movies!I$2:I$3493,IMDB_Movies!P$2:P$3493)</f>
        <v>3831145</v>
      </c>
    </row>
    <row r="2309">
      <c r="A2309" s="20" t="s">
        <v>7577</v>
      </c>
      <c r="B2309" s="35">
        <f t="array" ref="B2309">XLOOKUP(A2309,IMDB_Movies!I$2:I$3493,IMDB_Movies!Q$2:Q$3493)</f>
        <v>6002193</v>
      </c>
      <c r="E2309" s="20" t="s">
        <v>7577</v>
      </c>
      <c r="F2309" s="36">
        <f t="array" ref="F2309">XLOOKUP(A2309,IMDB_Movies!I$2:I$3493,IMDB_Movies!P$2:P$3493)</f>
        <v>0</v>
      </c>
    </row>
    <row r="2310">
      <c r="A2310" s="24" t="s">
        <v>7580</v>
      </c>
      <c r="B2310" s="35">
        <f t="array" ref="B2310">XLOOKUP(A2310,IMDB_Movies!I$2:I$3493,IMDB_Movies!Q$2:Q$3493)</f>
        <v>11834365</v>
      </c>
      <c r="E2310" s="24" t="s">
        <v>7580</v>
      </c>
      <c r="F2310" s="36">
        <f t="array" ref="F2310">XLOOKUP(A2310,IMDB_Movies!I$2:I$3493,IMDB_Movies!P$2:P$3493)</f>
        <v>0</v>
      </c>
    </row>
    <row r="2311">
      <c r="A2311" s="28" t="s">
        <v>7582</v>
      </c>
      <c r="B2311" s="35">
        <f t="array" ref="B2311">XLOOKUP(A2311,IMDB_Movies!I$2:I$3493,IMDB_Movies!Q$2:Q$3493)</f>
        <v>13991568</v>
      </c>
      <c r="E2311" s="28" t="s">
        <v>7582</v>
      </c>
      <c r="F2311" s="36">
        <f t="array" ref="F2311">XLOOKUP(A2311,IMDB_Movies!I$2:I$3493,IMDB_Movies!P$2:P$3493)</f>
        <v>0</v>
      </c>
    </row>
    <row r="2312">
      <c r="A2312" s="11" t="s">
        <v>7584</v>
      </c>
      <c r="B2312" s="35">
        <f t="array" ref="B2312">XLOOKUP(A2312,IMDB_Movies!I$2:I$3493,IMDB_Movies!Q$2:Q$3493)</f>
        <v>0</v>
      </c>
      <c r="E2312" s="11" t="s">
        <v>7584</v>
      </c>
      <c r="F2312" s="36">
        <f t="array" ref="F2312">XLOOKUP(A2312,IMDB_Movies!I$2:I$3493,IMDB_Movies!P$2:P$3493)</f>
        <v>112708996</v>
      </c>
    </row>
    <row r="2313">
      <c r="A2313" s="11" t="s">
        <v>7587</v>
      </c>
      <c r="B2313" s="35">
        <f t="array" ref="B2313">XLOOKUP(A2313,IMDB_Movies!I$2:I$3493,IMDB_Movies!Q$2:Q$3493)</f>
        <v>9693553</v>
      </c>
      <c r="E2313" s="11" t="s">
        <v>7587</v>
      </c>
      <c r="F2313" s="36">
        <f t="array" ref="F2313">XLOOKUP(A2313,IMDB_Movies!I$2:I$3493,IMDB_Movies!P$2:P$3493)</f>
        <v>0</v>
      </c>
    </row>
    <row r="2314">
      <c r="A2314" s="11" t="s">
        <v>7590</v>
      </c>
      <c r="B2314" s="35">
        <f t="array" ref="B2314">XLOOKUP(A2314,IMDB_Movies!I$2:I$3493,IMDB_Movies!Q$2:Q$3493)</f>
        <v>8368825</v>
      </c>
      <c r="E2314" s="11" t="s">
        <v>7590</v>
      </c>
      <c r="F2314" s="36">
        <f t="array" ref="F2314">XLOOKUP(A2314,IMDB_Movies!I$2:I$3493,IMDB_Movies!P$2:P$3493)</f>
        <v>0</v>
      </c>
    </row>
    <row r="2315">
      <c r="A2315" s="28" t="s">
        <v>7593</v>
      </c>
      <c r="B2315" s="35">
        <f t="array" ref="B2315">XLOOKUP(A2315,IMDB_Movies!I$2:I$3493,IMDB_Movies!Q$2:Q$3493)</f>
        <v>0</v>
      </c>
      <c r="E2315" s="28" t="s">
        <v>7593</v>
      </c>
      <c r="F2315" s="36">
        <f t="array" ref="F2315">XLOOKUP(A2315,IMDB_Movies!I$2:I$3493,IMDB_Movies!P$2:P$3493)</f>
        <v>13001785</v>
      </c>
    </row>
    <row r="2316">
      <c r="A2316" s="11" t="s">
        <v>7596</v>
      </c>
      <c r="B2316" s="35">
        <f t="array" ref="B2316">XLOOKUP(A2316,IMDB_Movies!I$2:I$3493,IMDB_Movies!Q$2:Q$3493)</f>
        <v>15997036</v>
      </c>
      <c r="E2316" s="11" t="s">
        <v>7596</v>
      </c>
      <c r="F2316" s="36">
        <f t="array" ref="F2316">XLOOKUP(A2316,IMDB_Movies!I$2:I$3493,IMDB_Movies!P$2:P$3493)</f>
        <v>0</v>
      </c>
    </row>
    <row r="2317">
      <c r="A2317" s="20" t="s">
        <v>7600</v>
      </c>
      <c r="B2317" s="35">
        <f t="array" ref="B2317">XLOOKUP(A2317,IMDB_Movies!I$2:I$3493,IMDB_Movies!Q$2:Q$3493)</f>
        <v>0</v>
      </c>
      <c r="E2317" s="20" t="s">
        <v>7600</v>
      </c>
      <c r="F2317" s="36">
        <f t="array" ref="F2317">XLOOKUP(A2317,IMDB_Movies!I$2:I$3493,IMDB_Movies!P$2:P$3493)</f>
        <v>15773070</v>
      </c>
    </row>
    <row r="2318">
      <c r="A2318" s="24" t="s">
        <v>7604</v>
      </c>
      <c r="B2318" s="35">
        <f t="array" ref="B2318">XLOOKUP(A2318,IMDB_Movies!I$2:I$3493,IMDB_Movies!Q$2:Q$3493)</f>
        <v>0</v>
      </c>
      <c r="E2318" s="24" t="s">
        <v>7604</v>
      </c>
      <c r="F2318" s="36">
        <f t="array" ref="F2318">XLOOKUP(A2318,IMDB_Movies!I$2:I$3493,IMDB_Movies!P$2:P$3493)</f>
        <v>441829</v>
      </c>
    </row>
    <row r="2319">
      <c r="A2319" s="16" t="s">
        <v>7607</v>
      </c>
      <c r="B2319" s="35">
        <f t="array" ref="B2319">XLOOKUP(A2319,IMDB_Movies!I$2:I$3493,IMDB_Movies!Q$2:Q$3493)</f>
        <v>16880121</v>
      </c>
      <c r="E2319" s="16" t="s">
        <v>7607</v>
      </c>
      <c r="F2319" s="36">
        <f t="array" ref="F2319">XLOOKUP(A2319,IMDB_Movies!I$2:I$3493,IMDB_Movies!P$2:P$3493)</f>
        <v>0</v>
      </c>
    </row>
    <row r="2320">
      <c r="A2320" s="24" t="s">
        <v>7612</v>
      </c>
      <c r="B2320" s="35">
        <f t="array" ref="B2320">XLOOKUP(A2320,IMDB_Movies!I$2:I$3493,IMDB_Movies!Q$2:Q$3493)</f>
        <v>0</v>
      </c>
      <c r="E2320" s="24" t="s">
        <v>7612</v>
      </c>
      <c r="F2320" s="36">
        <f t="array" ref="F2320">XLOOKUP(A2320,IMDB_Movies!I$2:I$3493,IMDB_Movies!P$2:P$3493)</f>
        <v>530270</v>
      </c>
    </row>
    <row r="2321">
      <c r="A2321" s="11" t="s">
        <v>7614</v>
      </c>
      <c r="B2321" s="35">
        <f t="array" ref="B2321">XLOOKUP(A2321,IMDB_Movies!I$2:I$3493,IMDB_Movies!Q$2:Q$3493)</f>
        <v>0</v>
      </c>
      <c r="E2321" s="11" t="s">
        <v>7614</v>
      </c>
      <c r="F2321" s="36">
        <f t="array" ref="F2321">XLOOKUP(A2321,IMDB_Movies!I$2:I$3493,IMDB_Movies!P$2:P$3493)</f>
        <v>27701895</v>
      </c>
    </row>
    <row r="2322">
      <c r="A2322" s="24" t="s">
        <v>7616</v>
      </c>
      <c r="B2322" s="35">
        <f t="array" ref="B2322">XLOOKUP(A2322,IMDB_Movies!I$2:I$3493,IMDB_Movies!Q$2:Q$3493)</f>
        <v>0</v>
      </c>
      <c r="E2322" s="24" t="s">
        <v>7616</v>
      </c>
      <c r="F2322" s="36">
        <f t="array" ref="F2322">XLOOKUP(A2322,IMDB_Movies!I$2:I$3493,IMDB_Movies!P$2:P$3493)</f>
        <v>18400000</v>
      </c>
    </row>
    <row r="2323">
      <c r="A2323" s="11" t="s">
        <v>7619</v>
      </c>
      <c r="B2323" s="35">
        <f t="array" ref="B2323">XLOOKUP(A2323,IMDB_Movies!I$2:I$3493,IMDB_Movies!Q$2:Q$3493)</f>
        <v>750995</v>
      </c>
      <c r="E2323" s="11" t="s">
        <v>7619</v>
      </c>
      <c r="F2323" s="36">
        <f t="array" ref="F2323">XLOOKUP(A2323,IMDB_Movies!I$2:I$3493,IMDB_Movies!P$2:P$3493)</f>
        <v>0</v>
      </c>
    </row>
    <row r="2324">
      <c r="A2324" s="32" t="s">
        <v>7623</v>
      </c>
      <c r="B2324" s="35">
        <f t="array" ref="B2324">XLOOKUP(A2324,IMDB_Movies!I$2:I$3493,IMDB_Movies!Q$2:Q$3493)</f>
        <v>32005864</v>
      </c>
      <c r="E2324" s="32" t="s">
        <v>7623</v>
      </c>
      <c r="F2324" s="36">
        <f t="array" ref="F2324">XLOOKUP(A2324,IMDB_Movies!I$2:I$3493,IMDB_Movies!P$2:P$3493)</f>
        <v>0</v>
      </c>
    </row>
    <row r="2325">
      <c r="A2325" s="20" t="s">
        <v>7625</v>
      </c>
      <c r="B2325" s="35">
        <f t="array" ref="B2325">XLOOKUP(A2325,IMDB_Movies!I$2:I$3493,IMDB_Movies!Q$2:Q$3493)</f>
        <v>0</v>
      </c>
      <c r="E2325" s="20" t="s">
        <v>7625</v>
      </c>
      <c r="F2325" s="36">
        <f t="array" ref="F2325">XLOOKUP(A2325,IMDB_Movies!I$2:I$3493,IMDB_Movies!P$2:P$3493)</f>
        <v>14490142</v>
      </c>
    </row>
    <row r="2326">
      <c r="A2326" s="24" t="s">
        <v>7628</v>
      </c>
      <c r="B2326" s="35">
        <f t="array" ref="B2326">XLOOKUP(A2326,IMDB_Movies!I$2:I$3493,IMDB_Movies!Q$2:Q$3493)</f>
        <v>3189032</v>
      </c>
      <c r="E2326" s="24" t="s">
        <v>7628</v>
      </c>
      <c r="F2326" s="36">
        <f t="array" ref="F2326">XLOOKUP(A2326,IMDB_Movies!I$2:I$3493,IMDB_Movies!P$2:P$3493)</f>
        <v>0</v>
      </c>
    </row>
    <row r="2327">
      <c r="A2327" s="11" t="s">
        <v>7632</v>
      </c>
      <c r="B2327" s="35">
        <f t="array" ref="B2327">XLOOKUP(A2327,IMDB_Movies!I$2:I$3493,IMDB_Movies!Q$2:Q$3493)</f>
        <v>3469419</v>
      </c>
      <c r="E2327" s="11" t="s">
        <v>7632</v>
      </c>
      <c r="F2327" s="36">
        <f t="array" ref="F2327">XLOOKUP(A2327,IMDB_Movies!I$2:I$3493,IMDB_Movies!P$2:P$3493)</f>
        <v>0</v>
      </c>
    </row>
    <row r="2328">
      <c r="A2328" s="24" t="s">
        <v>7634</v>
      </c>
      <c r="B2328" s="35">
        <f t="array" ref="B2328">XLOOKUP(A2328,IMDB_Movies!I$2:I$3493,IMDB_Movies!Q$2:Q$3493)</f>
        <v>0</v>
      </c>
      <c r="E2328" s="24" t="s">
        <v>7634</v>
      </c>
      <c r="F2328" s="36">
        <f t="array" ref="F2328">XLOOKUP(A2328,IMDB_Movies!I$2:I$3493,IMDB_Movies!P$2:P$3493)</f>
        <v>35448498</v>
      </c>
    </row>
    <row r="2329">
      <c r="A2329" s="24" t="s">
        <v>7638</v>
      </c>
      <c r="B2329" s="35">
        <f t="array" ref="B2329">XLOOKUP(A2329,IMDB_Movies!I$2:I$3493,IMDB_Movies!Q$2:Q$3493)</f>
        <v>0</v>
      </c>
      <c r="E2329" s="24" t="s">
        <v>7638</v>
      </c>
      <c r="F2329" s="36">
        <f t="array" ref="F2329">XLOOKUP(A2329,IMDB_Movies!I$2:I$3493,IMDB_Movies!P$2:P$3493)</f>
        <v>1947339</v>
      </c>
    </row>
    <row r="2330">
      <c r="A2330" s="24" t="s">
        <v>7640</v>
      </c>
      <c r="B2330" s="35">
        <f t="array" ref="B2330">XLOOKUP(A2330,IMDB_Movies!I$2:I$3493,IMDB_Movies!Q$2:Q$3493)</f>
        <v>0</v>
      </c>
      <c r="E2330" s="24" t="s">
        <v>7640</v>
      </c>
      <c r="F2330" s="36">
        <f t="array" ref="F2330">XLOOKUP(A2330,IMDB_Movies!I$2:I$3493,IMDB_Movies!P$2:P$3493)</f>
        <v>38872378</v>
      </c>
    </row>
    <row r="2331">
      <c r="A2331" s="11" t="s">
        <v>7643</v>
      </c>
      <c r="B2331" s="35">
        <f t="array" ref="B2331">XLOOKUP(A2331,IMDB_Movies!I$2:I$3493,IMDB_Movies!Q$2:Q$3493)</f>
        <v>2022635</v>
      </c>
      <c r="E2331" s="11" t="s">
        <v>7643</v>
      </c>
      <c r="F2331" s="36">
        <f t="array" ref="F2331">XLOOKUP(A2331,IMDB_Movies!I$2:I$3493,IMDB_Movies!P$2:P$3493)</f>
        <v>0</v>
      </c>
    </row>
    <row r="2332">
      <c r="A2332" s="20" t="s">
        <v>7647</v>
      </c>
      <c r="B2332" s="35">
        <f t="array" ref="B2332">XLOOKUP(A2332,IMDB_Movies!I$2:I$3493,IMDB_Movies!Q$2:Q$3493)</f>
        <v>7900000</v>
      </c>
      <c r="E2332" s="20" t="s">
        <v>7647</v>
      </c>
      <c r="F2332" s="36">
        <f t="array" ref="F2332">XLOOKUP(A2332,IMDB_Movies!I$2:I$3493,IMDB_Movies!P$2:P$3493)</f>
        <v>0</v>
      </c>
    </row>
    <row r="2333">
      <c r="A2333" s="30" t="s">
        <v>7649</v>
      </c>
      <c r="B2333" s="35">
        <f t="array" ref="B2333">XLOOKUP(A2333,IMDB_Movies!I$2:I$3493,IMDB_Movies!Q$2:Q$3493)</f>
        <v>0</v>
      </c>
      <c r="E2333" s="30" t="s">
        <v>7649</v>
      </c>
      <c r="F2333" s="36">
        <f t="array" ref="F2333">XLOOKUP(A2333,IMDB_Movies!I$2:I$3493,IMDB_Movies!P$2:P$3493)</f>
        <v>523505847</v>
      </c>
    </row>
    <row r="2334">
      <c r="A2334" s="24" t="s">
        <v>7651</v>
      </c>
      <c r="B2334" s="35">
        <f t="array" ref="B2334">XLOOKUP(A2334,IMDB_Movies!I$2:I$3493,IMDB_Movies!Q$2:Q$3493)</f>
        <v>0</v>
      </c>
      <c r="E2334" s="24" t="s">
        <v>7651</v>
      </c>
      <c r="F2334" s="36">
        <f t="array" ref="F2334">XLOOKUP(A2334,IMDB_Movies!I$2:I$3493,IMDB_Movies!P$2:P$3493)</f>
        <v>61830669</v>
      </c>
    </row>
    <row r="2335">
      <c r="A2335" s="20" t="s">
        <v>7653</v>
      </c>
      <c r="B2335" s="35">
        <f t="array" ref="B2335">XLOOKUP(A2335,IMDB_Movies!I$2:I$3493,IMDB_Movies!Q$2:Q$3493)</f>
        <v>0</v>
      </c>
      <c r="E2335" s="20" t="s">
        <v>7653</v>
      </c>
      <c r="F2335" s="36">
        <f t="array" ref="F2335">XLOOKUP(A2335,IMDB_Movies!I$2:I$3493,IMDB_Movies!P$2:P$3493)</f>
        <v>5218921</v>
      </c>
    </row>
    <row r="2336">
      <c r="A2336" s="24" t="s">
        <v>7656</v>
      </c>
      <c r="B2336" s="35">
        <f t="array" ref="B2336">XLOOKUP(A2336,IMDB_Movies!I$2:I$3493,IMDB_Movies!Q$2:Q$3493)</f>
        <v>0</v>
      </c>
      <c r="E2336" s="24" t="s">
        <v>7656</v>
      </c>
      <c r="F2336" s="36">
        <f t="array" ref="F2336">XLOOKUP(A2336,IMDB_Movies!I$2:I$3493,IMDB_Movies!P$2:P$3493)</f>
        <v>54600000</v>
      </c>
    </row>
    <row r="2337">
      <c r="A2337" s="11" t="s">
        <v>7660</v>
      </c>
      <c r="B2337" s="35">
        <f t="array" ref="B2337">XLOOKUP(A2337,IMDB_Movies!I$2:I$3493,IMDB_Movies!Q$2:Q$3493)</f>
        <v>7116045</v>
      </c>
      <c r="E2337" s="11" t="s">
        <v>7660</v>
      </c>
      <c r="F2337" s="36">
        <f t="array" ref="F2337">XLOOKUP(A2337,IMDB_Movies!I$2:I$3493,IMDB_Movies!P$2:P$3493)</f>
        <v>0</v>
      </c>
    </row>
    <row r="2338">
      <c r="A2338" s="11" t="s">
        <v>7665</v>
      </c>
      <c r="B2338" s="35">
        <f t="array" ref="B2338">XLOOKUP(A2338,IMDB_Movies!I$2:I$3493,IMDB_Movies!Q$2:Q$3493)</f>
        <v>0</v>
      </c>
      <c r="E2338" s="11" t="s">
        <v>7665</v>
      </c>
      <c r="F2338" s="36">
        <f t="array" ref="F2338">XLOOKUP(A2338,IMDB_Movies!I$2:I$3493,IMDB_Movies!P$2:P$3493)</f>
        <v>4628751</v>
      </c>
    </row>
    <row r="2339">
      <c r="A2339" s="11" t="s">
        <v>7667</v>
      </c>
      <c r="B2339" s="35">
        <f t="array" ref="B2339">XLOOKUP(A2339,IMDB_Movies!I$2:I$3493,IMDB_Movies!Q$2:Q$3493)</f>
        <v>14168495</v>
      </c>
      <c r="E2339" s="11" t="s">
        <v>7667</v>
      </c>
      <c r="F2339" s="36">
        <f t="array" ref="F2339">XLOOKUP(A2339,IMDB_Movies!I$2:I$3493,IMDB_Movies!P$2:P$3493)</f>
        <v>0</v>
      </c>
    </row>
    <row r="2340">
      <c r="A2340" s="24" t="s">
        <v>7669</v>
      </c>
      <c r="B2340" s="35">
        <f t="array" ref="B2340">XLOOKUP(A2340,IMDB_Movies!I$2:I$3493,IMDB_Movies!Q$2:Q$3493)</f>
        <v>0</v>
      </c>
      <c r="E2340" s="24" t="s">
        <v>7669</v>
      </c>
      <c r="F2340" s="36">
        <f t="array" ref="F2340">XLOOKUP(A2340,IMDB_Movies!I$2:I$3493,IMDB_Movies!P$2:P$3493)</f>
        <v>67125340</v>
      </c>
    </row>
    <row r="2341">
      <c r="A2341" s="28" t="s">
        <v>7671</v>
      </c>
      <c r="B2341" s="35">
        <f t="array" ref="B2341">XLOOKUP(A2341,IMDB_Movies!I$2:I$3493,IMDB_Movies!Q$2:Q$3493)</f>
        <v>0</v>
      </c>
      <c r="E2341" s="28" t="s">
        <v>7671</v>
      </c>
      <c r="F2341" s="36">
        <f t="array" ref="F2341">XLOOKUP(A2341,IMDB_Movies!I$2:I$3493,IMDB_Movies!P$2:P$3493)</f>
        <v>14106737</v>
      </c>
    </row>
    <row r="2342">
      <c r="A2342" s="32" t="s">
        <v>7673</v>
      </c>
      <c r="B2342" s="35">
        <f t="array" ref="B2342">XLOOKUP(A2342,IMDB_Movies!I$2:I$3493,IMDB_Movies!Q$2:Q$3493)</f>
        <v>23910635</v>
      </c>
      <c r="E2342" s="32" t="s">
        <v>7673</v>
      </c>
      <c r="F2342" s="36">
        <f t="array" ref="F2342">XLOOKUP(A2342,IMDB_Movies!I$2:I$3493,IMDB_Movies!P$2:P$3493)</f>
        <v>0</v>
      </c>
    </row>
    <row r="2343">
      <c r="A2343" s="32" t="s">
        <v>7675</v>
      </c>
      <c r="B2343" s="35">
        <f t="array" ref="B2343">XLOOKUP(A2343,IMDB_Movies!I$2:I$3493,IMDB_Movies!Q$2:Q$3493)</f>
        <v>0</v>
      </c>
      <c r="E2343" s="32" t="s">
        <v>7675</v>
      </c>
      <c r="F2343" s="36">
        <f t="array" ref="F2343">XLOOKUP(A2343,IMDB_Movies!I$2:I$3493,IMDB_Movies!P$2:P$3493)</f>
        <v>12382982</v>
      </c>
    </row>
    <row r="2344">
      <c r="A2344" s="11" t="s">
        <v>7677</v>
      </c>
      <c r="B2344" s="35">
        <f t="array" ref="B2344">XLOOKUP(A2344,IMDB_Movies!I$2:I$3493,IMDB_Movies!Q$2:Q$3493)</f>
        <v>0</v>
      </c>
      <c r="E2344" s="11" t="s">
        <v>7677</v>
      </c>
      <c r="F2344" s="36">
        <f t="array" ref="F2344">XLOOKUP(A2344,IMDB_Movies!I$2:I$3493,IMDB_Movies!P$2:P$3493)</f>
        <v>21263182</v>
      </c>
    </row>
    <row r="2345">
      <c r="A2345" s="32" t="s">
        <v>7680</v>
      </c>
      <c r="B2345" s="35">
        <f t="array" ref="B2345">XLOOKUP(A2345,IMDB_Movies!I$2:I$3493,IMDB_Movies!Q$2:Q$3493)</f>
        <v>9980747</v>
      </c>
      <c r="E2345" s="32" t="s">
        <v>7680</v>
      </c>
      <c r="F2345" s="36">
        <f t="array" ref="F2345">XLOOKUP(A2345,IMDB_Movies!I$2:I$3493,IMDB_Movies!P$2:P$3493)</f>
        <v>0</v>
      </c>
    </row>
    <row r="2346">
      <c r="A2346" s="20" t="s">
        <v>7682</v>
      </c>
      <c r="B2346" s="35">
        <f t="array" ref="B2346">XLOOKUP(A2346,IMDB_Movies!I$2:I$3493,IMDB_Movies!Q$2:Q$3493)</f>
        <v>0</v>
      </c>
      <c r="E2346" s="20" t="s">
        <v>7682</v>
      </c>
      <c r="F2346" s="36">
        <f t="array" ref="F2346">XLOOKUP(A2346,IMDB_Movies!I$2:I$3493,IMDB_Movies!P$2:P$3493)</f>
        <v>30341670</v>
      </c>
    </row>
    <row r="2347">
      <c r="A2347" s="11" t="s">
        <v>7685</v>
      </c>
      <c r="B2347" s="35">
        <f t="array" ref="B2347">XLOOKUP(A2347,IMDB_Movies!I$2:I$3493,IMDB_Movies!Q$2:Q$3493)</f>
        <v>0</v>
      </c>
      <c r="E2347" s="11" t="s">
        <v>7685</v>
      </c>
      <c r="F2347" s="36">
        <f t="array" ref="F2347">XLOOKUP(A2347,IMDB_Movies!I$2:I$3493,IMDB_Movies!P$2:P$3493)</f>
        <v>54817937</v>
      </c>
    </row>
    <row r="2348">
      <c r="A2348" s="24" t="s">
        <v>7688</v>
      </c>
      <c r="B2348" s="35">
        <f t="array" ref="B2348">XLOOKUP(A2348,IMDB_Movies!I$2:I$3493,IMDB_Movies!Q$2:Q$3493)</f>
        <v>35164032</v>
      </c>
      <c r="E2348" s="24" t="s">
        <v>7688</v>
      </c>
      <c r="F2348" s="36">
        <f t="array" ref="F2348">XLOOKUP(A2348,IMDB_Movies!I$2:I$3493,IMDB_Movies!P$2:P$3493)</f>
        <v>0</v>
      </c>
    </row>
    <row r="2349">
      <c r="A2349" s="28" t="s">
        <v>7691</v>
      </c>
      <c r="B2349" s="35">
        <f t="array" ref="B2349">XLOOKUP(A2349,IMDB_Movies!I$2:I$3493,IMDB_Movies!Q$2:Q$3493)</f>
        <v>0</v>
      </c>
      <c r="E2349" s="28" t="s">
        <v>7691</v>
      </c>
      <c r="F2349" s="36">
        <f t="array" ref="F2349">XLOOKUP(A2349,IMDB_Movies!I$2:I$3493,IMDB_Movies!P$2:P$3493)</f>
        <v>85762022</v>
      </c>
    </row>
    <row r="2350">
      <c r="A2350" s="11" t="s">
        <v>7693</v>
      </c>
      <c r="B2350" s="35">
        <f t="array" ref="B2350">XLOOKUP(A2350,IMDB_Movies!I$2:I$3493,IMDB_Movies!Q$2:Q$3493)</f>
        <v>0</v>
      </c>
      <c r="E2350" s="11" t="s">
        <v>7693</v>
      </c>
      <c r="F2350" s="36">
        <f t="array" ref="F2350">XLOOKUP(A2350,IMDB_Movies!I$2:I$3493,IMDB_Movies!P$2:P$3493)</f>
        <v>110117807</v>
      </c>
    </row>
    <row r="2351">
      <c r="A2351" s="16" t="s">
        <v>7696</v>
      </c>
      <c r="B2351" s="35">
        <f t="array" ref="B2351">XLOOKUP(A2351,IMDB_Movies!I$2:I$3493,IMDB_Movies!Q$2:Q$3493)</f>
        <v>701468</v>
      </c>
      <c r="E2351" s="16" t="s">
        <v>7696</v>
      </c>
      <c r="F2351" s="36">
        <f t="array" ref="F2351">XLOOKUP(A2351,IMDB_Movies!I$2:I$3493,IMDB_Movies!P$2:P$3493)</f>
        <v>0</v>
      </c>
    </row>
    <row r="2352">
      <c r="A2352" s="32" t="s">
        <v>7698</v>
      </c>
      <c r="B2352" s="35">
        <f t="array" ref="B2352">XLOOKUP(A2352,IMDB_Movies!I$2:I$3493,IMDB_Movies!Q$2:Q$3493)</f>
        <v>0</v>
      </c>
      <c r="E2352" s="32" t="s">
        <v>7698</v>
      </c>
      <c r="F2352" s="36">
        <f t="array" ref="F2352">XLOOKUP(A2352,IMDB_Movies!I$2:I$3493,IMDB_Movies!P$2:P$3493)</f>
        <v>2883495</v>
      </c>
    </row>
    <row r="2353">
      <c r="A2353" s="28" t="s">
        <v>7701</v>
      </c>
      <c r="B2353" s="35">
        <f t="array" ref="B2353">XLOOKUP(A2353,IMDB_Movies!I$2:I$3493,IMDB_Movies!Q$2:Q$3493)</f>
        <v>54531374</v>
      </c>
      <c r="E2353" s="28" t="s">
        <v>7701</v>
      </c>
      <c r="F2353" s="36">
        <f t="array" ref="F2353">XLOOKUP(A2353,IMDB_Movies!I$2:I$3493,IMDB_Movies!P$2:P$3493)</f>
        <v>0</v>
      </c>
    </row>
    <row r="2354">
      <c r="A2354" s="20" t="s">
        <v>7705</v>
      </c>
      <c r="B2354" s="35">
        <f t="array" ref="B2354">XLOOKUP(A2354,IMDB_Movies!I$2:I$3493,IMDB_Movies!Q$2:Q$3493)</f>
        <v>0</v>
      </c>
      <c r="E2354" s="20" t="s">
        <v>7705</v>
      </c>
      <c r="F2354" s="36">
        <f t="array" ref="F2354">XLOOKUP(A2354,IMDB_Movies!I$2:I$3493,IMDB_Movies!P$2:P$3493)</f>
        <v>6595716</v>
      </c>
    </row>
    <row r="2355">
      <c r="A2355" s="11" t="s">
        <v>7707</v>
      </c>
      <c r="B2355" s="35">
        <f t="array" ref="B2355">XLOOKUP(A2355,IMDB_Movies!I$2:I$3493,IMDB_Movies!Q$2:Q$3493)</f>
        <v>0</v>
      </c>
      <c r="E2355" s="11" t="s">
        <v>7707</v>
      </c>
      <c r="F2355" s="36">
        <f t="array" ref="F2355">XLOOKUP(A2355,IMDB_Movies!I$2:I$3493,IMDB_Movies!P$2:P$3493)</f>
        <v>38756232</v>
      </c>
    </row>
    <row r="2356">
      <c r="A2356" s="20" t="s">
        <v>7710</v>
      </c>
      <c r="B2356" s="35">
        <f t="array" ref="B2356">XLOOKUP(A2356,IMDB_Movies!I$2:I$3493,IMDB_Movies!Q$2:Q$3493)</f>
        <v>0</v>
      </c>
      <c r="E2356" s="20" t="s">
        <v>7710</v>
      </c>
      <c r="F2356" s="36">
        <f t="array" ref="F2356">XLOOKUP(A2356,IMDB_Movies!I$2:I$3493,IMDB_Movies!P$2:P$3493)</f>
        <v>5500797</v>
      </c>
    </row>
    <row r="2357">
      <c r="A2357" s="28" t="s">
        <v>7713</v>
      </c>
      <c r="B2357" s="35">
        <f t="array" ref="B2357">XLOOKUP(A2357,IMDB_Movies!I$2:I$3493,IMDB_Movies!Q$2:Q$3493)</f>
        <v>0</v>
      </c>
      <c r="E2357" s="28" t="s">
        <v>7713</v>
      </c>
      <c r="F2357" s="36">
        <f t="array" ref="F2357">XLOOKUP(A2357,IMDB_Movies!I$2:I$3493,IMDB_Movies!P$2:P$3493)</f>
        <v>27592530</v>
      </c>
    </row>
    <row r="2358">
      <c r="A2358" s="11" t="s">
        <v>7715</v>
      </c>
      <c r="B2358" s="35">
        <f t="array" ref="B2358">XLOOKUP(A2358,IMDB_Movies!I$2:I$3493,IMDB_Movies!Q$2:Q$3493)</f>
        <v>6766897</v>
      </c>
      <c r="E2358" s="11" t="s">
        <v>7715</v>
      </c>
      <c r="F2358" s="36">
        <f t="array" ref="F2358">XLOOKUP(A2358,IMDB_Movies!I$2:I$3493,IMDB_Movies!P$2:P$3493)</f>
        <v>0</v>
      </c>
    </row>
    <row r="2359">
      <c r="A2359" s="28" t="s">
        <v>7718</v>
      </c>
      <c r="B2359" s="35">
        <f t="array" ref="B2359">XLOOKUP(A2359,IMDB_Movies!I$2:I$3493,IMDB_Movies!Q$2:Q$3493)</f>
        <v>10802214</v>
      </c>
      <c r="E2359" s="28" t="s">
        <v>7718</v>
      </c>
      <c r="F2359" s="36">
        <f t="array" ref="F2359">XLOOKUP(A2359,IMDB_Movies!I$2:I$3493,IMDB_Movies!P$2:P$3493)</f>
        <v>0</v>
      </c>
    </row>
    <row r="2360">
      <c r="A2360" s="11" t="s">
        <v>7720</v>
      </c>
      <c r="B2360" s="35">
        <f t="array" ref="B2360">XLOOKUP(A2360,IMDB_Movies!I$2:I$3493,IMDB_Movies!Q$2:Q$3493)</f>
        <v>23948874</v>
      </c>
      <c r="E2360" s="11" t="s">
        <v>7720</v>
      </c>
      <c r="F2360" s="36">
        <f t="array" ref="F2360">XLOOKUP(A2360,IMDB_Movies!I$2:I$3493,IMDB_Movies!P$2:P$3493)</f>
        <v>0</v>
      </c>
    </row>
    <row r="2361">
      <c r="A2361" s="20" t="s">
        <v>7723</v>
      </c>
      <c r="B2361" s="35">
        <f t="array" ref="B2361">XLOOKUP(A2361,IMDB_Movies!I$2:I$3493,IMDB_Movies!Q$2:Q$3493)</f>
        <v>23957120</v>
      </c>
      <c r="E2361" s="20" t="s">
        <v>7723</v>
      </c>
      <c r="F2361" s="36">
        <f t="array" ref="F2361">XLOOKUP(A2361,IMDB_Movies!I$2:I$3493,IMDB_Movies!P$2:P$3493)</f>
        <v>0</v>
      </c>
    </row>
    <row r="2362">
      <c r="A2362" s="24" t="s">
        <v>7725</v>
      </c>
      <c r="B2362" s="35">
        <f t="array" ref="B2362">XLOOKUP(A2362,IMDB_Movies!I$2:I$3493,IMDB_Movies!Q$2:Q$3493)</f>
        <v>18100000</v>
      </c>
      <c r="E2362" s="24" t="s">
        <v>7725</v>
      </c>
      <c r="F2362" s="36">
        <f t="array" ref="F2362">XLOOKUP(A2362,IMDB_Movies!I$2:I$3493,IMDB_Movies!P$2:P$3493)</f>
        <v>0</v>
      </c>
    </row>
    <row r="2363">
      <c r="A2363" s="32" t="s">
        <v>7729</v>
      </c>
      <c r="B2363" s="35">
        <f t="array" ref="B2363">XLOOKUP(A2363,IMDB_Movies!I$2:I$3493,IMDB_Movies!Q$2:Q$3493)</f>
        <v>12170266</v>
      </c>
      <c r="E2363" s="32" t="s">
        <v>7729</v>
      </c>
      <c r="F2363" s="36">
        <f t="array" ref="F2363">XLOOKUP(A2363,IMDB_Movies!I$2:I$3493,IMDB_Movies!P$2:P$3493)</f>
        <v>0</v>
      </c>
    </row>
    <row r="2364">
      <c r="A2364" s="11" t="s">
        <v>7731</v>
      </c>
      <c r="B2364" s="35">
        <f t="array" ref="B2364">XLOOKUP(A2364,IMDB_Movies!I$2:I$3493,IMDB_Movies!Q$2:Q$3493)</f>
        <v>0</v>
      </c>
      <c r="E2364" s="11" t="s">
        <v>7731</v>
      </c>
      <c r="F2364" s="36">
        <f t="array" ref="F2364">XLOOKUP(A2364,IMDB_Movies!I$2:I$3493,IMDB_Movies!P$2:P$3493)</f>
        <v>112057433</v>
      </c>
    </row>
    <row r="2365">
      <c r="A2365" s="24" t="s">
        <v>7734</v>
      </c>
      <c r="B2365" s="35">
        <f t="array" ref="B2365">XLOOKUP(A2365,IMDB_Movies!I$2:I$3493,IMDB_Movies!Q$2:Q$3493)</f>
        <v>0</v>
      </c>
      <c r="E2365" s="24" t="s">
        <v>7734</v>
      </c>
      <c r="F2365" s="36">
        <f t="array" ref="F2365">XLOOKUP(A2365,IMDB_Movies!I$2:I$3493,IMDB_Movies!P$2:P$3493)</f>
        <v>31505065</v>
      </c>
    </row>
    <row r="2366">
      <c r="A2366" s="11" t="s">
        <v>7737</v>
      </c>
      <c r="B2366" s="35">
        <f t="array" ref="B2366">XLOOKUP(A2366,IMDB_Movies!I$2:I$3493,IMDB_Movies!Q$2:Q$3493)</f>
        <v>0</v>
      </c>
      <c r="E2366" s="11" t="s">
        <v>7737</v>
      </c>
      <c r="F2366" s="36">
        <f t="array" ref="F2366">XLOOKUP(A2366,IMDB_Movies!I$2:I$3493,IMDB_Movies!P$2:P$3493)</f>
        <v>41929168</v>
      </c>
    </row>
    <row r="2367">
      <c r="A2367" s="24" t="s">
        <v>7742</v>
      </c>
      <c r="B2367" s="35">
        <f t="array" ref="B2367">XLOOKUP(A2367,IMDB_Movies!I$2:I$3493,IMDB_Movies!Q$2:Q$3493)</f>
        <v>16880006</v>
      </c>
      <c r="E2367" s="24" t="s">
        <v>7742</v>
      </c>
      <c r="F2367" s="36">
        <f t="array" ref="F2367">XLOOKUP(A2367,IMDB_Movies!I$2:I$3493,IMDB_Movies!P$2:P$3493)</f>
        <v>0</v>
      </c>
    </row>
    <row r="2368">
      <c r="A2368" s="24" t="s">
        <v>7745</v>
      </c>
      <c r="B2368" s="35">
        <f t="array" ref="B2368">XLOOKUP(A2368,IMDB_Movies!I$2:I$3493,IMDB_Movies!Q$2:Q$3493)</f>
        <v>0</v>
      </c>
      <c r="E2368" s="24" t="s">
        <v>7745</v>
      </c>
      <c r="F2368" s="36">
        <f t="array" ref="F2368">XLOOKUP(A2368,IMDB_Movies!I$2:I$3493,IMDB_Movies!P$2:P$3493)</f>
        <v>51209973</v>
      </c>
    </row>
    <row r="2369">
      <c r="A2369" s="20" t="s">
        <v>7749</v>
      </c>
      <c r="B2369" s="35">
        <f t="array" ref="B2369">XLOOKUP(A2369,IMDB_Movies!I$2:I$3493,IMDB_Movies!Q$2:Q$3493)</f>
        <v>8972555</v>
      </c>
      <c r="E2369" s="20" t="s">
        <v>7749</v>
      </c>
      <c r="F2369" s="36">
        <f t="array" ref="F2369">XLOOKUP(A2369,IMDB_Movies!I$2:I$3493,IMDB_Movies!P$2:P$3493)</f>
        <v>0</v>
      </c>
    </row>
    <row r="2370">
      <c r="A2370" s="11" t="s">
        <v>7752</v>
      </c>
      <c r="B2370" s="35">
        <f t="array" ref="B2370">XLOOKUP(A2370,IMDB_Movies!I$2:I$3493,IMDB_Movies!Q$2:Q$3493)</f>
        <v>2800000</v>
      </c>
      <c r="E2370" s="11" t="s">
        <v>7752</v>
      </c>
      <c r="F2370" s="36">
        <f t="array" ref="F2370">XLOOKUP(A2370,IMDB_Movies!I$2:I$3493,IMDB_Movies!P$2:P$3493)</f>
        <v>0</v>
      </c>
    </row>
    <row r="2371">
      <c r="A2371" s="11" t="s">
        <v>7754</v>
      </c>
      <c r="B2371" s="35">
        <f t="array" ref="B2371">XLOOKUP(A2371,IMDB_Movies!I$2:I$3493,IMDB_Movies!Q$2:Q$3493)</f>
        <v>0</v>
      </c>
      <c r="E2371" s="11" t="s">
        <v>7754</v>
      </c>
      <c r="F2371" s="36">
        <f t="array" ref="F2371">XLOOKUP(A2371,IMDB_Movies!I$2:I$3493,IMDB_Movies!P$2:P$3493)</f>
        <v>128566</v>
      </c>
    </row>
    <row r="2372">
      <c r="A2372" s="32" t="s">
        <v>7756</v>
      </c>
      <c r="B2372" s="35">
        <f t="array" ref="B2372">XLOOKUP(A2372,IMDB_Movies!I$2:I$3493,IMDB_Movies!Q$2:Q$3493)</f>
        <v>17287907</v>
      </c>
      <c r="E2372" s="32" t="s">
        <v>7756</v>
      </c>
      <c r="F2372" s="36">
        <f t="array" ref="F2372">XLOOKUP(A2372,IMDB_Movies!I$2:I$3493,IMDB_Movies!P$2:P$3493)</f>
        <v>0</v>
      </c>
    </row>
    <row r="2373">
      <c r="A2373" s="20" t="s">
        <v>7758</v>
      </c>
      <c r="B2373" s="35">
        <f t="array" ref="B2373">XLOOKUP(A2373,IMDB_Movies!I$2:I$3493,IMDB_Movies!Q$2:Q$3493)</f>
        <v>23839471</v>
      </c>
      <c r="E2373" s="20" t="s">
        <v>7758</v>
      </c>
      <c r="F2373" s="36">
        <f t="array" ref="F2373">XLOOKUP(A2373,IMDB_Movies!I$2:I$3493,IMDB_Movies!P$2:P$3493)</f>
        <v>0</v>
      </c>
    </row>
    <row r="2374">
      <c r="A2374" s="11" t="s">
        <v>7762</v>
      </c>
      <c r="B2374" s="35">
        <f t="array" ref="B2374">XLOOKUP(A2374,IMDB_Movies!I$2:I$3493,IMDB_Movies!Q$2:Q$3493)</f>
        <v>6389971</v>
      </c>
      <c r="E2374" s="11" t="s">
        <v>7762</v>
      </c>
      <c r="F2374" s="36">
        <f t="array" ref="F2374">XLOOKUP(A2374,IMDB_Movies!I$2:I$3493,IMDB_Movies!P$2:P$3493)</f>
        <v>0</v>
      </c>
    </row>
    <row r="2375">
      <c r="A2375" s="32" t="s">
        <v>7764</v>
      </c>
      <c r="B2375" s="35">
        <f t="array" ref="B2375">XLOOKUP(A2375,IMDB_Movies!I$2:I$3493,IMDB_Movies!Q$2:Q$3493)</f>
        <v>0</v>
      </c>
      <c r="E2375" s="32" t="s">
        <v>7764</v>
      </c>
      <c r="F2375" s="36">
        <f t="array" ref="F2375">XLOOKUP(A2375,IMDB_Movies!I$2:I$3493,IMDB_Movies!P$2:P$3493)</f>
        <v>20530832</v>
      </c>
    </row>
    <row r="2376">
      <c r="A2376" s="11" t="s">
        <v>7766</v>
      </c>
      <c r="B2376" s="35">
        <f t="array" ref="B2376">XLOOKUP(A2376,IMDB_Movies!I$2:I$3493,IMDB_Movies!Q$2:Q$3493)</f>
        <v>945296</v>
      </c>
      <c r="E2376" s="11" t="s">
        <v>7766</v>
      </c>
      <c r="F2376" s="36">
        <f t="array" ref="F2376">XLOOKUP(A2376,IMDB_Movies!I$2:I$3493,IMDB_Movies!P$2:P$3493)</f>
        <v>0</v>
      </c>
    </row>
    <row r="2377">
      <c r="A2377" s="11" t="s">
        <v>7768</v>
      </c>
      <c r="B2377" s="35">
        <f t="array" ref="B2377">XLOOKUP(A2377,IMDB_Movies!I$2:I$3493,IMDB_Movies!Q$2:Q$3493)</f>
        <v>2425934</v>
      </c>
      <c r="E2377" s="11" t="s">
        <v>7768</v>
      </c>
      <c r="F2377" s="36">
        <f t="array" ref="F2377">XLOOKUP(A2377,IMDB_Movies!I$2:I$3493,IMDB_Movies!P$2:P$3493)</f>
        <v>0</v>
      </c>
    </row>
    <row r="2378">
      <c r="A2378" s="11" t="s">
        <v>7771</v>
      </c>
      <c r="B2378" s="35">
        <f t="array" ref="B2378">XLOOKUP(A2378,IMDB_Movies!I$2:I$3493,IMDB_Movies!Q$2:Q$3493)</f>
        <v>29610033</v>
      </c>
      <c r="E2378" s="11" t="s">
        <v>7771</v>
      </c>
      <c r="F2378" s="36">
        <f t="array" ref="F2378">XLOOKUP(A2378,IMDB_Movies!I$2:I$3493,IMDB_Movies!P$2:P$3493)</f>
        <v>0</v>
      </c>
    </row>
    <row r="2379">
      <c r="A2379" s="11" t="s">
        <v>7774</v>
      </c>
      <c r="B2379" s="35">
        <f t="array" ref="B2379">XLOOKUP(A2379,IMDB_Movies!I$2:I$3493,IMDB_Movies!Q$2:Q$3493)</f>
        <v>0</v>
      </c>
      <c r="E2379" s="11" t="s">
        <v>7774</v>
      </c>
      <c r="F2379" s="36">
        <f t="array" ref="F2379">XLOOKUP(A2379,IMDB_Movies!I$2:I$3493,IMDB_Movies!P$2:P$3493)</f>
        <v>1508841</v>
      </c>
    </row>
    <row r="2380">
      <c r="A2380" s="11" t="s">
        <v>7777</v>
      </c>
      <c r="B2380" s="35">
        <f t="array" ref="B2380">XLOOKUP(A2380,IMDB_Movies!I$2:I$3493,IMDB_Movies!Q$2:Q$3493)</f>
        <v>5572976</v>
      </c>
      <c r="E2380" s="11" t="s">
        <v>7777</v>
      </c>
      <c r="F2380" s="36">
        <f t="array" ref="F2380">XLOOKUP(A2380,IMDB_Movies!I$2:I$3493,IMDB_Movies!P$2:P$3493)</f>
        <v>0</v>
      </c>
    </row>
    <row r="2381">
      <c r="A2381" s="11" t="s">
        <v>7780</v>
      </c>
      <c r="B2381" s="35">
        <f t="array" ref="B2381">XLOOKUP(A2381,IMDB_Movies!I$2:I$3493,IMDB_Movies!Q$2:Q$3493)</f>
        <v>0</v>
      </c>
      <c r="E2381" s="11" t="s">
        <v>7780</v>
      </c>
      <c r="F2381" s="36">
        <f t="array" ref="F2381">XLOOKUP(A2381,IMDB_Movies!I$2:I$3493,IMDB_Movies!P$2:P$3493)</f>
        <v>94324072</v>
      </c>
    </row>
    <row r="2382">
      <c r="A2382" s="24" t="s">
        <v>7782</v>
      </c>
      <c r="B2382" s="35">
        <f t="array" ref="B2382">XLOOKUP(A2382,IMDB_Movies!I$2:I$3493,IMDB_Movies!Q$2:Q$3493)</f>
        <v>0</v>
      </c>
      <c r="E2382" s="24" t="s">
        <v>7782</v>
      </c>
      <c r="F2382" s="36">
        <f t="array" ref="F2382">XLOOKUP(A2382,IMDB_Movies!I$2:I$3493,IMDB_Movies!P$2:P$3493)</f>
        <v>25074895</v>
      </c>
    </row>
    <row r="2383">
      <c r="A2383" s="24" t="s">
        <v>7785</v>
      </c>
      <c r="B2383" s="35">
        <f t="array" ref="B2383">XLOOKUP(A2383,IMDB_Movies!I$2:I$3493,IMDB_Movies!Q$2:Q$3493)</f>
        <v>14024817</v>
      </c>
      <c r="E2383" s="24" t="s">
        <v>7785</v>
      </c>
      <c r="F2383" s="36">
        <f t="array" ref="F2383">XLOOKUP(A2383,IMDB_Movies!I$2:I$3493,IMDB_Movies!P$2:P$3493)</f>
        <v>0</v>
      </c>
    </row>
    <row r="2384">
      <c r="A2384" s="11" t="s">
        <v>7790</v>
      </c>
      <c r="B2384" s="35">
        <f t="array" ref="B2384">XLOOKUP(A2384,IMDB_Movies!I$2:I$3493,IMDB_Movies!Q$2:Q$3493)</f>
        <v>478801</v>
      </c>
      <c r="E2384" s="11" t="s">
        <v>7790</v>
      </c>
      <c r="F2384" s="36">
        <f t="array" ref="F2384">XLOOKUP(A2384,IMDB_Movies!I$2:I$3493,IMDB_Movies!P$2:P$3493)</f>
        <v>0</v>
      </c>
    </row>
    <row r="2385">
      <c r="A2385" s="20" t="s">
        <v>7793</v>
      </c>
      <c r="B2385" s="35">
        <f t="array" ref="B2385">XLOOKUP(A2385,IMDB_Movies!I$2:I$3493,IMDB_Movies!Q$2:Q$3493)</f>
        <v>0</v>
      </c>
      <c r="E2385" s="20" t="s">
        <v>7793</v>
      </c>
      <c r="F2385" s="36">
        <f t="array" ref="F2385">XLOOKUP(A2385,IMDB_Movies!I$2:I$3493,IMDB_Movies!P$2:P$3493)</f>
        <v>8662299</v>
      </c>
    </row>
    <row r="2386">
      <c r="A2386" s="28" t="s">
        <v>7796</v>
      </c>
      <c r="B2386" s="35">
        <f t="array" ref="B2386">XLOOKUP(A2386,IMDB_Movies!I$2:I$3493,IMDB_Movies!Q$2:Q$3493)</f>
        <v>9984553</v>
      </c>
      <c r="E2386" s="28" t="s">
        <v>7796</v>
      </c>
      <c r="F2386" s="36">
        <f t="array" ref="F2386">XLOOKUP(A2386,IMDB_Movies!I$2:I$3493,IMDB_Movies!P$2:P$3493)</f>
        <v>0</v>
      </c>
    </row>
    <row r="2387">
      <c r="A2387" s="11" t="s">
        <v>7799</v>
      </c>
      <c r="B2387" s="35">
        <f t="array" ref="B2387">XLOOKUP(A2387,IMDB_Movies!I$2:I$3493,IMDB_Movies!Q$2:Q$3493)</f>
        <v>51009458</v>
      </c>
      <c r="E2387" s="11" t="s">
        <v>7799</v>
      </c>
      <c r="F2387" s="36">
        <f t="array" ref="F2387">XLOOKUP(A2387,IMDB_Movies!I$2:I$3493,IMDB_Movies!P$2:P$3493)</f>
        <v>0</v>
      </c>
    </row>
    <row r="2388">
      <c r="A2388" s="11" t="s">
        <v>7802</v>
      </c>
      <c r="B2388" s="35">
        <f t="array" ref="B2388">XLOOKUP(A2388,IMDB_Movies!I$2:I$3493,IMDB_Movies!Q$2:Q$3493)</f>
        <v>0</v>
      </c>
      <c r="E2388" s="11" t="s">
        <v>7802</v>
      </c>
      <c r="F2388" s="36">
        <f t="array" ref="F2388">XLOOKUP(A2388,IMDB_Movies!I$2:I$3493,IMDB_Movies!P$2:P$3493)</f>
        <v>48100000</v>
      </c>
    </row>
    <row r="2389">
      <c r="A2389" s="32" t="s">
        <v>7805</v>
      </c>
      <c r="B2389" s="35">
        <f t="array" ref="B2389">XLOOKUP(A2389,IMDB_Movies!I$2:I$3493,IMDB_Movies!Q$2:Q$3493)</f>
        <v>0</v>
      </c>
      <c r="E2389" s="32" t="s">
        <v>7805</v>
      </c>
      <c r="F2389" s="36">
        <f t="array" ref="F2389">XLOOKUP(A2389,IMDB_Movies!I$2:I$3493,IMDB_Movies!P$2:P$3493)</f>
        <v>11035310</v>
      </c>
    </row>
    <row r="2390">
      <c r="A2390" s="11" t="s">
        <v>7808</v>
      </c>
      <c r="B2390" s="35">
        <f t="array" ref="B2390">XLOOKUP(A2390,IMDB_Movies!I$2:I$3493,IMDB_Movies!Q$2:Q$3493)</f>
        <v>0</v>
      </c>
      <c r="E2390" s="11" t="s">
        <v>7808</v>
      </c>
      <c r="F2390" s="36">
        <f t="array" ref="F2390">XLOOKUP(A2390,IMDB_Movies!I$2:I$3493,IMDB_Movies!P$2:P$3493)</f>
        <v>2163911</v>
      </c>
    </row>
    <row r="2391">
      <c r="A2391" s="32" t="s">
        <v>7812</v>
      </c>
      <c r="B2391" s="35">
        <f t="array" ref="B2391">XLOOKUP(A2391,IMDB_Movies!I$2:I$3493,IMDB_Movies!Q$2:Q$3493)</f>
        <v>1089280</v>
      </c>
      <c r="E2391" s="32" t="s">
        <v>7812</v>
      </c>
      <c r="F2391" s="36">
        <f t="array" ref="F2391">XLOOKUP(A2391,IMDB_Movies!I$2:I$3493,IMDB_Movies!P$2:P$3493)</f>
        <v>0</v>
      </c>
    </row>
    <row r="2392">
      <c r="A2392" s="28" t="s">
        <v>7815</v>
      </c>
      <c r="B2392" s="35">
        <f t="array" ref="B2392">XLOOKUP(A2392,IMDB_Movies!I$2:I$3493,IMDB_Movies!Q$2:Q$3493)</f>
        <v>0</v>
      </c>
      <c r="E2392" s="28" t="s">
        <v>7815</v>
      </c>
      <c r="F2392" s="36">
        <f t="array" ref="F2392">XLOOKUP(A2392,IMDB_Movies!I$2:I$3493,IMDB_Movies!P$2:P$3493)</f>
        <v>6867101</v>
      </c>
    </row>
    <row r="2393">
      <c r="A2393" s="11" t="s">
        <v>7817</v>
      </c>
      <c r="B2393" s="35">
        <f t="array" ref="B2393">XLOOKUP(A2393,IMDB_Movies!I$2:I$3493,IMDB_Movies!Q$2:Q$3493)</f>
        <v>0</v>
      </c>
      <c r="E2393" s="11" t="s">
        <v>7817</v>
      </c>
      <c r="F2393" s="36">
        <f t="array" ref="F2393">XLOOKUP(A2393,IMDB_Movies!I$2:I$3493,IMDB_Movies!P$2:P$3493)</f>
        <v>40274748</v>
      </c>
    </row>
    <row r="2394">
      <c r="A2394" s="20" t="s">
        <v>7819</v>
      </c>
      <c r="B2394" s="35">
        <f t="array" ref="B2394">XLOOKUP(A2394,IMDB_Movies!I$2:I$3493,IMDB_Movies!Q$2:Q$3493)</f>
        <v>0</v>
      </c>
      <c r="E2394" s="20" t="s">
        <v>7819</v>
      </c>
      <c r="F2394" s="36">
        <f t="array" ref="F2394">XLOOKUP(A2394,IMDB_Movies!I$2:I$3493,IMDB_Movies!P$2:P$3493)</f>
        <v>36328680</v>
      </c>
    </row>
    <row r="2395">
      <c r="A2395" s="11" t="s">
        <v>7823</v>
      </c>
      <c r="B2395" s="35">
        <f t="array" ref="B2395">XLOOKUP(A2395,IMDB_Movies!I$2:I$3493,IMDB_Movies!Q$2:Q$3493)</f>
        <v>46917712</v>
      </c>
      <c r="E2395" s="11" t="s">
        <v>7823</v>
      </c>
      <c r="F2395" s="36">
        <f t="array" ref="F2395">XLOOKUP(A2395,IMDB_Movies!I$2:I$3493,IMDB_Movies!P$2:P$3493)</f>
        <v>0</v>
      </c>
    </row>
    <row r="2396">
      <c r="A2396" s="11" t="s">
        <v>7826</v>
      </c>
      <c r="B2396" s="35">
        <f t="array" ref="B2396">XLOOKUP(A2396,IMDB_Movies!I$2:I$3493,IMDB_Movies!Q$2:Q$3493)</f>
        <v>0</v>
      </c>
      <c r="E2396" s="11" t="s">
        <v>7826</v>
      </c>
      <c r="F2396" s="36">
        <f t="array" ref="F2396">XLOOKUP(A2396,IMDB_Movies!I$2:I$3493,IMDB_Movies!P$2:P$3493)</f>
        <v>15733485</v>
      </c>
    </row>
    <row r="2397">
      <c r="A2397" s="24" t="s">
        <v>7829</v>
      </c>
      <c r="B2397" s="35">
        <f t="array" ref="B2397">XLOOKUP(A2397,IMDB_Movies!I$2:I$3493,IMDB_Movies!Q$2:Q$3493)</f>
        <v>0</v>
      </c>
      <c r="E2397" s="24" t="s">
        <v>7829</v>
      </c>
      <c r="F2397" s="36">
        <f t="array" ref="F2397">XLOOKUP(A2397,IMDB_Movies!I$2:I$3493,IMDB_Movies!P$2:P$3493)</f>
        <v>39456509</v>
      </c>
    </row>
    <row r="2398">
      <c r="A2398" s="20" t="s">
        <v>7831</v>
      </c>
      <c r="B2398" s="35">
        <f t="array" ref="B2398">XLOOKUP(A2398,IMDB_Movies!I$2:I$3493,IMDB_Movies!Q$2:Q$3493)</f>
        <v>12069815</v>
      </c>
      <c r="E2398" s="20" t="s">
        <v>7831</v>
      </c>
      <c r="F2398" s="36">
        <f t="array" ref="F2398">XLOOKUP(A2398,IMDB_Movies!I$2:I$3493,IMDB_Movies!P$2:P$3493)</f>
        <v>0</v>
      </c>
    </row>
    <row r="2399">
      <c r="A2399" s="24" t="s">
        <v>7834</v>
      </c>
      <c r="B2399" s="35">
        <f t="array" ref="B2399">XLOOKUP(A2399,IMDB_Movies!I$2:I$3493,IMDB_Movies!Q$2:Q$3493)</f>
        <v>0</v>
      </c>
      <c r="E2399" s="24" t="s">
        <v>7834</v>
      </c>
      <c r="F2399" s="36">
        <f t="array" ref="F2399">XLOOKUP(A2399,IMDB_Movies!I$2:I$3493,IMDB_Movies!P$2:P$3493)</f>
        <v>16435406</v>
      </c>
    </row>
    <row r="2400">
      <c r="A2400" s="20" t="s">
        <v>7838</v>
      </c>
      <c r="B2400" s="35">
        <f t="array" ref="B2400">XLOOKUP(A2400,IMDB_Movies!I$2:I$3493,IMDB_Movies!Q$2:Q$3493)</f>
        <v>11689814</v>
      </c>
      <c r="E2400" s="20" t="s">
        <v>7838</v>
      </c>
      <c r="F2400" s="36">
        <f t="array" ref="F2400">XLOOKUP(A2400,IMDB_Movies!I$2:I$3493,IMDB_Movies!P$2:P$3493)</f>
        <v>0</v>
      </c>
    </row>
    <row r="2401">
      <c r="A2401" s="11" t="s">
        <v>7840</v>
      </c>
      <c r="B2401" s="35">
        <f t="array" ref="B2401">XLOOKUP(A2401,IMDB_Movies!I$2:I$3493,IMDB_Movies!Q$2:Q$3493)</f>
        <v>0</v>
      </c>
      <c r="E2401" s="11" t="s">
        <v>7840</v>
      </c>
      <c r="F2401" s="36">
        <f t="array" ref="F2401">XLOOKUP(A2401,IMDB_Movies!I$2:I$3493,IMDB_Movies!P$2:P$3493)</f>
        <v>43504640</v>
      </c>
    </row>
    <row r="2402">
      <c r="A2402" s="24" t="s">
        <v>7843</v>
      </c>
      <c r="B2402" s="35">
        <f t="array" ref="B2402">XLOOKUP(A2402,IMDB_Movies!I$2:I$3493,IMDB_Movies!Q$2:Q$3493)</f>
        <v>0</v>
      </c>
      <c r="E2402" s="24" t="s">
        <v>7843</v>
      </c>
      <c r="F2402" s="36">
        <f t="array" ref="F2402">XLOOKUP(A2402,IMDB_Movies!I$2:I$3493,IMDB_Movies!P$2:P$3493)</f>
        <v>8938179</v>
      </c>
    </row>
    <row r="2403">
      <c r="A2403" s="20" t="s">
        <v>7846</v>
      </c>
      <c r="B2403" s="35">
        <f t="array" ref="B2403">XLOOKUP(A2403,IMDB_Movies!I$2:I$3493,IMDB_Movies!Q$2:Q$3493)</f>
        <v>5089440</v>
      </c>
      <c r="E2403" s="20" t="s">
        <v>7846</v>
      </c>
      <c r="F2403" s="36">
        <f t="array" ref="F2403">XLOOKUP(A2403,IMDB_Movies!I$2:I$3493,IMDB_Movies!P$2:P$3493)</f>
        <v>0</v>
      </c>
    </row>
    <row r="2404">
      <c r="A2404" s="24" t="s">
        <v>7849</v>
      </c>
      <c r="B2404" s="35">
        <f t="array" ref="B2404">XLOOKUP(A2404,IMDB_Movies!I$2:I$3493,IMDB_Movies!Q$2:Q$3493)</f>
        <v>0</v>
      </c>
      <c r="E2404" s="24" t="s">
        <v>7849</v>
      </c>
      <c r="F2404" s="36">
        <f t="array" ref="F2404">XLOOKUP(A2404,IMDB_Movies!I$2:I$3493,IMDB_Movies!P$2:P$3493)</f>
        <v>46737</v>
      </c>
    </row>
    <row r="2405">
      <c r="A2405" s="11" t="s">
        <v>7852</v>
      </c>
      <c r="B2405" s="35">
        <f t="array" ref="B2405">XLOOKUP(A2405,IMDB_Movies!I$2:I$3493,IMDB_Movies!Q$2:Q$3493)</f>
        <v>6617054</v>
      </c>
      <c r="E2405" s="11" t="s">
        <v>7852</v>
      </c>
      <c r="F2405" s="36">
        <f t="array" ref="F2405">XLOOKUP(A2405,IMDB_Movies!I$2:I$3493,IMDB_Movies!P$2:P$3493)</f>
        <v>0</v>
      </c>
    </row>
    <row r="2406">
      <c r="A2406" s="16" t="s">
        <v>7855</v>
      </c>
      <c r="B2406" s="35">
        <f t="array" ref="B2406">XLOOKUP(A2406,IMDB_Movies!I$2:I$3493,IMDB_Movies!Q$2:Q$3493)</f>
        <v>53559509</v>
      </c>
      <c r="E2406" s="16" t="s">
        <v>7855</v>
      </c>
      <c r="F2406" s="36">
        <f t="array" ref="F2406">XLOOKUP(A2406,IMDB_Movies!I$2:I$3493,IMDB_Movies!P$2:P$3493)</f>
        <v>0</v>
      </c>
    </row>
    <row r="2407">
      <c r="A2407" s="16" t="s">
        <v>7857</v>
      </c>
      <c r="B2407" s="35">
        <f t="array" ref="B2407">XLOOKUP(A2407,IMDB_Movies!I$2:I$3493,IMDB_Movies!Q$2:Q$3493)</f>
        <v>9561700</v>
      </c>
      <c r="E2407" s="16" t="s">
        <v>7857</v>
      </c>
      <c r="F2407" s="36">
        <f t="array" ref="F2407">XLOOKUP(A2407,IMDB_Movies!I$2:I$3493,IMDB_Movies!P$2:P$3493)</f>
        <v>0</v>
      </c>
    </row>
    <row r="2408">
      <c r="A2408" s="20" t="s">
        <v>7862</v>
      </c>
      <c r="B2408" s="35">
        <f t="array" ref="B2408">XLOOKUP(A2408,IMDB_Movies!I$2:I$3493,IMDB_Movies!Q$2:Q$3493)</f>
        <v>2712523</v>
      </c>
      <c r="E2408" s="20" t="s">
        <v>7862</v>
      </c>
      <c r="F2408" s="36">
        <f t="array" ref="F2408">XLOOKUP(A2408,IMDB_Movies!I$2:I$3493,IMDB_Movies!P$2:P$3493)</f>
        <v>0</v>
      </c>
    </row>
    <row r="2409">
      <c r="A2409" s="24" t="s">
        <v>7866</v>
      </c>
      <c r="B2409" s="35">
        <f t="array" ref="B2409">XLOOKUP(A2409,IMDB_Movies!I$2:I$3493,IMDB_Movies!Q$2:Q$3493)</f>
        <v>0</v>
      </c>
      <c r="E2409" s="24" t="s">
        <v>7866</v>
      </c>
      <c r="F2409" s="36">
        <f t="array" ref="F2409">XLOOKUP(A2409,IMDB_Movies!I$2:I$3493,IMDB_Movies!P$2:P$3493)</f>
        <v>56100000</v>
      </c>
    </row>
    <row r="2410">
      <c r="A2410" s="11" t="s">
        <v>7869</v>
      </c>
      <c r="B2410" s="35">
        <f t="array" ref="B2410">XLOOKUP(A2410,IMDB_Movies!I$2:I$3493,IMDB_Movies!Q$2:Q$3493)</f>
        <v>9117710</v>
      </c>
      <c r="E2410" s="11" t="s">
        <v>7869</v>
      </c>
      <c r="F2410" s="36">
        <f t="array" ref="F2410">XLOOKUP(A2410,IMDB_Movies!I$2:I$3493,IMDB_Movies!P$2:P$3493)</f>
        <v>0</v>
      </c>
    </row>
    <row r="2411">
      <c r="A2411" s="20" t="s">
        <v>7872</v>
      </c>
      <c r="B2411" s="35">
        <f t="array" ref="B2411">XLOOKUP(A2411,IMDB_Movies!I$2:I$3493,IMDB_Movies!Q$2:Q$3493)</f>
        <v>11961340</v>
      </c>
      <c r="E2411" s="20" t="s">
        <v>7872</v>
      </c>
      <c r="F2411" s="36">
        <f t="array" ref="F2411">XLOOKUP(A2411,IMDB_Movies!I$2:I$3493,IMDB_Movies!P$2:P$3493)</f>
        <v>0</v>
      </c>
    </row>
    <row r="2412">
      <c r="A2412" s="11" t="s">
        <v>7875</v>
      </c>
      <c r="B2412" s="35">
        <f t="array" ref="B2412">XLOOKUP(A2412,IMDB_Movies!I$2:I$3493,IMDB_Movies!Q$2:Q$3493)</f>
        <v>0</v>
      </c>
      <c r="E2412" s="11" t="s">
        <v>7875</v>
      </c>
      <c r="F2412" s="36">
        <f t="array" ref="F2412">XLOOKUP(A2412,IMDB_Movies!I$2:I$3493,IMDB_Movies!P$2:P$3493)</f>
        <v>17277485</v>
      </c>
    </row>
    <row r="2413">
      <c r="A2413" s="11" t="s">
        <v>7878</v>
      </c>
      <c r="B2413" s="35">
        <f t="array" ref="B2413">XLOOKUP(A2413,IMDB_Movies!I$2:I$3493,IMDB_Movies!Q$2:Q$3493)</f>
        <v>0</v>
      </c>
      <c r="E2413" s="11" t="s">
        <v>7878</v>
      </c>
      <c r="F2413" s="36">
        <f t="array" ref="F2413">XLOOKUP(A2413,IMDB_Movies!I$2:I$3493,IMDB_Movies!P$2:P$3493)</f>
        <v>9464388</v>
      </c>
    </row>
    <row r="2414">
      <c r="A2414" s="11" t="s">
        <v>7882</v>
      </c>
      <c r="B2414" s="35">
        <f t="array" ref="B2414">XLOOKUP(A2414,IMDB_Movies!I$2:I$3493,IMDB_Movies!Q$2:Q$3493)</f>
        <v>10993094</v>
      </c>
      <c r="E2414" s="11" t="s">
        <v>7882</v>
      </c>
      <c r="F2414" s="36">
        <f t="array" ref="F2414">XLOOKUP(A2414,IMDB_Movies!I$2:I$3493,IMDB_Movies!P$2:P$3493)</f>
        <v>0</v>
      </c>
    </row>
    <row r="2415">
      <c r="A2415" s="11" t="s">
        <v>7885</v>
      </c>
      <c r="B2415" s="35">
        <f t="array" ref="B2415">XLOOKUP(A2415,IMDB_Movies!I$2:I$3493,IMDB_Movies!Q$2:Q$3493)</f>
        <v>5204874</v>
      </c>
      <c r="E2415" s="11" t="s">
        <v>7885</v>
      </c>
      <c r="F2415" s="36">
        <f t="array" ref="F2415">XLOOKUP(A2415,IMDB_Movies!I$2:I$3493,IMDB_Movies!P$2:P$3493)</f>
        <v>0</v>
      </c>
    </row>
    <row r="2416">
      <c r="A2416" s="11" t="s">
        <v>7889</v>
      </c>
      <c r="B2416" s="35">
        <f t="array" ref="B2416">XLOOKUP(A2416,IMDB_Movies!I$2:I$3493,IMDB_Movies!Q$2:Q$3493)</f>
        <v>0</v>
      </c>
      <c r="E2416" s="11" t="s">
        <v>7889</v>
      </c>
      <c r="F2416" s="36">
        <f t="array" ref="F2416">XLOOKUP(A2416,IMDB_Movies!I$2:I$3493,IMDB_Movies!P$2:P$3493)</f>
        <v>346122</v>
      </c>
    </row>
    <row r="2417">
      <c r="A2417" s="11" t="s">
        <v>7891</v>
      </c>
      <c r="B2417" s="35">
        <f t="array" ref="B2417">XLOOKUP(A2417,IMDB_Movies!I$2:I$3493,IMDB_Movies!Q$2:Q$3493)</f>
        <v>0</v>
      </c>
      <c r="E2417" s="11" t="s">
        <v>7891</v>
      </c>
      <c r="F2417" s="36">
        <f t="array" ref="F2417">XLOOKUP(A2417,IMDB_Movies!I$2:I$3493,IMDB_Movies!P$2:P$3493)</f>
        <v>18565375</v>
      </c>
    </row>
    <row r="2418">
      <c r="A2418" s="11" t="s">
        <v>7895</v>
      </c>
      <c r="B2418" s="35">
        <f t="array" ref="B2418">XLOOKUP(A2418,IMDB_Movies!I$2:I$3493,IMDB_Movies!Q$2:Q$3493)</f>
        <v>0</v>
      </c>
      <c r="E2418" s="11" t="s">
        <v>7895</v>
      </c>
      <c r="F2418" s="36">
        <f t="array" ref="F2418">XLOOKUP(A2418,IMDB_Movies!I$2:I$3493,IMDB_Movies!P$2:P$3493)</f>
        <v>8906039</v>
      </c>
    </row>
    <row r="2419">
      <c r="A2419" s="11" t="s">
        <v>7899</v>
      </c>
      <c r="B2419" s="35">
        <f t="array" ref="B2419">XLOOKUP(A2419,IMDB_Movies!I$2:I$3493,IMDB_Movies!Q$2:Q$3493)</f>
        <v>10297723</v>
      </c>
      <c r="E2419" s="11" t="s">
        <v>7899</v>
      </c>
      <c r="F2419" s="36">
        <f t="array" ref="F2419">XLOOKUP(A2419,IMDB_Movies!I$2:I$3493,IMDB_Movies!P$2:P$3493)</f>
        <v>0</v>
      </c>
    </row>
    <row r="2420">
      <c r="A2420" s="11" t="s">
        <v>7902</v>
      </c>
      <c r="B2420" s="35">
        <f t="array" ref="B2420">XLOOKUP(A2420,IMDB_Movies!I$2:I$3493,IMDB_Movies!Q$2:Q$3493)</f>
        <v>0</v>
      </c>
      <c r="E2420" s="11" t="s">
        <v>7902</v>
      </c>
      <c r="F2420" s="36">
        <f t="array" ref="F2420">XLOOKUP(A2420,IMDB_Movies!I$2:I$3493,IMDB_Movies!P$2:P$3493)</f>
        <v>12362581</v>
      </c>
    </row>
    <row r="2421">
      <c r="A2421" s="28" t="s">
        <v>7905</v>
      </c>
      <c r="B2421" s="35">
        <f t="array" ref="B2421">XLOOKUP(A2421,IMDB_Movies!I$2:I$3493,IMDB_Movies!Q$2:Q$3493)</f>
        <v>30695163</v>
      </c>
      <c r="E2421" s="28" t="s">
        <v>7905</v>
      </c>
      <c r="F2421" s="36">
        <f t="array" ref="F2421">XLOOKUP(A2421,IMDB_Movies!I$2:I$3493,IMDB_Movies!P$2:P$3493)</f>
        <v>0</v>
      </c>
    </row>
    <row r="2422">
      <c r="A2422" s="24" t="s">
        <v>7907</v>
      </c>
      <c r="B2422" s="35">
        <f t="array" ref="B2422">XLOOKUP(A2422,IMDB_Movies!I$2:I$3493,IMDB_Movies!Q$2:Q$3493)</f>
        <v>45433254</v>
      </c>
      <c r="E2422" s="24" t="s">
        <v>7907</v>
      </c>
      <c r="F2422" s="36">
        <f t="array" ref="F2422">XLOOKUP(A2422,IMDB_Movies!I$2:I$3493,IMDB_Movies!P$2:P$3493)</f>
        <v>0</v>
      </c>
    </row>
    <row r="2423">
      <c r="A2423" s="16" t="s">
        <v>7909</v>
      </c>
      <c r="B2423" s="35">
        <f t="array" ref="B2423">XLOOKUP(A2423,IMDB_Movies!I$2:I$3493,IMDB_Movies!Q$2:Q$3493)</f>
        <v>0</v>
      </c>
      <c r="E2423" s="16" t="s">
        <v>7909</v>
      </c>
      <c r="F2423" s="36">
        <f t="array" ref="F2423">XLOOKUP(A2423,IMDB_Movies!I$2:I$3493,IMDB_Movies!P$2:P$3493)</f>
        <v>44300000</v>
      </c>
    </row>
    <row r="2424">
      <c r="A2424" s="11" t="s">
        <v>7913</v>
      </c>
      <c r="B2424" s="35">
        <f t="array" ref="B2424">XLOOKUP(A2424,IMDB_Movies!I$2:I$3493,IMDB_Movies!Q$2:Q$3493)</f>
        <v>24990090</v>
      </c>
      <c r="E2424" s="11" t="s">
        <v>7913</v>
      </c>
      <c r="F2424" s="36">
        <f t="array" ref="F2424">XLOOKUP(A2424,IMDB_Movies!I$2:I$3493,IMDB_Movies!P$2:P$3493)</f>
        <v>0</v>
      </c>
    </row>
    <row r="2425">
      <c r="A2425" s="11" t="s">
        <v>7917</v>
      </c>
      <c r="B2425" s="35">
        <f t="array" ref="B2425">XLOOKUP(A2425,IMDB_Movies!I$2:I$3493,IMDB_Movies!Q$2:Q$3493)</f>
        <v>2716218</v>
      </c>
      <c r="E2425" s="11" t="s">
        <v>7917</v>
      </c>
      <c r="F2425" s="36">
        <f t="array" ref="F2425">XLOOKUP(A2425,IMDB_Movies!I$2:I$3493,IMDB_Movies!P$2:P$3493)</f>
        <v>0</v>
      </c>
    </row>
    <row r="2426">
      <c r="A2426" s="28" t="s">
        <v>7921</v>
      </c>
      <c r="B2426" s="35">
        <f t="array" ref="B2426">XLOOKUP(A2426,IMDB_Movies!I$2:I$3493,IMDB_Movies!Q$2:Q$3493)</f>
        <v>1496522</v>
      </c>
      <c r="E2426" s="28" t="s">
        <v>7921</v>
      </c>
      <c r="F2426" s="36">
        <f t="array" ref="F2426">XLOOKUP(A2426,IMDB_Movies!I$2:I$3493,IMDB_Movies!P$2:P$3493)</f>
        <v>0</v>
      </c>
    </row>
    <row r="2427">
      <c r="A2427" s="24" t="s">
        <v>7923</v>
      </c>
      <c r="B2427" s="35">
        <f t="array" ref="B2427">XLOOKUP(A2427,IMDB_Movies!I$2:I$3493,IMDB_Movies!Q$2:Q$3493)</f>
        <v>12731341</v>
      </c>
      <c r="E2427" s="24" t="s">
        <v>7923</v>
      </c>
      <c r="F2427" s="36">
        <f t="array" ref="F2427">XLOOKUP(A2427,IMDB_Movies!I$2:I$3493,IMDB_Movies!P$2:P$3493)</f>
        <v>0</v>
      </c>
    </row>
    <row r="2428">
      <c r="A2428" s="32" t="s">
        <v>7927</v>
      </c>
      <c r="B2428" s="35">
        <f t="array" ref="B2428">XLOOKUP(A2428,IMDB_Movies!I$2:I$3493,IMDB_Movies!Q$2:Q$3493)</f>
        <v>1156686</v>
      </c>
      <c r="E2428" s="32" t="s">
        <v>7927</v>
      </c>
      <c r="F2428" s="36">
        <f t="array" ref="F2428">XLOOKUP(A2428,IMDB_Movies!I$2:I$3493,IMDB_Movies!P$2:P$3493)</f>
        <v>0</v>
      </c>
    </row>
    <row r="2429">
      <c r="A2429" s="20" t="s">
        <v>7930</v>
      </c>
      <c r="B2429" s="35">
        <f t="array" ref="B2429">XLOOKUP(A2429,IMDB_Movies!I$2:I$3493,IMDB_Movies!Q$2:Q$3493)</f>
        <v>0</v>
      </c>
      <c r="E2429" s="20" t="s">
        <v>7930</v>
      </c>
      <c r="F2429" s="36">
        <f t="array" ref="F2429">XLOOKUP(A2429,IMDB_Movies!I$2:I$3493,IMDB_Movies!P$2:P$3493)</f>
        <v>40400000</v>
      </c>
    </row>
    <row r="2430">
      <c r="A2430" s="32" t="s">
        <v>7933</v>
      </c>
      <c r="B2430" s="35">
        <f t="array" ref="B2430">XLOOKUP(A2430,IMDB_Movies!I$2:I$3493,IMDB_Movies!Q$2:Q$3493)</f>
        <v>0</v>
      </c>
      <c r="E2430" s="32" t="s">
        <v>7933</v>
      </c>
      <c r="F2430" s="36">
        <f t="array" ref="F2430">XLOOKUP(A2430,IMDB_Movies!I$2:I$3493,IMDB_Movies!P$2:P$3493)</f>
        <v>89746958</v>
      </c>
    </row>
    <row r="2431">
      <c r="A2431" s="28" t="s">
        <v>7937</v>
      </c>
      <c r="B2431" s="35">
        <f t="array" ref="B2431">XLOOKUP(A2431,IMDB_Movies!I$2:I$3493,IMDB_Movies!Q$2:Q$3493)</f>
        <v>1482420</v>
      </c>
      <c r="E2431" s="28" t="s">
        <v>7937</v>
      </c>
      <c r="F2431" s="36">
        <f t="array" ref="F2431">XLOOKUP(A2431,IMDB_Movies!I$2:I$3493,IMDB_Movies!P$2:P$3493)</f>
        <v>0</v>
      </c>
    </row>
    <row r="2432">
      <c r="A2432" s="11" t="s">
        <v>7941</v>
      </c>
      <c r="B2432" s="35">
        <f t="array" ref="B2432">XLOOKUP(A2432,IMDB_Movies!I$2:I$3493,IMDB_Movies!Q$2:Q$3493)</f>
        <v>0</v>
      </c>
      <c r="E2432" s="11" t="s">
        <v>7941</v>
      </c>
      <c r="F2432" s="36">
        <f t="array" ref="F2432">XLOOKUP(A2432,IMDB_Movies!I$2:I$3493,IMDB_Movies!P$2:P$3493)</f>
        <v>70536</v>
      </c>
    </row>
    <row r="2433">
      <c r="A2433" s="16" t="s">
        <v>7945</v>
      </c>
      <c r="B2433" s="35">
        <f t="array" ref="B2433">XLOOKUP(A2433,IMDB_Movies!I$2:I$3493,IMDB_Movies!Q$2:Q$3493)</f>
        <v>0</v>
      </c>
      <c r="E2433" s="16" t="s">
        <v>7945</v>
      </c>
      <c r="F2433" s="36">
        <f t="array" ref="F2433">XLOOKUP(A2433,IMDB_Movies!I$2:I$3493,IMDB_Movies!P$2:P$3493)</f>
        <v>6734992</v>
      </c>
    </row>
    <row r="2434">
      <c r="A2434" s="20" t="s">
        <v>7947</v>
      </c>
      <c r="B2434" s="35">
        <f t="array" ref="B2434">XLOOKUP(A2434,IMDB_Movies!I$2:I$3493,IMDB_Movies!Q$2:Q$3493)</f>
        <v>0</v>
      </c>
      <c r="E2434" s="20" t="s">
        <v>7947</v>
      </c>
      <c r="F2434" s="36">
        <f t="array" ref="F2434">XLOOKUP(A2434,IMDB_Movies!I$2:I$3493,IMDB_Movies!P$2:P$3493)</f>
        <v>20236603</v>
      </c>
    </row>
    <row r="2435">
      <c r="A2435" s="11" t="s">
        <v>7949</v>
      </c>
      <c r="B2435" s="35">
        <f t="array" ref="B2435">XLOOKUP(A2435,IMDB_Movies!I$2:I$3493,IMDB_Movies!Q$2:Q$3493)</f>
        <v>0</v>
      </c>
      <c r="E2435" s="11" t="s">
        <v>7949</v>
      </c>
      <c r="F2435" s="36">
        <f t="array" ref="F2435">XLOOKUP(A2435,IMDB_Movies!I$2:I$3493,IMDB_Movies!P$2:P$3493)</f>
        <v>48452056</v>
      </c>
    </row>
    <row r="2436">
      <c r="A2436" s="24" t="s">
        <v>7951</v>
      </c>
      <c r="B2436" s="35">
        <f t="array" ref="B2436">XLOOKUP(A2436,IMDB_Movies!I$2:I$3493,IMDB_Movies!Q$2:Q$3493)</f>
        <v>0</v>
      </c>
      <c r="E2436" s="24" t="s">
        <v>7951</v>
      </c>
      <c r="F2436" s="36">
        <f t="array" ref="F2436">XLOOKUP(A2436,IMDB_Movies!I$2:I$3493,IMDB_Movies!P$2:P$3493)</f>
        <v>11756514</v>
      </c>
    </row>
    <row r="2437">
      <c r="A2437" s="11" t="s">
        <v>7955</v>
      </c>
      <c r="B2437" s="35">
        <f t="array" ref="B2437">XLOOKUP(A2437,IMDB_Movies!I$2:I$3493,IMDB_Movies!Q$2:Q$3493)</f>
        <v>1994515</v>
      </c>
      <c r="E2437" s="11" t="s">
        <v>7955</v>
      </c>
      <c r="F2437" s="36">
        <f t="array" ref="F2437">XLOOKUP(A2437,IMDB_Movies!I$2:I$3493,IMDB_Movies!P$2:P$3493)</f>
        <v>0</v>
      </c>
    </row>
    <row r="2438">
      <c r="A2438" s="24" t="s">
        <v>7958</v>
      </c>
      <c r="B2438" s="35">
        <f t="array" ref="B2438">XLOOKUP(A2438,IMDB_Movies!I$2:I$3493,IMDB_Movies!Q$2:Q$3493)</f>
        <v>0</v>
      </c>
      <c r="E2438" s="24" t="s">
        <v>7958</v>
      </c>
      <c r="F2438" s="36">
        <f t="array" ref="F2438">XLOOKUP(A2438,IMDB_Movies!I$2:I$3493,IMDB_Movies!P$2:P$3493)</f>
        <v>38543795</v>
      </c>
    </row>
    <row r="2439">
      <c r="A2439" s="11" t="s">
        <v>7962</v>
      </c>
      <c r="B2439" s="35">
        <f t="array" ref="B2439">XLOOKUP(A2439,IMDB_Movies!I$2:I$3493,IMDB_Movies!Q$2:Q$3493)</f>
        <v>59331829</v>
      </c>
      <c r="E2439" s="11" t="s">
        <v>7962</v>
      </c>
      <c r="F2439" s="36">
        <f t="array" ref="F2439">XLOOKUP(A2439,IMDB_Movies!I$2:I$3493,IMDB_Movies!P$2:P$3493)</f>
        <v>0</v>
      </c>
    </row>
    <row r="2440">
      <c r="A2440" s="24" t="s">
        <v>7966</v>
      </c>
      <c r="B2440" s="35">
        <f t="array" ref="B2440">XLOOKUP(A2440,IMDB_Movies!I$2:I$3493,IMDB_Movies!Q$2:Q$3493)</f>
        <v>35748872</v>
      </c>
      <c r="E2440" s="24" t="s">
        <v>7966</v>
      </c>
      <c r="F2440" s="36">
        <f t="array" ref="F2440">XLOOKUP(A2440,IMDB_Movies!I$2:I$3493,IMDB_Movies!P$2:P$3493)</f>
        <v>0</v>
      </c>
    </row>
    <row r="2441">
      <c r="A2441" s="11" t="s">
        <v>7969</v>
      </c>
      <c r="B2441" s="35">
        <f t="array" ref="B2441">XLOOKUP(A2441,IMDB_Movies!I$2:I$3493,IMDB_Movies!Q$2:Q$3493)</f>
        <v>96179906</v>
      </c>
      <c r="E2441" s="11" t="s">
        <v>7969</v>
      </c>
      <c r="F2441" s="36">
        <f t="array" ref="F2441">XLOOKUP(A2441,IMDB_Movies!I$2:I$3493,IMDB_Movies!P$2:P$3493)</f>
        <v>0</v>
      </c>
    </row>
    <row r="2442">
      <c r="A2442" s="11" t="s">
        <v>7971</v>
      </c>
      <c r="B2442" s="35">
        <f t="array" ref="B2442">XLOOKUP(A2442,IMDB_Movies!I$2:I$3493,IMDB_Movies!Q$2:Q$3493)</f>
        <v>0</v>
      </c>
      <c r="E2442" s="11" t="s">
        <v>7971</v>
      </c>
      <c r="F2442" s="36">
        <f t="array" ref="F2442">XLOOKUP(A2442,IMDB_Movies!I$2:I$3493,IMDB_Movies!P$2:P$3493)</f>
        <v>41253340</v>
      </c>
    </row>
    <row r="2443">
      <c r="A2443" s="20" t="s">
        <v>7973</v>
      </c>
      <c r="B2443" s="35">
        <f t="array" ref="B2443">XLOOKUP(A2443,IMDB_Movies!I$2:I$3493,IMDB_Movies!Q$2:Q$3493)</f>
        <v>0</v>
      </c>
      <c r="E2443" s="20" t="s">
        <v>7973</v>
      </c>
      <c r="F2443" s="36">
        <f t="array" ref="F2443">XLOOKUP(A2443,IMDB_Movies!I$2:I$3493,IMDB_Movies!P$2:P$3493)</f>
        <v>2576314</v>
      </c>
    </row>
    <row r="2444">
      <c r="A2444" s="24" t="s">
        <v>7976</v>
      </c>
      <c r="B2444" s="35">
        <f t="array" ref="B2444">XLOOKUP(A2444,IMDB_Movies!I$2:I$3493,IMDB_Movies!Q$2:Q$3493)</f>
        <v>40554783</v>
      </c>
      <c r="E2444" s="24" t="s">
        <v>7976</v>
      </c>
      <c r="F2444" s="36">
        <f t="array" ref="F2444">XLOOKUP(A2444,IMDB_Movies!I$2:I$3493,IMDB_Movies!P$2:P$3493)</f>
        <v>0</v>
      </c>
    </row>
    <row r="2445">
      <c r="A2445" s="11" t="s">
        <v>7979</v>
      </c>
      <c r="B2445" s="35">
        <f t="array" ref="B2445">XLOOKUP(A2445,IMDB_Movies!I$2:I$3493,IMDB_Movies!Q$2:Q$3493)</f>
        <v>0</v>
      </c>
      <c r="E2445" s="11" t="s">
        <v>7979</v>
      </c>
      <c r="F2445" s="36">
        <f t="array" ref="F2445">XLOOKUP(A2445,IMDB_Movies!I$2:I$3493,IMDB_Movies!P$2:P$3493)</f>
        <v>18771174</v>
      </c>
    </row>
    <row r="2446">
      <c r="A2446" s="28" t="s">
        <v>7982</v>
      </c>
      <c r="B2446" s="35">
        <f t="array" ref="B2446">XLOOKUP(A2446,IMDB_Movies!I$2:I$3493,IMDB_Movies!Q$2:Q$3493)</f>
        <v>0</v>
      </c>
      <c r="E2446" s="28" t="s">
        <v>7982</v>
      </c>
      <c r="F2446" s="36">
        <f t="array" ref="F2446">XLOOKUP(A2446,IMDB_Movies!I$2:I$3493,IMDB_Movies!P$2:P$3493)</f>
        <v>5773825</v>
      </c>
    </row>
    <row r="2447">
      <c r="A2447" s="28" t="s">
        <v>7985</v>
      </c>
      <c r="B2447" s="35">
        <f t="array" ref="B2447">XLOOKUP(A2447,IMDB_Movies!I$2:I$3493,IMDB_Movies!Q$2:Q$3493)</f>
        <v>28505730</v>
      </c>
      <c r="E2447" s="28" t="s">
        <v>7985</v>
      </c>
      <c r="F2447" s="36">
        <f t="array" ref="F2447">XLOOKUP(A2447,IMDB_Movies!I$2:I$3493,IMDB_Movies!P$2:P$3493)</f>
        <v>0</v>
      </c>
    </row>
    <row r="2448">
      <c r="A2448" s="11" t="s">
        <v>7987</v>
      </c>
      <c r="B2448" s="35">
        <f t="array" ref="B2448">XLOOKUP(A2448,IMDB_Movies!I$2:I$3493,IMDB_Movies!Q$2:Q$3493)</f>
        <v>0</v>
      </c>
      <c r="E2448" s="11" t="s">
        <v>7987</v>
      </c>
      <c r="F2448" s="36">
        <f t="array" ref="F2448">XLOOKUP(A2448,IMDB_Movies!I$2:I$3493,IMDB_Movies!P$2:P$3493)</f>
        <v>19185998</v>
      </c>
    </row>
    <row r="2449">
      <c r="A2449" s="24" t="s">
        <v>7991</v>
      </c>
      <c r="B2449" s="35">
        <f t="array" ref="B2449">XLOOKUP(A2449,IMDB_Movies!I$2:I$3493,IMDB_Movies!Q$2:Q$3493)</f>
        <v>0</v>
      </c>
      <c r="E2449" s="24" t="s">
        <v>7991</v>
      </c>
      <c r="F2449" s="36">
        <f t="array" ref="F2449">XLOOKUP(A2449,IMDB_Movies!I$2:I$3493,IMDB_Movies!P$2:P$3493)</f>
        <v>43823091</v>
      </c>
    </row>
    <row r="2450">
      <c r="A2450" s="11" t="s">
        <v>7994</v>
      </c>
      <c r="B2450" s="35">
        <f t="array" ref="B2450">XLOOKUP(A2450,IMDB_Movies!I$2:I$3493,IMDB_Movies!Q$2:Q$3493)</f>
        <v>19982851</v>
      </c>
      <c r="E2450" s="11" t="s">
        <v>7994</v>
      </c>
      <c r="F2450" s="36">
        <f t="array" ref="F2450">XLOOKUP(A2450,IMDB_Movies!I$2:I$3493,IMDB_Movies!P$2:P$3493)</f>
        <v>0</v>
      </c>
    </row>
    <row r="2451">
      <c r="A2451" s="28" t="s">
        <v>7997</v>
      </c>
      <c r="B2451" s="35">
        <f t="array" ref="B2451">XLOOKUP(A2451,IMDB_Movies!I$2:I$3493,IMDB_Movies!Q$2:Q$3493)</f>
        <v>23594175</v>
      </c>
      <c r="E2451" s="28" t="s">
        <v>7997</v>
      </c>
      <c r="F2451" s="36">
        <f t="array" ref="F2451">XLOOKUP(A2451,IMDB_Movies!I$2:I$3493,IMDB_Movies!P$2:P$3493)</f>
        <v>0</v>
      </c>
    </row>
    <row r="2452">
      <c r="A2452" s="11" t="s">
        <v>8000</v>
      </c>
      <c r="B2452" s="35">
        <f t="array" ref="B2452">XLOOKUP(A2452,IMDB_Movies!I$2:I$3493,IMDB_Movies!Q$2:Q$3493)</f>
        <v>0</v>
      </c>
      <c r="E2452" s="11" t="s">
        <v>8000</v>
      </c>
      <c r="F2452" s="36">
        <f t="array" ref="F2452">XLOOKUP(A2452,IMDB_Movies!I$2:I$3493,IMDB_Movies!P$2:P$3493)</f>
        <v>4733909</v>
      </c>
    </row>
    <row r="2453">
      <c r="A2453" s="11" t="s">
        <v>8002</v>
      </c>
      <c r="B2453" s="35">
        <f t="array" ref="B2453">XLOOKUP(A2453,IMDB_Movies!I$2:I$3493,IMDB_Movies!Q$2:Q$3493)</f>
        <v>18442521</v>
      </c>
      <c r="E2453" s="11" t="s">
        <v>8002</v>
      </c>
      <c r="F2453" s="36">
        <f t="array" ref="F2453">XLOOKUP(A2453,IMDB_Movies!I$2:I$3493,IMDB_Movies!P$2:P$3493)</f>
        <v>0</v>
      </c>
    </row>
    <row r="2454">
      <c r="A2454" s="11" t="s">
        <v>8005</v>
      </c>
      <c r="B2454" s="35">
        <f t="array" ref="B2454">XLOOKUP(A2454,IMDB_Movies!I$2:I$3493,IMDB_Movies!Q$2:Q$3493)</f>
        <v>0</v>
      </c>
      <c r="E2454" s="11" t="s">
        <v>8005</v>
      </c>
      <c r="F2454" s="36">
        <f t="array" ref="F2454">XLOOKUP(A2454,IMDB_Movies!I$2:I$3493,IMDB_Movies!P$2:P$3493)</f>
        <v>2700000</v>
      </c>
    </row>
    <row r="2455">
      <c r="A2455" s="24" t="s">
        <v>8007</v>
      </c>
      <c r="B2455" s="35">
        <f t="array" ref="B2455">XLOOKUP(A2455,IMDB_Movies!I$2:I$3493,IMDB_Movies!Q$2:Q$3493)</f>
        <v>0</v>
      </c>
      <c r="E2455" s="24" t="s">
        <v>8007</v>
      </c>
      <c r="F2455" s="36">
        <f t="array" ref="F2455">XLOOKUP(A2455,IMDB_Movies!I$2:I$3493,IMDB_Movies!P$2:P$3493)</f>
        <v>107575142</v>
      </c>
    </row>
    <row r="2456">
      <c r="A2456" s="20" t="s">
        <v>8009</v>
      </c>
      <c r="B2456" s="35">
        <f t="array" ref="B2456">XLOOKUP(A2456,IMDB_Movies!I$2:I$3493,IMDB_Movies!Q$2:Q$3493)</f>
        <v>0</v>
      </c>
      <c r="E2456" s="20" t="s">
        <v>8009</v>
      </c>
      <c r="F2456" s="36">
        <f t="array" ref="F2456">XLOOKUP(A2456,IMDB_Movies!I$2:I$3493,IMDB_Movies!P$2:P$3493)</f>
        <v>55597042</v>
      </c>
    </row>
    <row r="2457">
      <c r="A2457" s="11" t="s">
        <v>8013</v>
      </c>
      <c r="B2457" s="35">
        <f t="array" ref="B2457">XLOOKUP(A2457,IMDB_Movies!I$2:I$3493,IMDB_Movies!Q$2:Q$3493)</f>
        <v>0</v>
      </c>
      <c r="E2457" s="11" t="s">
        <v>8013</v>
      </c>
      <c r="F2457" s="36">
        <f t="array" ref="F2457">XLOOKUP(A2457,IMDB_Movies!I$2:I$3493,IMDB_Movies!P$2:P$3493)</f>
        <v>614943</v>
      </c>
    </row>
    <row r="2458">
      <c r="A2458" s="16" t="s">
        <v>8016</v>
      </c>
      <c r="B2458" s="35">
        <f t="array" ref="B2458">XLOOKUP(A2458,IMDB_Movies!I$2:I$3493,IMDB_Movies!Q$2:Q$3493)</f>
        <v>0</v>
      </c>
      <c r="E2458" s="16" t="s">
        <v>8016</v>
      </c>
      <c r="F2458" s="36">
        <f t="array" ref="F2458">XLOOKUP(A2458,IMDB_Movies!I$2:I$3493,IMDB_Movies!P$2:P$3493)</f>
        <v>41309</v>
      </c>
    </row>
    <row r="2459">
      <c r="A2459" s="11" t="s">
        <v>8020</v>
      </c>
      <c r="B2459" s="35">
        <f t="array" ref="B2459">XLOOKUP(A2459,IMDB_Movies!I$2:I$3493,IMDB_Movies!Q$2:Q$3493)</f>
        <v>0</v>
      </c>
      <c r="E2459" s="11" t="s">
        <v>8020</v>
      </c>
      <c r="F2459" s="36">
        <f t="array" ref="F2459">XLOOKUP(A2459,IMDB_Movies!I$2:I$3493,IMDB_Movies!P$2:P$3493)</f>
        <v>745402</v>
      </c>
    </row>
    <row r="2460">
      <c r="A2460" s="11" t="s">
        <v>8023</v>
      </c>
      <c r="B2460" s="35">
        <f t="array" ref="B2460">XLOOKUP(A2460,IMDB_Movies!I$2:I$3493,IMDB_Movies!Q$2:Q$3493)</f>
        <v>4505853</v>
      </c>
      <c r="E2460" s="11" t="s">
        <v>8023</v>
      </c>
      <c r="F2460" s="36">
        <f t="array" ref="F2460">XLOOKUP(A2460,IMDB_Movies!I$2:I$3493,IMDB_Movies!P$2:P$3493)</f>
        <v>0</v>
      </c>
    </row>
    <row r="2461">
      <c r="A2461" s="28" t="s">
        <v>8026</v>
      </c>
      <c r="B2461" s="35">
        <f t="array" ref="B2461">XLOOKUP(A2461,IMDB_Movies!I$2:I$3493,IMDB_Movies!Q$2:Q$3493)</f>
        <v>36426209</v>
      </c>
      <c r="E2461" s="28" t="s">
        <v>8026</v>
      </c>
      <c r="F2461" s="36">
        <f t="array" ref="F2461">XLOOKUP(A2461,IMDB_Movies!I$2:I$3493,IMDB_Movies!P$2:P$3493)</f>
        <v>0</v>
      </c>
    </row>
    <row r="2462">
      <c r="A2462" s="20" t="s">
        <v>8030</v>
      </c>
      <c r="B2462" s="35">
        <f t="array" ref="B2462">XLOOKUP(A2462,IMDB_Movies!I$2:I$3493,IMDB_Movies!Q$2:Q$3493)</f>
        <v>2799197</v>
      </c>
      <c r="E2462" s="20" t="s">
        <v>8030</v>
      </c>
      <c r="F2462" s="36">
        <f t="array" ref="F2462">XLOOKUP(A2462,IMDB_Movies!I$2:I$3493,IMDB_Movies!P$2:P$3493)</f>
        <v>0</v>
      </c>
    </row>
    <row r="2463">
      <c r="A2463" s="28" t="s">
        <v>8034</v>
      </c>
      <c r="B2463" s="35">
        <f t="array" ref="B2463">XLOOKUP(A2463,IMDB_Movies!I$2:I$3493,IMDB_Movies!Q$2:Q$3493)</f>
        <v>18309470</v>
      </c>
      <c r="E2463" s="28" t="s">
        <v>8034</v>
      </c>
      <c r="F2463" s="36">
        <f t="array" ref="F2463">XLOOKUP(A2463,IMDB_Movies!I$2:I$3493,IMDB_Movies!P$2:P$3493)</f>
        <v>0</v>
      </c>
    </row>
    <row r="2464">
      <c r="A2464" s="11" t="s">
        <v>8038</v>
      </c>
      <c r="B2464" s="35">
        <f t="array" ref="B2464">XLOOKUP(A2464,IMDB_Movies!I$2:I$3493,IMDB_Movies!Q$2:Q$3493)</f>
        <v>19624526</v>
      </c>
      <c r="E2464" s="11" t="s">
        <v>8038</v>
      </c>
      <c r="F2464" s="36">
        <f t="array" ref="F2464">XLOOKUP(A2464,IMDB_Movies!I$2:I$3493,IMDB_Movies!P$2:P$3493)</f>
        <v>0</v>
      </c>
    </row>
    <row r="2465">
      <c r="A2465" s="11" t="s">
        <v>8041</v>
      </c>
      <c r="B2465" s="35">
        <f t="array" ref="B2465">XLOOKUP(A2465,IMDB_Movies!I$2:I$3493,IMDB_Movies!Q$2:Q$3493)</f>
        <v>17399565</v>
      </c>
      <c r="E2465" s="11" t="s">
        <v>8041</v>
      </c>
      <c r="F2465" s="36">
        <f t="array" ref="F2465">XLOOKUP(A2465,IMDB_Movies!I$2:I$3493,IMDB_Movies!P$2:P$3493)</f>
        <v>0</v>
      </c>
    </row>
    <row r="2466">
      <c r="A2466" s="28" t="s">
        <v>8044</v>
      </c>
      <c r="B2466" s="35">
        <f t="array" ref="B2466">XLOOKUP(A2466,IMDB_Movies!I$2:I$3493,IMDB_Movies!Q$2:Q$3493)</f>
        <v>20291812</v>
      </c>
      <c r="E2466" s="28" t="s">
        <v>8044</v>
      </c>
      <c r="F2466" s="36">
        <f t="array" ref="F2466">XLOOKUP(A2466,IMDB_Movies!I$2:I$3493,IMDB_Movies!P$2:P$3493)</f>
        <v>0</v>
      </c>
    </row>
    <row r="2467">
      <c r="A2467" s="20" t="s">
        <v>8047</v>
      </c>
      <c r="B2467" s="35">
        <f t="array" ref="B2467">XLOOKUP(A2467,IMDB_Movies!I$2:I$3493,IMDB_Movies!Q$2:Q$3493)</f>
        <v>0</v>
      </c>
      <c r="E2467" s="20" t="s">
        <v>8047</v>
      </c>
      <c r="F2467" s="36">
        <f t="array" ref="F2467">XLOOKUP(A2467,IMDB_Movies!I$2:I$3493,IMDB_Movies!P$2:P$3493)</f>
        <v>47325559</v>
      </c>
    </row>
    <row r="2468">
      <c r="A2468" s="11" t="s">
        <v>8049</v>
      </c>
      <c r="B2468" s="35">
        <f t="array" ref="B2468">XLOOKUP(A2468,IMDB_Movies!I$2:I$3493,IMDB_Movies!Q$2:Q$3493)</f>
        <v>10922453</v>
      </c>
      <c r="E2468" s="11" t="s">
        <v>8049</v>
      </c>
      <c r="F2468" s="36">
        <f t="array" ref="F2468">XLOOKUP(A2468,IMDB_Movies!I$2:I$3493,IMDB_Movies!P$2:P$3493)</f>
        <v>0</v>
      </c>
    </row>
    <row r="2469">
      <c r="A2469" s="24" t="s">
        <v>8051</v>
      </c>
      <c r="B2469" s="35">
        <f t="array" ref="B2469">XLOOKUP(A2469,IMDB_Movies!I$2:I$3493,IMDB_Movies!Q$2:Q$3493)</f>
        <v>0</v>
      </c>
      <c r="E2469" s="24" t="s">
        <v>8051</v>
      </c>
      <c r="F2469" s="36">
        <f t="array" ref="F2469">XLOOKUP(A2469,IMDB_Movies!I$2:I$3493,IMDB_Movies!P$2:P$3493)</f>
        <v>14049211</v>
      </c>
    </row>
    <row r="2470">
      <c r="A2470" s="32" t="s">
        <v>8054</v>
      </c>
      <c r="B2470" s="35">
        <f t="array" ref="B2470">XLOOKUP(A2470,IMDB_Movies!I$2:I$3493,IMDB_Movies!Q$2:Q$3493)</f>
        <v>4005443</v>
      </c>
      <c r="E2470" s="32" t="s">
        <v>8054</v>
      </c>
      <c r="F2470" s="36">
        <f t="array" ref="F2470">XLOOKUP(A2470,IMDB_Movies!I$2:I$3493,IMDB_Movies!P$2:P$3493)</f>
        <v>0</v>
      </c>
    </row>
    <row r="2471">
      <c r="A2471" s="11" t="s">
        <v>8056</v>
      </c>
      <c r="B2471" s="35">
        <f t="array" ref="B2471">XLOOKUP(A2471,IMDB_Movies!I$2:I$3493,IMDB_Movies!Q$2:Q$3493)</f>
        <v>35610546</v>
      </c>
      <c r="E2471" s="11" t="s">
        <v>8056</v>
      </c>
      <c r="F2471" s="36">
        <f t="array" ref="F2471">XLOOKUP(A2471,IMDB_Movies!I$2:I$3493,IMDB_Movies!P$2:P$3493)</f>
        <v>0</v>
      </c>
    </row>
    <row r="2472">
      <c r="A2472" s="11" t="s">
        <v>8058</v>
      </c>
      <c r="B2472" s="35">
        <f t="array" ref="B2472">XLOOKUP(A2472,IMDB_Movies!I$2:I$3493,IMDB_Movies!Q$2:Q$3493)</f>
        <v>0</v>
      </c>
      <c r="E2472" s="11" t="s">
        <v>8058</v>
      </c>
      <c r="F2472" s="36">
        <f t="array" ref="F2472">XLOOKUP(A2472,IMDB_Movies!I$2:I$3493,IMDB_Movies!P$2:P$3493)</f>
        <v>86757447</v>
      </c>
    </row>
    <row r="2473">
      <c r="A2473" s="11" t="s">
        <v>8061</v>
      </c>
      <c r="B2473" s="35">
        <f t="array" ref="B2473">XLOOKUP(A2473,IMDB_Movies!I$2:I$3493,IMDB_Movies!Q$2:Q$3493)</f>
        <v>0</v>
      </c>
      <c r="E2473" s="11" t="s">
        <v>8061</v>
      </c>
      <c r="F2473" s="36">
        <f t="array" ref="F2473">XLOOKUP(A2473,IMDB_Movies!I$2:I$3493,IMDB_Movies!P$2:P$3493)</f>
        <v>93506210</v>
      </c>
    </row>
    <row r="2474">
      <c r="A2474" s="24" t="s">
        <v>8063</v>
      </c>
      <c r="B2474" s="35">
        <f t="array" ref="B2474">XLOOKUP(A2474,IMDB_Movies!I$2:I$3493,IMDB_Movies!Q$2:Q$3493)</f>
        <v>0</v>
      </c>
      <c r="E2474" s="24" t="s">
        <v>8063</v>
      </c>
      <c r="F2474" s="36">
        <f t="array" ref="F2474">XLOOKUP(A2474,IMDB_Movies!I$2:I$3493,IMDB_Movies!P$2:P$3493)</f>
        <v>11146570</v>
      </c>
    </row>
    <row r="2475">
      <c r="A2475" s="32" t="s">
        <v>8066</v>
      </c>
      <c r="B2475" s="35">
        <f t="array" ref="B2475">XLOOKUP(A2475,IMDB_Movies!I$2:I$3493,IMDB_Movies!Q$2:Q$3493)</f>
        <v>9673593</v>
      </c>
      <c r="E2475" s="32" t="s">
        <v>8066</v>
      </c>
      <c r="F2475" s="36">
        <f t="array" ref="F2475">XLOOKUP(A2475,IMDB_Movies!I$2:I$3493,IMDB_Movies!P$2:P$3493)</f>
        <v>0</v>
      </c>
    </row>
    <row r="2476">
      <c r="A2476" s="11" t="s">
        <v>8068</v>
      </c>
      <c r="B2476" s="35">
        <f t="array" ref="B2476">XLOOKUP(A2476,IMDB_Movies!I$2:I$3493,IMDB_Movies!Q$2:Q$3493)</f>
        <v>8185043</v>
      </c>
      <c r="E2476" s="11" t="s">
        <v>8068</v>
      </c>
      <c r="F2476" s="36">
        <f t="array" ref="F2476">XLOOKUP(A2476,IMDB_Movies!I$2:I$3493,IMDB_Movies!P$2:P$3493)</f>
        <v>0</v>
      </c>
    </row>
    <row r="2477">
      <c r="A2477" s="24" t="s">
        <v>8071</v>
      </c>
      <c r="B2477" s="35">
        <f t="array" ref="B2477">XLOOKUP(A2477,IMDB_Movies!I$2:I$3493,IMDB_Movies!Q$2:Q$3493)</f>
        <v>0</v>
      </c>
      <c r="E2477" s="24" t="s">
        <v>8071</v>
      </c>
      <c r="F2477" s="36">
        <f t="array" ref="F2477">XLOOKUP(A2477,IMDB_Movies!I$2:I$3493,IMDB_Movies!P$2:P$3493)</f>
        <v>41038190</v>
      </c>
    </row>
    <row r="2478">
      <c r="A2478" s="24" t="s">
        <v>8073</v>
      </c>
      <c r="B2478" s="35">
        <f t="array" ref="B2478">XLOOKUP(A2478,IMDB_Movies!I$2:I$3493,IMDB_Movies!Q$2:Q$3493)</f>
        <v>15229136</v>
      </c>
      <c r="E2478" s="24" t="s">
        <v>8073</v>
      </c>
      <c r="F2478" s="36">
        <f t="array" ref="F2478">XLOOKUP(A2478,IMDB_Movies!I$2:I$3493,IMDB_Movies!P$2:P$3493)</f>
        <v>0</v>
      </c>
    </row>
    <row r="2479">
      <c r="A2479" s="20" t="s">
        <v>8075</v>
      </c>
      <c r="B2479" s="35">
        <f t="array" ref="B2479">XLOOKUP(A2479,IMDB_Movies!I$2:I$3493,IMDB_Movies!Q$2:Q$3493)</f>
        <v>0</v>
      </c>
      <c r="E2479" s="20" t="s">
        <v>8075</v>
      </c>
      <c r="F2479" s="36">
        <f t="array" ref="F2479">XLOOKUP(A2479,IMDB_Movies!I$2:I$3493,IMDB_Movies!P$2:P$3493)</f>
        <v>14930005</v>
      </c>
    </row>
    <row r="2480">
      <c r="A2480" s="11" t="s">
        <v>8077</v>
      </c>
      <c r="B2480" s="35">
        <f t="array" ref="B2480">XLOOKUP(A2480,IMDB_Movies!I$2:I$3493,IMDB_Movies!Q$2:Q$3493)</f>
        <v>0</v>
      </c>
      <c r="E2480" s="11" t="s">
        <v>8077</v>
      </c>
      <c r="F2480" s="36">
        <f t="array" ref="F2480">XLOOKUP(A2480,IMDB_Movies!I$2:I$3493,IMDB_Movies!P$2:P$3493)</f>
        <v>10118420</v>
      </c>
    </row>
    <row r="2481">
      <c r="A2481" s="28" t="s">
        <v>8079</v>
      </c>
      <c r="B2481" s="35">
        <f t="array" ref="B2481">XLOOKUP(A2481,IMDB_Movies!I$2:I$3493,IMDB_Movies!Q$2:Q$3493)</f>
        <v>0</v>
      </c>
      <c r="E2481" s="28" t="s">
        <v>8079</v>
      </c>
      <c r="F2481" s="36">
        <f t="array" ref="F2481">XLOOKUP(A2481,IMDB_Movies!I$2:I$3493,IMDB_Movies!P$2:P$3493)</f>
        <v>4203192</v>
      </c>
    </row>
    <row r="2482">
      <c r="A2482" s="11" t="s">
        <v>8083</v>
      </c>
      <c r="B2482" s="35">
        <f t="array" ref="B2482">XLOOKUP(A2482,IMDB_Movies!I$2:I$3493,IMDB_Movies!Q$2:Q$3493)</f>
        <v>0</v>
      </c>
      <c r="E2482" s="11" t="s">
        <v>8083</v>
      </c>
      <c r="F2482" s="36">
        <f t="array" ref="F2482">XLOOKUP(A2482,IMDB_Movies!I$2:I$3493,IMDB_Movies!P$2:P$3493)</f>
        <v>16184015</v>
      </c>
    </row>
    <row r="2483">
      <c r="A2483" s="11" t="s">
        <v>8085</v>
      </c>
      <c r="B2483" s="35">
        <f t="array" ref="B2483">XLOOKUP(A2483,IMDB_Movies!I$2:I$3493,IMDB_Movies!Q$2:Q$3493)</f>
        <v>0</v>
      </c>
      <c r="E2483" s="11" t="s">
        <v>8085</v>
      </c>
      <c r="F2483" s="36">
        <f t="array" ref="F2483">XLOOKUP(A2483,IMDB_Movies!I$2:I$3493,IMDB_Movies!P$2:P$3493)</f>
        <v>120430993</v>
      </c>
    </row>
    <row r="2484">
      <c r="A2484" s="32" t="s">
        <v>8088</v>
      </c>
      <c r="B2484" s="35">
        <f t="array" ref="B2484">XLOOKUP(A2484,IMDB_Movies!I$2:I$3493,IMDB_Movies!Q$2:Q$3493)</f>
        <v>11643257</v>
      </c>
      <c r="E2484" s="32" t="s">
        <v>8088</v>
      </c>
      <c r="F2484" s="36">
        <f t="array" ref="F2484">XLOOKUP(A2484,IMDB_Movies!I$2:I$3493,IMDB_Movies!P$2:P$3493)</f>
        <v>0</v>
      </c>
    </row>
    <row r="2485">
      <c r="A2485" s="11" t="s">
        <v>8093</v>
      </c>
      <c r="B2485" s="35">
        <f t="array" ref="B2485">XLOOKUP(A2485,IMDB_Movies!I$2:I$3493,IMDB_Movies!Q$2:Q$3493)</f>
        <v>1560341</v>
      </c>
      <c r="E2485" s="11" t="s">
        <v>8093</v>
      </c>
      <c r="F2485" s="36">
        <f t="array" ref="F2485">XLOOKUP(A2485,IMDB_Movies!I$2:I$3493,IMDB_Movies!P$2:P$3493)</f>
        <v>0</v>
      </c>
    </row>
    <row r="2486">
      <c r="A2486" s="24" t="s">
        <v>8096</v>
      </c>
      <c r="B2486" s="35">
        <f t="array" ref="B2486">XLOOKUP(A2486,IMDB_Movies!I$2:I$3493,IMDB_Movies!Q$2:Q$3493)</f>
        <v>0</v>
      </c>
      <c r="E2486" s="24" t="s">
        <v>8096</v>
      </c>
      <c r="F2486" s="36">
        <f t="array" ref="F2486">XLOOKUP(A2486,IMDB_Movies!I$2:I$3493,IMDB_Movies!P$2:P$3493)</f>
        <v>2103828</v>
      </c>
    </row>
    <row r="2487">
      <c r="A2487" s="20" t="s">
        <v>8098</v>
      </c>
      <c r="B2487" s="35">
        <f t="array" ref="B2487">XLOOKUP(A2487,IMDB_Movies!I$2:I$3493,IMDB_Movies!Q$2:Q$3493)</f>
        <v>8936125</v>
      </c>
      <c r="E2487" s="20" t="s">
        <v>8098</v>
      </c>
      <c r="F2487" s="36">
        <f t="array" ref="F2487">XLOOKUP(A2487,IMDB_Movies!I$2:I$3493,IMDB_Movies!P$2:P$3493)</f>
        <v>0</v>
      </c>
    </row>
    <row r="2488">
      <c r="A2488" s="20" t="s">
        <v>8100</v>
      </c>
      <c r="B2488" s="35">
        <f t="array" ref="B2488">XLOOKUP(A2488,IMDB_Movies!I$2:I$3493,IMDB_Movies!Q$2:Q$3493)</f>
        <v>0</v>
      </c>
      <c r="E2488" s="20" t="s">
        <v>8100</v>
      </c>
      <c r="F2488" s="36">
        <f t="array" ref="F2488">XLOOKUP(A2488,IMDB_Movies!I$2:I$3493,IMDB_Movies!P$2:P$3493)</f>
        <v>78574831</v>
      </c>
    </row>
    <row r="2489">
      <c r="A2489" s="11" t="s">
        <v>8103</v>
      </c>
      <c r="B2489" s="35">
        <f t="array" ref="B2489">XLOOKUP(A2489,IMDB_Movies!I$2:I$3493,IMDB_Movies!Q$2:Q$3493)</f>
        <v>10285518</v>
      </c>
      <c r="E2489" s="11" t="s">
        <v>8103</v>
      </c>
      <c r="F2489" s="36">
        <f t="array" ref="F2489">XLOOKUP(A2489,IMDB_Movies!I$2:I$3493,IMDB_Movies!P$2:P$3493)</f>
        <v>0</v>
      </c>
    </row>
    <row r="2490">
      <c r="A2490" s="24" t="s">
        <v>8107</v>
      </c>
      <c r="B2490" s="35">
        <f t="array" ref="B2490">XLOOKUP(A2490,IMDB_Movies!I$2:I$3493,IMDB_Movies!Q$2:Q$3493)</f>
        <v>0</v>
      </c>
      <c r="E2490" s="24" t="s">
        <v>8107</v>
      </c>
      <c r="F2490" s="36">
        <f t="array" ref="F2490">XLOOKUP(A2490,IMDB_Movies!I$2:I$3493,IMDB_Movies!P$2:P$3493)</f>
        <v>30311509</v>
      </c>
    </row>
    <row r="2491">
      <c r="A2491" s="24" t="s">
        <v>8109</v>
      </c>
      <c r="B2491" s="35">
        <f t="array" ref="B2491">XLOOKUP(A2491,IMDB_Movies!I$2:I$3493,IMDB_Movies!Q$2:Q$3493)</f>
        <v>0</v>
      </c>
      <c r="E2491" s="24" t="s">
        <v>8109</v>
      </c>
      <c r="F2491" s="36">
        <f t="array" ref="F2491">XLOOKUP(A2491,IMDB_Movies!I$2:I$3493,IMDB_Movies!P$2:P$3493)</f>
        <v>294645577</v>
      </c>
    </row>
    <row r="2492">
      <c r="A2492" s="24" t="s">
        <v>8112</v>
      </c>
      <c r="B2492" s="35">
        <f t="array" ref="B2492">XLOOKUP(A2492,IMDB_Movies!I$2:I$3493,IMDB_Movies!Q$2:Q$3493)</f>
        <v>0</v>
      </c>
      <c r="E2492" s="24" t="s">
        <v>8112</v>
      </c>
      <c r="F2492" s="36">
        <f t="array" ref="F2492">XLOOKUP(A2492,IMDB_Movies!I$2:I$3493,IMDB_Movies!P$2:P$3493)</f>
        <v>44888996</v>
      </c>
    </row>
    <row r="2493">
      <c r="A2493" s="24" t="s">
        <v>8117</v>
      </c>
      <c r="B2493" s="35">
        <f t="array" ref="B2493">XLOOKUP(A2493,IMDB_Movies!I$2:I$3493,IMDB_Movies!Q$2:Q$3493)</f>
        <v>0</v>
      </c>
      <c r="E2493" s="24" t="s">
        <v>8117</v>
      </c>
      <c r="F2493" s="36">
        <f t="array" ref="F2493">XLOOKUP(A2493,IMDB_Movies!I$2:I$3493,IMDB_Movies!P$2:P$3493)</f>
        <v>4790000</v>
      </c>
    </row>
    <row r="2494">
      <c r="A2494" s="20" t="s">
        <v>8120</v>
      </c>
      <c r="B2494" s="35">
        <f t="array" ref="B2494">XLOOKUP(A2494,IMDB_Movies!I$2:I$3493,IMDB_Movies!Q$2:Q$3493)</f>
        <v>14280633</v>
      </c>
      <c r="E2494" s="20" t="s">
        <v>8120</v>
      </c>
      <c r="F2494" s="36">
        <f t="array" ref="F2494">XLOOKUP(A2494,IMDB_Movies!I$2:I$3493,IMDB_Movies!P$2:P$3493)</f>
        <v>0</v>
      </c>
    </row>
    <row r="2495">
      <c r="A2495" s="28" t="s">
        <v>8123</v>
      </c>
      <c r="B2495" s="35">
        <f t="array" ref="B2495">XLOOKUP(A2495,IMDB_Movies!I$2:I$3493,IMDB_Movies!Q$2:Q$3493)</f>
        <v>11906682</v>
      </c>
      <c r="E2495" s="28" t="s">
        <v>8123</v>
      </c>
      <c r="F2495" s="36">
        <f t="array" ref="F2495">XLOOKUP(A2495,IMDB_Movies!I$2:I$3493,IMDB_Movies!P$2:P$3493)</f>
        <v>0</v>
      </c>
    </row>
    <row r="2496">
      <c r="A2496" s="11" t="s">
        <v>8125</v>
      </c>
      <c r="B2496" s="35">
        <f t="array" ref="B2496">XLOOKUP(A2496,IMDB_Movies!I$2:I$3493,IMDB_Movies!Q$2:Q$3493)</f>
        <v>0</v>
      </c>
      <c r="E2496" s="11" t="s">
        <v>8125</v>
      </c>
      <c r="F2496" s="36">
        <f t="array" ref="F2496">XLOOKUP(A2496,IMDB_Movies!I$2:I$3493,IMDB_Movies!P$2:P$3493)</f>
        <v>161970615</v>
      </c>
    </row>
    <row r="2497">
      <c r="A2497" s="20" t="s">
        <v>8128</v>
      </c>
      <c r="B2497" s="35">
        <f t="array" ref="B2497">XLOOKUP(A2497,IMDB_Movies!I$2:I$3493,IMDB_Movies!Q$2:Q$3493)</f>
        <v>11537400</v>
      </c>
      <c r="E2497" s="20" t="s">
        <v>8128</v>
      </c>
      <c r="F2497" s="36">
        <f t="array" ref="F2497">XLOOKUP(A2497,IMDB_Movies!I$2:I$3493,IMDB_Movies!P$2:P$3493)</f>
        <v>0</v>
      </c>
    </row>
    <row r="2498">
      <c r="A2498" s="11" t="s">
        <v>8131</v>
      </c>
      <c r="B2498" s="35">
        <f t="array" ref="B2498">XLOOKUP(A2498,IMDB_Movies!I$2:I$3493,IMDB_Movies!Q$2:Q$3493)</f>
        <v>0</v>
      </c>
      <c r="E2498" s="11" t="s">
        <v>8131</v>
      </c>
      <c r="F2498" s="36">
        <f t="array" ref="F2498">XLOOKUP(A2498,IMDB_Movies!I$2:I$3493,IMDB_Movies!P$2:P$3493)</f>
        <v>25399000</v>
      </c>
    </row>
    <row r="2499">
      <c r="A2499" s="24" t="s">
        <v>8134</v>
      </c>
      <c r="B2499" s="35">
        <f t="array" ref="B2499">XLOOKUP(A2499,IMDB_Movies!I$2:I$3493,IMDB_Movies!Q$2:Q$3493)</f>
        <v>3088667</v>
      </c>
      <c r="E2499" s="24" t="s">
        <v>8134</v>
      </c>
      <c r="F2499" s="36">
        <f t="array" ref="F2499">XLOOKUP(A2499,IMDB_Movies!I$2:I$3493,IMDB_Movies!P$2:P$3493)</f>
        <v>0</v>
      </c>
    </row>
    <row r="2500">
      <c r="A2500" s="32" t="s">
        <v>8137</v>
      </c>
      <c r="B2500" s="35">
        <f t="array" ref="B2500">XLOOKUP(A2500,IMDB_Movies!I$2:I$3493,IMDB_Movies!Q$2:Q$3493)</f>
        <v>0</v>
      </c>
      <c r="E2500" s="32" t="s">
        <v>8137</v>
      </c>
      <c r="F2500" s="36">
        <f t="array" ref="F2500">XLOOKUP(A2500,IMDB_Movies!I$2:I$3493,IMDB_Movies!P$2:P$3493)</f>
        <v>2615685</v>
      </c>
    </row>
    <row r="2501">
      <c r="A2501" s="11" t="s">
        <v>8140</v>
      </c>
      <c r="B2501" s="35">
        <f t="array" ref="B2501">XLOOKUP(A2501,IMDB_Movies!I$2:I$3493,IMDB_Movies!Q$2:Q$3493)</f>
        <v>2435641</v>
      </c>
      <c r="E2501" s="11" t="s">
        <v>8140</v>
      </c>
      <c r="F2501" s="36">
        <f t="array" ref="F2501">XLOOKUP(A2501,IMDB_Movies!I$2:I$3493,IMDB_Movies!P$2:P$3493)</f>
        <v>0</v>
      </c>
    </row>
    <row r="2502">
      <c r="A2502" s="11" t="s">
        <v>8142</v>
      </c>
      <c r="B2502" s="35">
        <f t="array" ref="B2502">XLOOKUP(A2502,IMDB_Movies!I$2:I$3493,IMDB_Movies!Q$2:Q$3493)</f>
        <v>23100203</v>
      </c>
      <c r="E2502" s="11" t="s">
        <v>8142</v>
      </c>
      <c r="F2502" s="36">
        <f t="array" ref="F2502">XLOOKUP(A2502,IMDB_Movies!I$2:I$3493,IMDB_Movies!P$2:P$3493)</f>
        <v>0</v>
      </c>
    </row>
    <row r="2503">
      <c r="A2503" s="32" t="s">
        <v>8146</v>
      </c>
      <c r="B2503" s="35">
        <f t="array" ref="B2503">XLOOKUP(A2503,IMDB_Movies!I$2:I$3493,IMDB_Movies!Q$2:Q$3493)</f>
        <v>0</v>
      </c>
      <c r="E2503" s="32" t="s">
        <v>8146</v>
      </c>
      <c r="F2503" s="36">
        <f t="array" ref="F2503">XLOOKUP(A2503,IMDB_Movies!I$2:I$3493,IMDB_Movies!P$2:P$3493)</f>
        <v>2228241</v>
      </c>
    </row>
    <row r="2504">
      <c r="A2504" s="32" t="s">
        <v>8150</v>
      </c>
      <c r="B2504" s="35">
        <f t="array" ref="B2504">XLOOKUP(A2504,IMDB_Movies!I$2:I$3493,IMDB_Movies!Q$2:Q$3493)</f>
        <v>10000000</v>
      </c>
      <c r="E2504" s="32" t="s">
        <v>8150</v>
      </c>
      <c r="F2504" s="36">
        <f t="array" ref="F2504">XLOOKUP(A2504,IMDB_Movies!I$2:I$3493,IMDB_Movies!P$2:P$3493)</f>
        <v>0</v>
      </c>
    </row>
    <row r="2505">
      <c r="A2505" s="11" t="s">
        <v>8152</v>
      </c>
      <c r="B2505" s="35">
        <f t="array" ref="B2505">XLOOKUP(A2505,IMDB_Movies!I$2:I$3493,IMDB_Movies!Q$2:Q$3493)</f>
        <v>0</v>
      </c>
      <c r="E2505" s="11" t="s">
        <v>8152</v>
      </c>
      <c r="F2505" s="36">
        <f t="array" ref="F2505">XLOOKUP(A2505,IMDB_Movies!I$2:I$3493,IMDB_Movies!P$2:P$3493)</f>
        <v>26277420</v>
      </c>
    </row>
    <row r="2506">
      <c r="A2506" s="11" t="s">
        <v>8154</v>
      </c>
      <c r="B2506" s="35">
        <f t="array" ref="B2506">XLOOKUP(A2506,IMDB_Movies!I$2:I$3493,IMDB_Movies!Q$2:Q$3493)</f>
        <v>0</v>
      </c>
      <c r="E2506" s="11" t="s">
        <v>8154</v>
      </c>
      <c r="F2506" s="36">
        <f t="array" ref="F2506">XLOOKUP(A2506,IMDB_Movies!I$2:I$3493,IMDB_Movies!P$2:P$3493)</f>
        <v>24795350</v>
      </c>
    </row>
    <row r="2507">
      <c r="A2507" s="11" t="s">
        <v>8156</v>
      </c>
      <c r="B2507" s="35">
        <f t="array" ref="B2507">XLOOKUP(A2507,IMDB_Movies!I$2:I$3493,IMDB_Movies!Q$2:Q$3493)</f>
        <v>10151678</v>
      </c>
      <c r="E2507" s="11" t="s">
        <v>8156</v>
      </c>
      <c r="F2507" s="36">
        <f t="array" ref="F2507">XLOOKUP(A2507,IMDB_Movies!I$2:I$3493,IMDB_Movies!P$2:P$3493)</f>
        <v>0</v>
      </c>
    </row>
    <row r="2508">
      <c r="A2508" s="20" t="s">
        <v>8159</v>
      </c>
      <c r="B2508" s="35">
        <f t="array" ref="B2508">XLOOKUP(A2508,IMDB_Movies!I$2:I$3493,IMDB_Movies!Q$2:Q$3493)</f>
        <v>0</v>
      </c>
      <c r="E2508" s="20" t="s">
        <v>8159</v>
      </c>
      <c r="F2508" s="36">
        <f t="array" ref="F2508">XLOOKUP(A2508,IMDB_Movies!I$2:I$3493,IMDB_Movies!P$2:P$3493)</f>
        <v>4808247</v>
      </c>
    </row>
    <row r="2509">
      <c r="A2509" s="11" t="s">
        <v>8163</v>
      </c>
      <c r="B2509" s="35">
        <f t="array" ref="B2509">XLOOKUP(A2509,IMDB_Movies!I$2:I$3493,IMDB_Movies!Q$2:Q$3493)</f>
        <v>0</v>
      </c>
      <c r="E2509" s="11" t="s">
        <v>8163</v>
      </c>
      <c r="F2509" s="36">
        <f t="array" ref="F2509">XLOOKUP(A2509,IMDB_Movies!I$2:I$3493,IMDB_Movies!P$2:P$3493)</f>
        <v>14168359</v>
      </c>
    </row>
    <row r="2510">
      <c r="A2510" s="11" t="s">
        <v>8166</v>
      </c>
      <c r="B2510" s="35">
        <f t="array" ref="B2510">XLOOKUP(A2510,IMDB_Movies!I$2:I$3493,IMDB_Movies!Q$2:Q$3493)</f>
        <v>24326667</v>
      </c>
      <c r="E2510" s="11" t="s">
        <v>8166</v>
      </c>
      <c r="F2510" s="36">
        <f t="array" ref="F2510">XLOOKUP(A2510,IMDB_Movies!I$2:I$3493,IMDB_Movies!P$2:P$3493)</f>
        <v>0</v>
      </c>
    </row>
    <row r="2511">
      <c r="A2511" s="11" t="s">
        <v>8169</v>
      </c>
      <c r="B2511" s="35">
        <f t="array" ref="B2511">XLOOKUP(A2511,IMDB_Movies!I$2:I$3493,IMDB_Movies!Q$2:Q$3493)</f>
        <v>7747170</v>
      </c>
      <c r="E2511" s="11" t="s">
        <v>8169</v>
      </c>
      <c r="F2511" s="36">
        <f t="array" ref="F2511">XLOOKUP(A2511,IMDB_Movies!I$2:I$3493,IMDB_Movies!P$2:P$3493)</f>
        <v>0</v>
      </c>
    </row>
    <row r="2512">
      <c r="A2512" s="28" t="s">
        <v>8171</v>
      </c>
      <c r="B2512" s="35">
        <f t="array" ref="B2512">XLOOKUP(A2512,IMDB_Movies!I$2:I$3493,IMDB_Movies!Q$2:Q$3493)</f>
        <v>0</v>
      </c>
      <c r="E2512" s="28" t="s">
        <v>8171</v>
      </c>
      <c r="F2512" s="36">
        <f t="array" ref="F2512">XLOOKUP(A2512,IMDB_Movies!I$2:I$3493,IMDB_Movies!P$2:P$3493)</f>
        <v>31691009</v>
      </c>
    </row>
    <row r="2513">
      <c r="A2513" s="20" t="s">
        <v>8173</v>
      </c>
      <c r="B2513" s="35">
        <f t="array" ref="B2513">XLOOKUP(A2513,IMDB_Movies!I$2:I$3493,IMDB_Movies!Q$2:Q$3493)</f>
        <v>0</v>
      </c>
      <c r="E2513" s="20" t="s">
        <v>8173</v>
      </c>
      <c r="F2513" s="36">
        <f t="array" ref="F2513">XLOOKUP(A2513,IMDB_Movies!I$2:I$3493,IMDB_Movies!P$2:P$3493)</f>
        <v>4692139</v>
      </c>
    </row>
    <row r="2514">
      <c r="A2514" s="11" t="s">
        <v>8175</v>
      </c>
      <c r="B2514" s="35">
        <f t="array" ref="B2514">XLOOKUP(A2514,IMDB_Movies!I$2:I$3493,IMDB_Movies!Q$2:Q$3493)</f>
        <v>0</v>
      </c>
      <c r="E2514" s="11" t="s">
        <v>8175</v>
      </c>
      <c r="F2514" s="36">
        <f t="array" ref="F2514">XLOOKUP(A2514,IMDB_Movies!I$2:I$3493,IMDB_Movies!P$2:P$3493)</f>
        <v>18270895</v>
      </c>
    </row>
    <row r="2515">
      <c r="A2515" s="11" t="s">
        <v>8178</v>
      </c>
      <c r="B2515" s="35">
        <f t="array" ref="B2515">XLOOKUP(A2515,IMDB_Movies!I$2:I$3493,IMDB_Movies!Q$2:Q$3493)</f>
        <v>9284389</v>
      </c>
      <c r="E2515" s="11" t="s">
        <v>8178</v>
      </c>
      <c r="F2515" s="36">
        <f t="array" ref="F2515">XLOOKUP(A2515,IMDB_Movies!I$2:I$3493,IMDB_Movies!P$2:P$3493)</f>
        <v>0</v>
      </c>
    </row>
    <row r="2516">
      <c r="A2516" s="28" t="s">
        <v>8181</v>
      </c>
      <c r="B2516" s="35">
        <f t="array" ref="B2516">XLOOKUP(A2516,IMDB_Movies!I$2:I$3493,IMDB_Movies!Q$2:Q$3493)</f>
        <v>25739083</v>
      </c>
      <c r="E2516" s="28" t="s">
        <v>8181</v>
      </c>
      <c r="F2516" s="36">
        <f t="array" ref="F2516">XLOOKUP(A2516,IMDB_Movies!I$2:I$3493,IMDB_Movies!P$2:P$3493)</f>
        <v>0</v>
      </c>
    </row>
    <row r="2517">
      <c r="A2517" s="16" t="s">
        <v>8184</v>
      </c>
      <c r="B2517" s="35">
        <f t="array" ref="B2517">XLOOKUP(A2517,IMDB_Movies!I$2:I$3493,IMDB_Movies!Q$2:Q$3493)</f>
        <v>20203976</v>
      </c>
      <c r="E2517" s="16" t="s">
        <v>8184</v>
      </c>
      <c r="F2517" s="36">
        <f t="array" ref="F2517">XLOOKUP(A2517,IMDB_Movies!I$2:I$3493,IMDB_Movies!P$2:P$3493)</f>
        <v>0</v>
      </c>
    </row>
    <row r="2518">
      <c r="A2518" s="16" t="s">
        <v>8187</v>
      </c>
      <c r="B2518" s="35">
        <f t="array" ref="B2518">XLOOKUP(A2518,IMDB_Movies!I$2:I$3493,IMDB_Movies!Q$2:Q$3493)</f>
        <v>0</v>
      </c>
      <c r="E2518" s="16" t="s">
        <v>8187</v>
      </c>
      <c r="F2518" s="36">
        <f t="array" ref="F2518">XLOOKUP(A2518,IMDB_Movies!I$2:I$3493,IMDB_Movies!P$2:P$3493)</f>
        <v>17478175</v>
      </c>
    </row>
    <row r="2519">
      <c r="A2519" s="28" t="s">
        <v>8189</v>
      </c>
      <c r="B2519" s="35">
        <f t="array" ref="B2519">XLOOKUP(A2519,IMDB_Movies!I$2:I$3493,IMDB_Movies!Q$2:Q$3493)</f>
        <v>61682000</v>
      </c>
      <c r="E2519" s="28" t="s">
        <v>8189</v>
      </c>
      <c r="F2519" s="36">
        <f t="array" ref="F2519">XLOOKUP(A2519,IMDB_Movies!I$2:I$3493,IMDB_Movies!P$2:P$3493)</f>
        <v>0</v>
      </c>
    </row>
    <row r="2520">
      <c r="A2520" s="11" t="s">
        <v>8191</v>
      </c>
      <c r="B2520" s="35">
        <f t="array" ref="B2520">XLOOKUP(A2520,IMDB_Movies!I$2:I$3493,IMDB_Movies!Q$2:Q$3493)</f>
        <v>0</v>
      </c>
      <c r="E2520" s="11" t="s">
        <v>8191</v>
      </c>
      <c r="F2520" s="36">
        <f t="array" ref="F2520">XLOOKUP(A2520,IMDB_Movies!I$2:I$3493,IMDB_Movies!P$2:P$3493)</f>
        <v>35279690</v>
      </c>
    </row>
    <row r="2521">
      <c r="A2521" s="11" t="s">
        <v>8193</v>
      </c>
      <c r="B2521" s="35">
        <f t="array" ref="B2521">XLOOKUP(A2521,IMDB_Movies!I$2:I$3493,IMDB_Movies!Q$2:Q$3493)</f>
        <v>0</v>
      </c>
      <c r="E2521" s="11" t="s">
        <v>8193</v>
      </c>
      <c r="F2521" s="36">
        <f t="array" ref="F2521">XLOOKUP(A2521,IMDB_Movies!I$2:I$3493,IMDB_Movies!P$2:P$3493)</f>
        <v>2572742</v>
      </c>
    </row>
    <row r="2522">
      <c r="A2522" s="11" t="s">
        <v>8198</v>
      </c>
      <c r="B2522" s="35">
        <f t="array" ref="B2522">XLOOKUP(A2522,IMDB_Movies!I$2:I$3493,IMDB_Movies!Q$2:Q$3493)</f>
        <v>0</v>
      </c>
      <c r="E2522" s="11" t="s">
        <v>8198</v>
      </c>
      <c r="F2522" s="36">
        <f t="array" ref="F2522">XLOOKUP(A2522,IMDB_Movies!I$2:I$3493,IMDB_Movies!P$2:P$3493)</f>
        <v>1547570</v>
      </c>
    </row>
    <row r="2523">
      <c r="A2523" s="20" t="s">
        <v>8200</v>
      </c>
      <c r="B2523" s="35">
        <f t="array" ref="B2523">XLOOKUP(A2523,IMDB_Movies!I$2:I$3493,IMDB_Movies!Q$2:Q$3493)</f>
        <v>29067628</v>
      </c>
      <c r="E2523" s="20" t="s">
        <v>8200</v>
      </c>
      <c r="F2523" s="36">
        <f t="array" ref="F2523">XLOOKUP(A2523,IMDB_Movies!I$2:I$3493,IMDB_Movies!P$2:P$3493)</f>
        <v>0</v>
      </c>
    </row>
    <row r="2524">
      <c r="A2524" s="11" t="s">
        <v>8202</v>
      </c>
      <c r="B2524" s="35">
        <f t="array" ref="B2524">XLOOKUP(A2524,IMDB_Movies!I$2:I$3493,IMDB_Movies!Q$2:Q$3493)</f>
        <v>1951288</v>
      </c>
      <c r="E2524" s="11" t="s">
        <v>8202</v>
      </c>
      <c r="F2524" s="36">
        <f t="array" ref="F2524">XLOOKUP(A2524,IMDB_Movies!I$2:I$3493,IMDB_Movies!P$2:P$3493)</f>
        <v>0</v>
      </c>
    </row>
    <row r="2525">
      <c r="A2525" s="24" t="s">
        <v>8204</v>
      </c>
      <c r="B2525" s="35">
        <f t="array" ref="B2525">XLOOKUP(A2525,IMDB_Movies!I$2:I$3493,IMDB_Movies!Q$2:Q$3493)</f>
        <v>22520222</v>
      </c>
      <c r="E2525" s="24" t="s">
        <v>8204</v>
      </c>
      <c r="F2525" s="36">
        <f t="array" ref="F2525">XLOOKUP(A2525,IMDB_Movies!I$2:I$3493,IMDB_Movies!P$2:P$3493)</f>
        <v>0</v>
      </c>
    </row>
    <row r="2526">
      <c r="A2526" s="32" t="s">
        <v>8207</v>
      </c>
      <c r="B2526" s="35">
        <f t="array" ref="B2526">XLOOKUP(A2526,IMDB_Movies!I$2:I$3493,IMDB_Movies!Q$2:Q$3493)</f>
        <v>0</v>
      </c>
      <c r="E2526" s="32" t="s">
        <v>8207</v>
      </c>
      <c r="F2526" s="36">
        <f t="array" ref="F2526">XLOOKUP(A2526,IMDB_Movies!I$2:I$3493,IMDB_Movies!P$2:P$3493)</f>
        <v>1186670</v>
      </c>
    </row>
    <row r="2527">
      <c r="A2527" s="24" t="s">
        <v>8210</v>
      </c>
      <c r="B2527" s="35">
        <f t="array" ref="B2527">XLOOKUP(A2527,IMDB_Movies!I$2:I$3493,IMDB_Movies!Q$2:Q$3493)</f>
        <v>13571117</v>
      </c>
      <c r="E2527" s="24" t="s">
        <v>8210</v>
      </c>
      <c r="F2527" s="36">
        <f t="array" ref="F2527">XLOOKUP(A2527,IMDB_Movies!I$2:I$3493,IMDB_Movies!P$2:P$3493)</f>
        <v>0</v>
      </c>
    </row>
    <row r="2528">
      <c r="A2528" s="11" t="s">
        <v>8213</v>
      </c>
      <c r="B2528" s="35">
        <f t="array" ref="B2528">XLOOKUP(A2528,IMDB_Movies!I$2:I$3493,IMDB_Movies!Q$2:Q$3493)</f>
        <v>0</v>
      </c>
      <c r="E2528" s="11" t="s">
        <v>8213</v>
      </c>
      <c r="F2528" s="36">
        <f t="array" ref="F2528">XLOOKUP(A2528,IMDB_Movies!I$2:I$3493,IMDB_Movies!P$2:P$3493)</f>
        <v>76801374</v>
      </c>
    </row>
    <row r="2529">
      <c r="A2529" s="20" t="s">
        <v>8217</v>
      </c>
      <c r="B2529" s="35">
        <f t="array" ref="B2529">XLOOKUP(A2529,IMDB_Movies!I$2:I$3493,IMDB_Movies!Q$2:Q$3493)</f>
        <v>25318</v>
      </c>
      <c r="E2529" s="20" t="s">
        <v>8217</v>
      </c>
      <c r="F2529" s="36">
        <f t="array" ref="F2529">XLOOKUP(A2529,IMDB_Movies!I$2:I$3493,IMDB_Movies!P$2:P$3493)</f>
        <v>0</v>
      </c>
    </row>
    <row r="2530">
      <c r="A2530" s="20" t="s">
        <v>8219</v>
      </c>
      <c r="B2530" s="35">
        <f t="array" ref="B2530">XLOOKUP(A2530,IMDB_Movies!I$2:I$3493,IMDB_Movies!Q$2:Q$3493)</f>
        <v>38972251</v>
      </c>
      <c r="E2530" s="20" t="s">
        <v>8219</v>
      </c>
      <c r="F2530" s="36">
        <f t="array" ref="F2530">XLOOKUP(A2530,IMDB_Movies!I$2:I$3493,IMDB_Movies!P$2:P$3493)</f>
        <v>0</v>
      </c>
    </row>
    <row r="2531">
      <c r="A2531" s="11" t="s">
        <v>8221</v>
      </c>
      <c r="B2531" s="35">
        <f t="array" ref="B2531">XLOOKUP(A2531,IMDB_Movies!I$2:I$3493,IMDB_Movies!Q$2:Q$3493)</f>
        <v>19440070</v>
      </c>
      <c r="E2531" s="11" t="s">
        <v>8221</v>
      </c>
      <c r="F2531" s="36">
        <f t="array" ref="F2531">XLOOKUP(A2531,IMDB_Movies!I$2:I$3493,IMDB_Movies!P$2:P$3493)</f>
        <v>0</v>
      </c>
    </row>
    <row r="2532">
      <c r="A2532" s="20" t="s">
        <v>8224</v>
      </c>
      <c r="B2532" s="35">
        <f t="array" ref="B2532">XLOOKUP(A2532,IMDB_Movies!I$2:I$3493,IMDB_Movies!Q$2:Q$3493)</f>
        <v>0</v>
      </c>
      <c r="E2532" s="20" t="s">
        <v>8224</v>
      </c>
      <c r="F2532" s="36">
        <f t="array" ref="F2532">XLOOKUP(A2532,IMDB_Movies!I$2:I$3493,IMDB_Movies!P$2:P$3493)</f>
        <v>9053924</v>
      </c>
    </row>
    <row r="2533">
      <c r="A2533" s="11" t="s">
        <v>8228</v>
      </c>
      <c r="B2533" s="35">
        <f t="array" ref="B2533">XLOOKUP(A2533,IMDB_Movies!I$2:I$3493,IMDB_Movies!Q$2:Q$3493)</f>
        <v>2400149</v>
      </c>
      <c r="E2533" s="11" t="s">
        <v>8228</v>
      </c>
      <c r="F2533" s="36">
        <f t="array" ref="F2533">XLOOKUP(A2533,IMDB_Movies!I$2:I$3493,IMDB_Movies!P$2:P$3493)</f>
        <v>0</v>
      </c>
    </row>
    <row r="2534">
      <c r="A2534" s="11" t="s">
        <v>8230</v>
      </c>
      <c r="B2534" s="35">
        <f t="array" ref="B2534">XLOOKUP(A2534,IMDB_Movies!I$2:I$3493,IMDB_Movies!Q$2:Q$3493)</f>
        <v>0</v>
      </c>
      <c r="E2534" s="11" t="s">
        <v>8230</v>
      </c>
      <c r="F2534" s="36">
        <f t="array" ref="F2534">XLOOKUP(A2534,IMDB_Movies!I$2:I$3493,IMDB_Movies!P$2:P$3493)</f>
        <v>12313582</v>
      </c>
    </row>
    <row r="2535">
      <c r="A2535" s="11" t="s">
        <v>8233</v>
      </c>
      <c r="B2535" s="35">
        <f t="array" ref="B2535">XLOOKUP(A2535,IMDB_Movies!I$2:I$3493,IMDB_Movies!Q$2:Q$3493)</f>
        <v>62149904</v>
      </c>
      <c r="E2535" s="11" t="s">
        <v>8233</v>
      </c>
      <c r="F2535" s="36">
        <f t="array" ref="F2535">XLOOKUP(A2535,IMDB_Movies!I$2:I$3493,IMDB_Movies!P$2:P$3493)</f>
        <v>0</v>
      </c>
    </row>
    <row r="2536">
      <c r="A2536" s="11" t="s">
        <v>8235</v>
      </c>
      <c r="B2536" s="35">
        <f t="array" ref="B2536">XLOOKUP(A2536,IMDB_Movies!I$2:I$3493,IMDB_Movies!Q$2:Q$3493)</f>
        <v>0</v>
      </c>
      <c r="E2536" s="11" t="s">
        <v>8235</v>
      </c>
      <c r="F2536" s="36">
        <f t="array" ref="F2536">XLOOKUP(A2536,IMDB_Movies!I$2:I$3493,IMDB_Movies!P$2:P$3493)</f>
        <v>6415649</v>
      </c>
    </row>
    <row r="2537">
      <c r="A2537" s="20" t="s">
        <v>8238</v>
      </c>
      <c r="B2537" s="35">
        <f t="array" ref="B2537">XLOOKUP(A2537,IMDB_Movies!I$2:I$3493,IMDB_Movies!Q$2:Q$3493)</f>
        <v>0</v>
      </c>
      <c r="E2537" s="20" t="s">
        <v>8238</v>
      </c>
      <c r="F2537" s="36">
        <f t="array" ref="F2537">XLOOKUP(A2537,IMDB_Movies!I$2:I$3493,IMDB_Movies!P$2:P$3493)</f>
        <v>2411331</v>
      </c>
    </row>
    <row r="2538">
      <c r="A2538" s="20" t="s">
        <v>8241</v>
      </c>
      <c r="B2538" s="35">
        <f t="array" ref="B2538">XLOOKUP(A2538,IMDB_Movies!I$2:I$3493,IMDB_Movies!Q$2:Q$3493)</f>
        <v>14298357</v>
      </c>
      <c r="E2538" s="20" t="s">
        <v>8241</v>
      </c>
      <c r="F2538" s="36">
        <f t="array" ref="F2538">XLOOKUP(A2538,IMDB_Movies!I$2:I$3493,IMDB_Movies!P$2:P$3493)</f>
        <v>0</v>
      </c>
    </row>
    <row r="2539">
      <c r="A2539" s="11" t="s">
        <v>8245</v>
      </c>
      <c r="B2539" s="35">
        <f t="array" ref="B2539">XLOOKUP(A2539,IMDB_Movies!I$2:I$3493,IMDB_Movies!Q$2:Q$3493)</f>
        <v>57435963</v>
      </c>
      <c r="E2539" s="11" t="s">
        <v>8245</v>
      </c>
      <c r="F2539" s="36">
        <f t="array" ref="F2539">XLOOKUP(A2539,IMDB_Movies!I$2:I$3493,IMDB_Movies!P$2:P$3493)</f>
        <v>0</v>
      </c>
    </row>
    <row r="2540">
      <c r="A2540" s="20" t="s">
        <v>8247</v>
      </c>
      <c r="B2540" s="35">
        <f t="array" ref="B2540">XLOOKUP(A2540,IMDB_Movies!I$2:I$3493,IMDB_Movies!Q$2:Q$3493)</f>
        <v>0</v>
      </c>
      <c r="E2540" s="20" t="s">
        <v>8247</v>
      </c>
      <c r="F2540" s="36">
        <f t="array" ref="F2540">XLOOKUP(A2540,IMDB_Movies!I$2:I$3493,IMDB_Movies!P$2:P$3493)</f>
        <v>6280507</v>
      </c>
    </row>
    <row r="2541">
      <c r="A2541" s="11" t="s">
        <v>8250</v>
      </c>
      <c r="B2541" s="35">
        <f t="array" ref="B2541">XLOOKUP(A2541,IMDB_Movies!I$2:I$3493,IMDB_Movies!Q$2:Q$3493)</f>
        <v>0</v>
      </c>
      <c r="E2541" s="11" t="s">
        <v>8250</v>
      </c>
      <c r="F2541" s="36">
        <f t="array" ref="F2541">XLOOKUP(A2541,IMDB_Movies!I$2:I$3493,IMDB_Movies!P$2:P$3493)</f>
        <v>43806889</v>
      </c>
    </row>
    <row r="2542">
      <c r="A2542" s="11" t="s">
        <v>8254</v>
      </c>
      <c r="B2542" s="35">
        <f t="array" ref="B2542">XLOOKUP(A2542,IMDB_Movies!I$2:I$3493,IMDB_Movies!Q$2:Q$3493)</f>
        <v>2271261</v>
      </c>
      <c r="E2542" s="11" t="s">
        <v>8254</v>
      </c>
      <c r="F2542" s="36">
        <f t="array" ref="F2542">XLOOKUP(A2542,IMDB_Movies!I$2:I$3493,IMDB_Movies!P$2:P$3493)</f>
        <v>0</v>
      </c>
    </row>
    <row r="2543">
      <c r="A2543" s="11" t="s">
        <v>8256</v>
      </c>
      <c r="B2543" s="35">
        <f t="array" ref="B2543">XLOOKUP(A2543,IMDB_Movies!I$2:I$3493,IMDB_Movies!Q$2:Q$3493)</f>
        <v>0</v>
      </c>
      <c r="E2543" s="11" t="s">
        <v>8256</v>
      </c>
      <c r="F2543" s="36">
        <f t="array" ref="F2543">XLOOKUP(A2543,IMDB_Movies!I$2:I$3493,IMDB_Movies!P$2:P$3493)</f>
        <v>5583510</v>
      </c>
    </row>
    <row r="2544">
      <c r="A2544" s="28" t="s">
        <v>8259</v>
      </c>
      <c r="B2544" s="35">
        <f t="array" ref="B2544">XLOOKUP(A2544,IMDB_Movies!I$2:I$3493,IMDB_Movies!Q$2:Q$3493)</f>
        <v>84593638</v>
      </c>
      <c r="E2544" s="28" t="s">
        <v>8259</v>
      </c>
      <c r="F2544" s="36">
        <f t="array" ref="F2544">XLOOKUP(A2544,IMDB_Movies!I$2:I$3493,IMDB_Movies!P$2:P$3493)</f>
        <v>0</v>
      </c>
    </row>
    <row r="2545">
      <c r="A2545" s="28" t="s">
        <v>8263</v>
      </c>
      <c r="B2545" s="35">
        <f t="array" ref="B2545">XLOOKUP(A2545,IMDB_Movies!I$2:I$3493,IMDB_Movies!Q$2:Q$3493)</f>
        <v>15552522</v>
      </c>
      <c r="E2545" s="28" t="s">
        <v>8263</v>
      </c>
      <c r="F2545" s="36">
        <f t="array" ref="F2545">XLOOKUP(A2545,IMDB_Movies!I$2:I$3493,IMDB_Movies!P$2:P$3493)</f>
        <v>0</v>
      </c>
    </row>
    <row r="2546">
      <c r="A2546" s="24" t="s">
        <v>8265</v>
      </c>
      <c r="B2546" s="35">
        <f t="array" ref="B2546">XLOOKUP(A2546,IMDB_Movies!I$2:I$3493,IMDB_Movies!Q$2:Q$3493)</f>
        <v>0</v>
      </c>
      <c r="E2546" s="24" t="s">
        <v>8265</v>
      </c>
      <c r="F2546" s="36">
        <f t="array" ref="F2546">XLOOKUP(A2546,IMDB_Movies!I$2:I$3493,IMDB_Movies!P$2:P$3493)</f>
        <v>9300771</v>
      </c>
    </row>
    <row r="2547">
      <c r="A2547" s="11" t="s">
        <v>8268</v>
      </c>
      <c r="B2547" s="35">
        <f t="array" ref="B2547">XLOOKUP(A2547,IMDB_Movies!I$2:I$3493,IMDB_Movies!Q$2:Q$3493)</f>
        <v>24969837</v>
      </c>
      <c r="E2547" s="11" t="s">
        <v>8268</v>
      </c>
      <c r="F2547" s="36">
        <f t="array" ref="F2547">XLOOKUP(A2547,IMDB_Movies!I$2:I$3493,IMDB_Movies!P$2:P$3493)</f>
        <v>0</v>
      </c>
    </row>
    <row r="2548">
      <c r="A2548" s="11" t="s">
        <v>8271</v>
      </c>
      <c r="B2548" s="35">
        <f t="array" ref="B2548">XLOOKUP(A2548,IMDB_Movies!I$2:I$3493,IMDB_Movies!Q$2:Q$3493)</f>
        <v>2795501</v>
      </c>
      <c r="E2548" s="11" t="s">
        <v>8271</v>
      </c>
      <c r="F2548" s="36">
        <f t="array" ref="F2548">XLOOKUP(A2548,IMDB_Movies!I$2:I$3493,IMDB_Movies!P$2:P$3493)</f>
        <v>0</v>
      </c>
    </row>
    <row r="2549">
      <c r="A2549" s="11" t="s">
        <v>8274</v>
      </c>
      <c r="B2549" s="35">
        <f t="array" ref="B2549">XLOOKUP(A2549,IMDB_Movies!I$2:I$3493,IMDB_Movies!Q$2:Q$3493)</f>
        <v>2326217</v>
      </c>
      <c r="E2549" s="11" t="s">
        <v>8274</v>
      </c>
      <c r="F2549" s="36">
        <f t="array" ref="F2549">XLOOKUP(A2549,IMDB_Movies!I$2:I$3493,IMDB_Movies!P$2:P$3493)</f>
        <v>0</v>
      </c>
    </row>
    <row r="2550">
      <c r="A2550" s="11" t="s">
        <v>8276</v>
      </c>
      <c r="B2550" s="35">
        <f t="array" ref="B2550">XLOOKUP(A2550,IMDB_Movies!I$2:I$3493,IMDB_Movies!Q$2:Q$3493)</f>
        <v>0</v>
      </c>
      <c r="E2550" s="11" t="s">
        <v>8276</v>
      </c>
      <c r="F2550" s="36">
        <f t="array" ref="F2550">XLOOKUP(A2550,IMDB_Movies!I$2:I$3493,IMDB_Movies!P$2:P$3493)</f>
        <v>27002815</v>
      </c>
    </row>
    <row r="2551">
      <c r="A2551" s="24" t="s">
        <v>8280</v>
      </c>
      <c r="B2551" s="35">
        <f t="array" ref="B2551">XLOOKUP(A2551,IMDB_Movies!I$2:I$3493,IMDB_Movies!Q$2:Q$3493)</f>
        <v>2697796</v>
      </c>
      <c r="E2551" s="24" t="s">
        <v>8280</v>
      </c>
      <c r="F2551" s="36">
        <f t="array" ref="F2551">XLOOKUP(A2551,IMDB_Movies!I$2:I$3493,IMDB_Movies!P$2:P$3493)</f>
        <v>0</v>
      </c>
    </row>
    <row r="2552">
      <c r="A2552" s="32" t="s">
        <v>8284</v>
      </c>
      <c r="B2552" s="35">
        <f t="array" ref="B2552">XLOOKUP(A2552,IMDB_Movies!I$2:I$3493,IMDB_Movies!Q$2:Q$3493)</f>
        <v>401983</v>
      </c>
      <c r="E2552" s="32" t="s">
        <v>8284</v>
      </c>
      <c r="F2552" s="36">
        <f t="array" ref="F2552">XLOOKUP(A2552,IMDB_Movies!I$2:I$3493,IMDB_Movies!P$2:P$3493)</f>
        <v>0</v>
      </c>
    </row>
    <row r="2553">
      <c r="A2553" s="24" t="s">
        <v>8287</v>
      </c>
      <c r="B2553" s="35">
        <f t="array" ref="B2553">XLOOKUP(A2553,IMDB_Movies!I$2:I$3493,IMDB_Movies!Q$2:Q$3493)</f>
        <v>11500000</v>
      </c>
      <c r="E2553" s="24" t="s">
        <v>8287</v>
      </c>
      <c r="F2553" s="36">
        <f t="array" ref="F2553">XLOOKUP(A2553,IMDB_Movies!I$2:I$3493,IMDB_Movies!P$2:P$3493)</f>
        <v>0</v>
      </c>
    </row>
    <row r="2554">
      <c r="A2554" s="16" t="s">
        <v>8290</v>
      </c>
      <c r="B2554" s="35">
        <f t="array" ref="B2554">XLOOKUP(A2554,IMDB_Movies!I$2:I$3493,IMDB_Movies!Q$2:Q$3493)</f>
        <v>0</v>
      </c>
      <c r="E2554" s="16" t="s">
        <v>8290</v>
      </c>
      <c r="F2554" s="36">
        <f t="array" ref="F2554">XLOOKUP(A2554,IMDB_Movies!I$2:I$3493,IMDB_Movies!P$2:P$3493)</f>
        <v>17244913</v>
      </c>
    </row>
    <row r="2555">
      <c r="A2555" s="24" t="s">
        <v>8292</v>
      </c>
      <c r="B2555" s="35">
        <f t="array" ref="B2555">XLOOKUP(A2555,IMDB_Movies!I$2:I$3493,IMDB_Movies!Q$2:Q$3493)</f>
        <v>0</v>
      </c>
      <c r="E2555" s="24" t="s">
        <v>8292</v>
      </c>
      <c r="F2555" s="36">
        <f t="array" ref="F2555">XLOOKUP(A2555,IMDB_Movies!I$2:I$3493,IMDB_Movies!P$2:P$3493)</f>
        <v>120000989</v>
      </c>
    </row>
    <row r="2556">
      <c r="A2556" s="11" t="s">
        <v>8295</v>
      </c>
      <c r="B2556" s="35">
        <f t="array" ref="B2556">XLOOKUP(A2556,IMDB_Movies!I$2:I$3493,IMDB_Movies!Q$2:Q$3493)</f>
        <v>0</v>
      </c>
      <c r="E2556" s="11" t="s">
        <v>8295</v>
      </c>
      <c r="F2556" s="36">
        <f t="array" ref="F2556">XLOOKUP(A2556,IMDB_Movies!I$2:I$3493,IMDB_Movies!P$2:P$3493)</f>
        <v>7947763</v>
      </c>
    </row>
    <row r="2557">
      <c r="A2557" s="20" t="s">
        <v>8297</v>
      </c>
      <c r="B2557" s="35">
        <f t="array" ref="B2557">XLOOKUP(A2557,IMDB_Movies!I$2:I$3493,IMDB_Movies!Q$2:Q$3493)</f>
        <v>696442</v>
      </c>
      <c r="E2557" s="20" t="s">
        <v>8297</v>
      </c>
      <c r="F2557" s="36">
        <f t="array" ref="F2557">XLOOKUP(A2557,IMDB_Movies!I$2:I$3493,IMDB_Movies!P$2:P$3493)</f>
        <v>0</v>
      </c>
    </row>
    <row r="2558">
      <c r="A2558" s="20" t="s">
        <v>8300</v>
      </c>
      <c r="B2558" s="35">
        <f t="array" ref="B2558">XLOOKUP(A2558,IMDB_Movies!I$2:I$3493,IMDB_Movies!Q$2:Q$3493)</f>
        <v>10639221</v>
      </c>
      <c r="E2558" s="20" t="s">
        <v>8300</v>
      </c>
      <c r="F2558" s="36">
        <f t="array" ref="F2558">XLOOKUP(A2558,IMDB_Movies!I$2:I$3493,IMDB_Movies!P$2:P$3493)</f>
        <v>0</v>
      </c>
    </row>
    <row r="2559">
      <c r="A2559" s="11" t="s">
        <v>8303</v>
      </c>
      <c r="B2559" s="35">
        <f t="array" ref="B2559">XLOOKUP(A2559,IMDB_Movies!I$2:I$3493,IMDB_Movies!Q$2:Q$3493)</f>
        <v>0</v>
      </c>
      <c r="E2559" s="11" t="s">
        <v>8303</v>
      </c>
      <c r="F2559" s="36">
        <f t="array" ref="F2559">XLOOKUP(A2559,IMDB_Movies!I$2:I$3493,IMDB_Movies!P$2:P$3493)</f>
        <v>97992827</v>
      </c>
    </row>
    <row r="2560">
      <c r="A2560" s="11" t="s">
        <v>8306</v>
      </c>
      <c r="B2560" s="35">
        <f t="array" ref="B2560">XLOOKUP(A2560,IMDB_Movies!I$2:I$3493,IMDB_Movies!Q$2:Q$3493)</f>
        <v>0</v>
      </c>
      <c r="E2560" s="11" t="s">
        <v>8306</v>
      </c>
      <c r="F2560" s="36">
        <f t="array" ref="F2560">XLOOKUP(A2560,IMDB_Movies!I$2:I$3493,IMDB_Movies!P$2:P$3493)</f>
        <v>69413017</v>
      </c>
    </row>
    <row r="2561">
      <c r="A2561" s="24" t="s">
        <v>8308</v>
      </c>
      <c r="B2561" s="35">
        <f t="array" ref="B2561">XLOOKUP(A2561,IMDB_Movies!I$2:I$3493,IMDB_Movies!Q$2:Q$3493)</f>
        <v>0</v>
      </c>
      <c r="E2561" s="24" t="s">
        <v>8308</v>
      </c>
      <c r="F2561" s="36">
        <f t="array" ref="F2561">XLOOKUP(A2561,IMDB_Movies!I$2:I$3493,IMDB_Movies!P$2:P$3493)</f>
        <v>29041560</v>
      </c>
    </row>
    <row r="2562">
      <c r="A2562" s="24" t="s">
        <v>8311</v>
      </c>
      <c r="B2562" s="35">
        <f t="array" ref="B2562">XLOOKUP(A2562,IMDB_Movies!I$2:I$3493,IMDB_Movies!Q$2:Q$3493)</f>
        <v>0</v>
      </c>
      <c r="E2562" s="24" t="s">
        <v>8311</v>
      </c>
      <c r="F2562" s="36">
        <f t="array" ref="F2562">XLOOKUP(A2562,IMDB_Movies!I$2:I$3493,IMDB_Movies!P$2:P$3493)</f>
        <v>33305545</v>
      </c>
    </row>
    <row r="2563">
      <c r="A2563" s="11" t="s">
        <v>8313</v>
      </c>
      <c r="B2563" s="35">
        <f t="array" ref="B2563">XLOOKUP(A2563,IMDB_Movies!I$2:I$3493,IMDB_Movies!Q$2:Q$3493)</f>
        <v>0</v>
      </c>
      <c r="E2563" s="11" t="s">
        <v>8313</v>
      </c>
      <c r="F2563" s="36">
        <f t="array" ref="F2563">XLOOKUP(A2563,IMDB_Movies!I$2:I$3493,IMDB_Movies!P$2:P$3493)</f>
        <v>140381405</v>
      </c>
    </row>
    <row r="2564">
      <c r="A2564" s="24" t="s">
        <v>8315</v>
      </c>
      <c r="B2564" s="35">
        <f t="array" ref="B2564">XLOOKUP(A2564,IMDB_Movies!I$2:I$3493,IMDB_Movies!Q$2:Q$3493)</f>
        <v>0</v>
      </c>
      <c r="E2564" s="24" t="s">
        <v>8315</v>
      </c>
      <c r="F2564" s="36">
        <f t="array" ref="F2564">XLOOKUP(A2564,IMDB_Movies!I$2:I$3493,IMDB_Movies!P$2:P$3493)</f>
        <v>53618384</v>
      </c>
    </row>
    <row r="2565">
      <c r="A2565" s="11" t="s">
        <v>8318</v>
      </c>
      <c r="B2565" s="35">
        <f t="array" ref="B2565">XLOOKUP(A2565,IMDB_Movies!I$2:I$3493,IMDB_Movies!Q$2:Q$3493)</f>
        <v>0</v>
      </c>
      <c r="E2565" s="11" t="s">
        <v>8318</v>
      </c>
      <c r="F2565" s="36">
        <f t="array" ref="F2565">XLOOKUP(A2565,IMDB_Movies!I$2:I$3493,IMDB_Movies!P$2:P$3493)</f>
        <v>26363118</v>
      </c>
    </row>
    <row r="2566">
      <c r="A2566" s="20" t="s">
        <v>8322</v>
      </c>
      <c r="B2566" s="35">
        <f t="array" ref="B2566">XLOOKUP(A2566,IMDB_Movies!I$2:I$3493,IMDB_Movies!Q$2:Q$3493)</f>
        <v>0</v>
      </c>
      <c r="E2566" s="20" t="s">
        <v>8322</v>
      </c>
      <c r="F2566" s="36">
        <f t="array" ref="F2566">XLOOKUP(A2566,IMDB_Movies!I$2:I$3493,IMDB_Movies!P$2:P$3493)</f>
        <v>1161099</v>
      </c>
    </row>
    <row r="2567">
      <c r="A2567" s="20" t="s">
        <v>8324</v>
      </c>
      <c r="B2567" s="35">
        <f t="array" ref="B2567">XLOOKUP(A2567,IMDB_Movies!I$2:I$3493,IMDB_Movies!Q$2:Q$3493)</f>
        <v>0</v>
      </c>
      <c r="E2567" s="20" t="s">
        <v>8324</v>
      </c>
      <c r="F2567" s="36">
        <f t="array" ref="F2567">XLOOKUP(A2567,IMDB_Movies!I$2:I$3493,IMDB_Movies!P$2:P$3493)</f>
        <v>49273505</v>
      </c>
    </row>
    <row r="2568">
      <c r="A2568" s="20" t="s">
        <v>8326</v>
      </c>
      <c r="B2568" s="35">
        <f t="array" ref="B2568">XLOOKUP(A2568,IMDB_Movies!I$2:I$3493,IMDB_Movies!Q$2:Q$3493)</f>
        <v>0</v>
      </c>
      <c r="E2568" s="20" t="s">
        <v>8326</v>
      </c>
      <c r="F2568" s="36">
        <f t="array" ref="F2568">XLOOKUP(A2568,IMDB_Movies!I$2:I$3493,IMDB_Movies!P$2:P$3493)</f>
        <v>67900000</v>
      </c>
    </row>
    <row r="2569">
      <c r="A2569" s="24" t="s">
        <v>8329</v>
      </c>
      <c r="B2569" s="35">
        <f t="array" ref="B2569">XLOOKUP(A2569,IMDB_Movies!I$2:I$3493,IMDB_Movies!Q$2:Q$3493)</f>
        <v>0</v>
      </c>
      <c r="E2569" s="24" t="s">
        <v>8329</v>
      </c>
      <c r="F2569" s="36">
        <f t="array" ref="F2569">XLOOKUP(A2569,IMDB_Movies!I$2:I$3493,IMDB_Movies!P$2:P$3493)</f>
        <v>2570442</v>
      </c>
    </row>
    <row r="2570">
      <c r="A2570" s="11" t="s">
        <v>8331</v>
      </c>
      <c r="B2570" s="35">
        <f t="array" ref="B2570">XLOOKUP(A2570,IMDB_Movies!I$2:I$3493,IMDB_Movies!Q$2:Q$3493)</f>
        <v>0</v>
      </c>
      <c r="E2570" s="11" t="s">
        <v>8331</v>
      </c>
      <c r="F2570" s="36">
        <f t="array" ref="F2570">XLOOKUP(A2570,IMDB_Movies!I$2:I$3493,IMDB_Movies!P$2:P$3493)</f>
        <v>62624961</v>
      </c>
    </row>
    <row r="2571">
      <c r="A2571" s="11" t="s">
        <v>8334</v>
      </c>
      <c r="B2571" s="35">
        <f t="array" ref="B2571">XLOOKUP(A2571,IMDB_Movies!I$2:I$3493,IMDB_Movies!Q$2:Q$3493)</f>
        <v>13811358</v>
      </c>
      <c r="E2571" s="11" t="s">
        <v>8334</v>
      </c>
      <c r="F2571" s="36">
        <f t="array" ref="F2571">XLOOKUP(A2571,IMDB_Movies!I$2:I$3493,IMDB_Movies!P$2:P$3493)</f>
        <v>0</v>
      </c>
    </row>
    <row r="2572">
      <c r="A2572" s="20" t="s">
        <v>8337</v>
      </c>
      <c r="B2572" s="35">
        <f t="array" ref="B2572">XLOOKUP(A2572,IMDB_Movies!I$2:I$3493,IMDB_Movies!Q$2:Q$3493)</f>
        <v>0</v>
      </c>
      <c r="E2572" s="20" t="s">
        <v>8337</v>
      </c>
      <c r="F2572" s="36">
        <f t="array" ref="F2572">XLOOKUP(A2572,IMDB_Movies!I$2:I$3493,IMDB_Movies!P$2:P$3493)</f>
        <v>15645204</v>
      </c>
    </row>
    <row r="2573">
      <c r="A2573" s="32" t="s">
        <v>8339</v>
      </c>
      <c r="B2573" s="35">
        <f t="array" ref="B2573">XLOOKUP(A2573,IMDB_Movies!I$2:I$3493,IMDB_Movies!Q$2:Q$3493)</f>
        <v>56073614</v>
      </c>
      <c r="E2573" s="32" t="s">
        <v>8339</v>
      </c>
      <c r="F2573" s="36">
        <f t="array" ref="F2573">XLOOKUP(A2573,IMDB_Movies!I$2:I$3493,IMDB_Movies!P$2:P$3493)</f>
        <v>0</v>
      </c>
    </row>
    <row r="2574">
      <c r="A2574" s="20" t="s">
        <v>8341</v>
      </c>
      <c r="B2574" s="35">
        <f t="array" ref="B2574">XLOOKUP(A2574,IMDB_Movies!I$2:I$3493,IMDB_Movies!Q$2:Q$3493)</f>
        <v>6639805</v>
      </c>
      <c r="E2574" s="20" t="s">
        <v>8341</v>
      </c>
      <c r="F2574" s="36">
        <f t="array" ref="F2574">XLOOKUP(A2574,IMDB_Movies!I$2:I$3493,IMDB_Movies!P$2:P$3493)</f>
        <v>0</v>
      </c>
    </row>
    <row r="2575">
      <c r="A2575" s="11" t="s">
        <v>8345</v>
      </c>
      <c r="B2575" s="35">
        <f t="array" ref="B2575">XLOOKUP(A2575,IMDB_Movies!I$2:I$3493,IMDB_Movies!Q$2:Q$3493)</f>
        <v>0</v>
      </c>
      <c r="E2575" s="11" t="s">
        <v>8345</v>
      </c>
      <c r="F2575" s="36">
        <f t="array" ref="F2575">XLOOKUP(A2575,IMDB_Movies!I$2:I$3493,IMDB_Movies!P$2:P$3493)</f>
        <v>37239856</v>
      </c>
    </row>
    <row r="2576">
      <c r="A2576" s="24" t="s">
        <v>8349</v>
      </c>
      <c r="B2576" s="35">
        <f t="array" ref="B2576">XLOOKUP(A2576,IMDB_Movies!I$2:I$3493,IMDB_Movies!Q$2:Q$3493)</f>
        <v>13749680</v>
      </c>
      <c r="E2576" s="24" t="s">
        <v>8349</v>
      </c>
      <c r="F2576" s="36">
        <f t="array" ref="F2576">XLOOKUP(A2576,IMDB_Movies!I$2:I$3493,IMDB_Movies!P$2:P$3493)</f>
        <v>0</v>
      </c>
    </row>
    <row r="2577">
      <c r="A2577" s="20" t="s">
        <v>8351</v>
      </c>
      <c r="B2577" s="35">
        <f t="array" ref="B2577">XLOOKUP(A2577,IMDB_Movies!I$2:I$3493,IMDB_Movies!Q$2:Q$3493)</f>
        <v>6312165</v>
      </c>
      <c r="E2577" s="20" t="s">
        <v>8351</v>
      </c>
      <c r="F2577" s="36">
        <f t="array" ref="F2577">XLOOKUP(A2577,IMDB_Movies!I$2:I$3493,IMDB_Movies!P$2:P$3493)</f>
        <v>0</v>
      </c>
    </row>
    <row r="2578">
      <c r="A2578" s="16" t="s">
        <v>8354</v>
      </c>
      <c r="B2578" s="35">
        <f t="array" ref="B2578">XLOOKUP(A2578,IMDB_Movies!I$2:I$3493,IMDB_Movies!Q$2:Q$3493)</f>
        <v>0</v>
      </c>
      <c r="E2578" s="16" t="s">
        <v>8354</v>
      </c>
      <c r="F2578" s="36">
        <f t="array" ref="F2578">XLOOKUP(A2578,IMDB_Movies!I$2:I$3493,IMDB_Movies!P$2:P$3493)</f>
        <v>84122</v>
      </c>
    </row>
    <row r="2579">
      <c r="A2579" s="24" t="s">
        <v>8356</v>
      </c>
      <c r="B2579" s="35">
        <f t="array" ref="B2579">XLOOKUP(A2579,IMDB_Movies!I$2:I$3493,IMDB_Movies!Q$2:Q$3493)</f>
        <v>23463880</v>
      </c>
      <c r="E2579" s="24" t="s">
        <v>8356</v>
      </c>
      <c r="F2579" s="36">
        <f t="array" ref="F2579">XLOOKUP(A2579,IMDB_Movies!I$2:I$3493,IMDB_Movies!P$2:P$3493)</f>
        <v>0</v>
      </c>
    </row>
    <row r="2580">
      <c r="A2580" s="28" t="s">
        <v>8359</v>
      </c>
      <c r="B2580" s="35">
        <f t="array" ref="B2580">XLOOKUP(A2580,IMDB_Movies!I$2:I$3493,IMDB_Movies!Q$2:Q$3493)</f>
        <v>0</v>
      </c>
      <c r="E2580" s="28" t="s">
        <v>8359</v>
      </c>
      <c r="F2580" s="36">
        <f t="array" ref="F2580">XLOOKUP(A2580,IMDB_Movies!I$2:I$3493,IMDB_Movies!P$2:P$3493)</f>
        <v>17672350</v>
      </c>
    </row>
    <row r="2581">
      <c r="A2581" s="32" t="s">
        <v>8362</v>
      </c>
      <c r="B2581" s="35">
        <f t="array" ref="B2581">XLOOKUP(A2581,IMDB_Movies!I$2:I$3493,IMDB_Movies!Q$2:Q$3493)</f>
        <v>39371991</v>
      </c>
      <c r="E2581" s="32" t="s">
        <v>8362</v>
      </c>
      <c r="F2581" s="36">
        <f t="array" ref="F2581">XLOOKUP(A2581,IMDB_Movies!I$2:I$3493,IMDB_Movies!P$2:P$3493)</f>
        <v>0</v>
      </c>
    </row>
    <row r="2582">
      <c r="A2582" s="32" t="s">
        <v>8365</v>
      </c>
      <c r="B2582" s="35">
        <f t="array" ref="B2582">XLOOKUP(A2582,IMDB_Movies!I$2:I$3493,IMDB_Movies!Q$2:Q$3493)</f>
        <v>31631573</v>
      </c>
      <c r="E2582" s="32" t="s">
        <v>8365</v>
      </c>
      <c r="F2582" s="36">
        <f t="array" ref="F2582">XLOOKUP(A2582,IMDB_Movies!I$2:I$3493,IMDB_Movies!P$2:P$3493)</f>
        <v>0</v>
      </c>
    </row>
    <row r="2583">
      <c r="A2583" s="20" t="s">
        <v>8369</v>
      </c>
      <c r="B2583" s="35">
        <f t="array" ref="B2583">XLOOKUP(A2583,IMDB_Movies!I$2:I$3493,IMDB_Movies!Q$2:Q$3493)</f>
        <v>0</v>
      </c>
      <c r="E2583" s="20" t="s">
        <v>8369</v>
      </c>
      <c r="F2583" s="36">
        <f t="array" ref="F2583">XLOOKUP(A2583,IMDB_Movies!I$2:I$3493,IMDB_Movies!P$2:P$3493)</f>
        <v>24200000</v>
      </c>
    </row>
    <row r="2584">
      <c r="A2584" s="11" t="s">
        <v>8371</v>
      </c>
      <c r="B2584" s="35">
        <f t="array" ref="B2584">XLOOKUP(A2584,IMDB_Movies!I$2:I$3493,IMDB_Movies!Q$2:Q$3493)</f>
        <v>0</v>
      </c>
      <c r="E2584" s="11" t="s">
        <v>8371</v>
      </c>
      <c r="F2584" s="36">
        <f t="array" ref="F2584">XLOOKUP(A2584,IMDB_Movies!I$2:I$3493,IMDB_Movies!P$2:P$3493)</f>
        <v>111709845</v>
      </c>
    </row>
    <row r="2585">
      <c r="A2585" s="11" t="s">
        <v>8373</v>
      </c>
      <c r="B2585" s="35">
        <f t="array" ref="B2585">XLOOKUP(A2585,IMDB_Movies!I$2:I$3493,IMDB_Movies!Q$2:Q$3493)</f>
        <v>0</v>
      </c>
      <c r="E2585" s="11" t="s">
        <v>8373</v>
      </c>
      <c r="F2585" s="36">
        <f t="array" ref="F2585">XLOOKUP(A2585,IMDB_Movies!I$2:I$3493,IMDB_Movies!P$2:P$3493)</f>
        <v>31282411</v>
      </c>
    </row>
    <row r="2586">
      <c r="A2586" s="24" t="s">
        <v>8376</v>
      </c>
      <c r="B2586" s="35">
        <f t="array" ref="B2586">XLOOKUP(A2586,IMDB_Movies!I$2:I$3493,IMDB_Movies!Q$2:Q$3493)</f>
        <v>0</v>
      </c>
      <c r="E2586" s="24" t="s">
        <v>8376</v>
      </c>
      <c r="F2586" s="36">
        <f t="array" ref="F2586">XLOOKUP(A2586,IMDB_Movies!I$2:I$3493,IMDB_Movies!P$2:P$3493)</f>
        <v>49176215</v>
      </c>
    </row>
    <row r="2587">
      <c r="A2587" s="20" t="s">
        <v>8378</v>
      </c>
      <c r="B2587" s="35">
        <f t="array" ref="B2587">XLOOKUP(A2587,IMDB_Movies!I$2:I$3493,IMDB_Movies!Q$2:Q$3493)</f>
        <v>10886412</v>
      </c>
      <c r="E2587" s="20" t="s">
        <v>8378</v>
      </c>
      <c r="F2587" s="36">
        <f t="array" ref="F2587">XLOOKUP(A2587,IMDB_Movies!I$2:I$3493,IMDB_Movies!P$2:P$3493)</f>
        <v>0</v>
      </c>
    </row>
    <row r="2588">
      <c r="A2588" s="28" t="s">
        <v>8380</v>
      </c>
      <c r="B2588" s="35">
        <f t="array" ref="B2588">XLOOKUP(A2588,IMDB_Movies!I$2:I$3493,IMDB_Movies!Q$2:Q$3493)</f>
        <v>30915039</v>
      </c>
      <c r="E2588" s="28" t="s">
        <v>8380</v>
      </c>
      <c r="F2588" s="36">
        <f t="array" ref="F2588">XLOOKUP(A2588,IMDB_Movies!I$2:I$3493,IMDB_Movies!P$2:P$3493)</f>
        <v>0</v>
      </c>
    </row>
    <row r="2589">
      <c r="A2589" s="32" t="s">
        <v>8382</v>
      </c>
      <c r="B2589" s="35">
        <f t="array" ref="B2589">XLOOKUP(A2589,IMDB_Movies!I$2:I$3493,IMDB_Movies!Q$2:Q$3493)</f>
        <v>0</v>
      </c>
      <c r="E2589" s="32" t="s">
        <v>8382</v>
      </c>
      <c r="F2589" s="36">
        <f t="array" ref="F2589">XLOOKUP(A2589,IMDB_Movies!I$2:I$3493,IMDB_Movies!P$2:P$3493)</f>
        <v>68706165</v>
      </c>
    </row>
    <row r="2590">
      <c r="A2590" s="24" t="s">
        <v>8385</v>
      </c>
      <c r="B2590" s="35">
        <f t="array" ref="B2590">XLOOKUP(A2590,IMDB_Movies!I$2:I$3493,IMDB_Movies!Q$2:Q$3493)</f>
        <v>0</v>
      </c>
      <c r="E2590" s="24" t="s">
        <v>8385</v>
      </c>
      <c r="F2590" s="36">
        <f t="array" ref="F2590">XLOOKUP(A2590,IMDB_Movies!I$2:I$3493,IMDB_Movies!P$2:P$3493)</f>
        <v>16501098</v>
      </c>
    </row>
    <row r="2591">
      <c r="A2591" s="28" t="s">
        <v>8389</v>
      </c>
      <c r="B2591" s="35">
        <f t="array" ref="B2591">XLOOKUP(A2591,IMDB_Movies!I$2:I$3493,IMDB_Movies!Q$2:Q$3493)</f>
        <v>0</v>
      </c>
      <c r="E2591" s="28" t="s">
        <v>8389</v>
      </c>
      <c r="F2591" s="36">
        <f t="array" ref="F2591">XLOOKUP(A2591,IMDB_Movies!I$2:I$3493,IMDB_Movies!P$2:P$3493)</f>
        <v>24833860</v>
      </c>
    </row>
    <row r="2592">
      <c r="A2592" s="11" t="s">
        <v>8393</v>
      </c>
      <c r="B2592" s="35">
        <f t="array" ref="B2592">XLOOKUP(A2592,IMDB_Movies!I$2:I$3493,IMDB_Movies!Q$2:Q$3493)</f>
        <v>4692196</v>
      </c>
      <c r="E2592" s="11" t="s">
        <v>8393</v>
      </c>
      <c r="F2592" s="36">
        <f t="array" ref="F2592">XLOOKUP(A2592,IMDB_Movies!I$2:I$3493,IMDB_Movies!P$2:P$3493)</f>
        <v>0</v>
      </c>
    </row>
    <row r="2593">
      <c r="A2593" s="24" t="s">
        <v>8396</v>
      </c>
      <c r="B2593" s="35">
        <f t="array" ref="B2593">XLOOKUP(A2593,IMDB_Movies!I$2:I$3493,IMDB_Movies!Q$2:Q$3493)</f>
        <v>0</v>
      </c>
      <c r="E2593" s="24" t="s">
        <v>8396</v>
      </c>
      <c r="F2593" s="36">
        <f t="array" ref="F2593">XLOOKUP(A2593,IMDB_Movies!I$2:I$3493,IMDB_Movies!P$2:P$3493)</f>
        <v>42933793</v>
      </c>
    </row>
    <row r="2594">
      <c r="A2594" s="11" t="s">
        <v>8398</v>
      </c>
      <c r="B2594" s="35">
        <f t="array" ref="B2594">XLOOKUP(A2594,IMDB_Movies!I$2:I$3493,IMDB_Movies!Q$2:Q$3493)</f>
        <v>0</v>
      </c>
      <c r="E2594" s="11" t="s">
        <v>8398</v>
      </c>
      <c r="F2594" s="36">
        <f t="array" ref="F2594">XLOOKUP(A2594,IMDB_Movies!I$2:I$3493,IMDB_Movies!P$2:P$3493)</f>
        <v>286838870</v>
      </c>
    </row>
    <row r="2595">
      <c r="A2595" s="24" t="s">
        <v>8401</v>
      </c>
      <c r="B2595" s="35">
        <f t="array" ref="B2595">XLOOKUP(A2595,IMDB_Movies!I$2:I$3493,IMDB_Movies!Q$2:Q$3493)</f>
        <v>0</v>
      </c>
      <c r="E2595" s="24" t="s">
        <v>8401</v>
      </c>
      <c r="F2595" s="36">
        <f t="array" ref="F2595">XLOOKUP(A2595,IMDB_Movies!I$2:I$3493,IMDB_Movies!P$2:P$3493)</f>
        <v>138600000</v>
      </c>
    </row>
    <row r="2596">
      <c r="A2596" s="16" t="s">
        <v>8404</v>
      </c>
      <c r="B2596" s="35">
        <f t="array" ref="B2596">XLOOKUP(A2596,IMDB_Movies!I$2:I$3493,IMDB_Movies!Q$2:Q$3493)</f>
        <v>10806975</v>
      </c>
      <c r="E2596" s="16" t="s">
        <v>8404</v>
      </c>
      <c r="F2596" s="36">
        <f t="array" ref="F2596">XLOOKUP(A2596,IMDB_Movies!I$2:I$3493,IMDB_Movies!P$2:P$3493)</f>
        <v>0</v>
      </c>
    </row>
    <row r="2597">
      <c r="A2597" s="20" t="s">
        <v>8407</v>
      </c>
      <c r="B2597" s="35">
        <f t="array" ref="B2597">XLOOKUP(A2597,IMDB_Movies!I$2:I$3493,IMDB_Movies!Q$2:Q$3493)</f>
        <v>19034791</v>
      </c>
      <c r="E2597" s="20" t="s">
        <v>8407</v>
      </c>
      <c r="F2597" s="36">
        <f t="array" ref="F2597">XLOOKUP(A2597,IMDB_Movies!I$2:I$3493,IMDB_Movies!P$2:P$3493)</f>
        <v>0</v>
      </c>
    </row>
    <row r="2598">
      <c r="A2598" s="11" t="s">
        <v>8410</v>
      </c>
      <c r="B2598" s="35">
        <f t="array" ref="B2598">XLOOKUP(A2598,IMDB_Movies!I$2:I$3493,IMDB_Movies!Q$2:Q$3493)</f>
        <v>59973647</v>
      </c>
      <c r="E2598" s="11" t="s">
        <v>8410</v>
      </c>
      <c r="F2598" s="36">
        <f t="array" ref="F2598">XLOOKUP(A2598,IMDB_Movies!I$2:I$3493,IMDB_Movies!P$2:P$3493)</f>
        <v>0</v>
      </c>
    </row>
    <row r="2599">
      <c r="A2599" s="24" t="s">
        <v>8412</v>
      </c>
      <c r="B2599" s="35">
        <f t="array" ref="B2599">XLOOKUP(A2599,IMDB_Movies!I$2:I$3493,IMDB_Movies!Q$2:Q$3493)</f>
        <v>0</v>
      </c>
      <c r="E2599" s="24" t="s">
        <v>8412</v>
      </c>
      <c r="F2599" s="36">
        <f t="array" ref="F2599">XLOOKUP(A2599,IMDB_Movies!I$2:I$3493,IMDB_Movies!P$2:P$3493)</f>
        <v>13701902</v>
      </c>
    </row>
    <row r="2600">
      <c r="A2600" s="20" t="s">
        <v>8414</v>
      </c>
      <c r="B2600" s="35">
        <f t="array" ref="B2600">XLOOKUP(A2600,IMDB_Movies!I$2:I$3493,IMDB_Movies!Q$2:Q$3493)</f>
        <v>0</v>
      </c>
      <c r="E2600" s="20" t="s">
        <v>8414</v>
      </c>
      <c r="F2600" s="36">
        <f t="array" ref="F2600">XLOOKUP(A2600,IMDB_Movies!I$2:I$3493,IMDB_Movies!P$2:P$3493)</f>
        <v>10338609</v>
      </c>
    </row>
    <row r="2601">
      <c r="A2601" s="24" t="s">
        <v>8418</v>
      </c>
      <c r="B2601" s="35">
        <f t="array" ref="B2601">XLOOKUP(A2601,IMDB_Movies!I$2:I$3493,IMDB_Movies!Q$2:Q$3493)</f>
        <v>0</v>
      </c>
      <c r="E2601" s="24" t="s">
        <v>8418</v>
      </c>
      <c r="F2601" s="36">
        <f t="array" ref="F2601">XLOOKUP(A2601,IMDB_Movies!I$2:I$3493,IMDB_Movies!P$2:P$3493)</f>
        <v>30800000</v>
      </c>
    </row>
    <row r="2602">
      <c r="A2602" s="24" t="s">
        <v>8420</v>
      </c>
      <c r="B2602" s="35">
        <f t="array" ref="B2602">XLOOKUP(A2602,IMDB_Movies!I$2:I$3493,IMDB_Movies!Q$2:Q$3493)</f>
        <v>928770</v>
      </c>
      <c r="E2602" s="24" t="s">
        <v>8420</v>
      </c>
      <c r="F2602" s="36">
        <f t="array" ref="F2602">XLOOKUP(A2602,IMDB_Movies!I$2:I$3493,IMDB_Movies!P$2:P$3493)</f>
        <v>0</v>
      </c>
    </row>
    <row r="2603">
      <c r="A2603" s="16" t="s">
        <v>8424</v>
      </c>
      <c r="B2603" s="35">
        <f t="array" ref="B2603">XLOOKUP(A2603,IMDB_Movies!I$2:I$3493,IMDB_Movies!Q$2:Q$3493)</f>
        <v>2470843</v>
      </c>
      <c r="E2603" s="16" t="s">
        <v>8424</v>
      </c>
      <c r="F2603" s="36">
        <f t="array" ref="F2603">XLOOKUP(A2603,IMDB_Movies!I$2:I$3493,IMDB_Movies!P$2:P$3493)</f>
        <v>0</v>
      </c>
    </row>
    <row r="2604">
      <c r="A2604" s="11" t="s">
        <v>8427</v>
      </c>
      <c r="B2604" s="35">
        <f t="array" ref="B2604">XLOOKUP(A2604,IMDB_Movies!I$2:I$3493,IMDB_Movies!Q$2:Q$3493)</f>
        <v>338009</v>
      </c>
      <c r="E2604" s="11" t="s">
        <v>8427</v>
      </c>
      <c r="F2604" s="36">
        <f t="array" ref="F2604">XLOOKUP(A2604,IMDB_Movies!I$2:I$3493,IMDB_Movies!P$2:P$3493)</f>
        <v>0</v>
      </c>
    </row>
    <row r="2605">
      <c r="A2605" s="28" t="s">
        <v>8429</v>
      </c>
      <c r="B2605" s="35">
        <f t="array" ref="B2605">XLOOKUP(A2605,IMDB_Movies!I$2:I$3493,IMDB_Movies!Q$2:Q$3493)</f>
        <v>0</v>
      </c>
      <c r="E2605" s="28" t="s">
        <v>8429</v>
      </c>
      <c r="F2605" s="36">
        <f t="array" ref="F2605">XLOOKUP(A2605,IMDB_Movies!I$2:I$3493,IMDB_Movies!P$2:P$3493)</f>
        <v>9015786</v>
      </c>
    </row>
    <row r="2606">
      <c r="A2606" s="28" t="s">
        <v>8432</v>
      </c>
      <c r="B2606" s="35">
        <f t="array" ref="B2606">XLOOKUP(A2606,IMDB_Movies!I$2:I$3493,IMDB_Movies!Q$2:Q$3493)</f>
        <v>0</v>
      </c>
      <c r="E2606" s="28" t="s">
        <v>8432</v>
      </c>
      <c r="F2606" s="36">
        <f t="array" ref="F2606">XLOOKUP(A2606,IMDB_Movies!I$2:I$3493,IMDB_Movies!P$2:P$3493)</f>
        <v>77997349</v>
      </c>
    </row>
    <row r="2607">
      <c r="A2607" s="24" t="s">
        <v>8434</v>
      </c>
      <c r="B2607" s="35">
        <f t="array" ref="B2607">XLOOKUP(A2607,IMDB_Movies!I$2:I$3493,IMDB_Movies!Q$2:Q$3493)</f>
        <v>0</v>
      </c>
      <c r="E2607" s="24" t="s">
        <v>8434</v>
      </c>
      <c r="F2607" s="36">
        <f t="array" ref="F2607">XLOOKUP(A2607,IMDB_Movies!I$2:I$3493,IMDB_Movies!P$2:P$3493)</f>
        <v>41030827</v>
      </c>
    </row>
    <row r="2608">
      <c r="A2608" s="24" t="s">
        <v>8436</v>
      </c>
      <c r="B2608" s="35">
        <f t="array" ref="B2608">XLOOKUP(A2608,IMDB_Movies!I$2:I$3493,IMDB_Movies!Q$2:Q$3493)</f>
        <v>0</v>
      </c>
      <c r="E2608" s="24" t="s">
        <v>8436</v>
      </c>
      <c r="F2608" s="36">
        <f t="array" ref="F2608">XLOOKUP(A2608,IMDB_Movies!I$2:I$3493,IMDB_Movies!P$2:P$3493)</f>
        <v>33762229</v>
      </c>
    </row>
    <row r="2609">
      <c r="A2609" s="24" t="s">
        <v>8439</v>
      </c>
      <c r="B2609" s="35">
        <f t="array" ref="B2609">XLOOKUP(A2609,IMDB_Movies!I$2:I$3493,IMDB_Movies!Q$2:Q$3493)</f>
        <v>0</v>
      </c>
      <c r="E2609" s="24" t="s">
        <v>8439</v>
      </c>
      <c r="F2609" s="36">
        <f t="array" ref="F2609">XLOOKUP(A2609,IMDB_Movies!I$2:I$3493,IMDB_Movies!P$2:P$3493)</f>
        <v>34700000</v>
      </c>
    </row>
    <row r="2610">
      <c r="A2610" s="20" t="s">
        <v>8441</v>
      </c>
      <c r="B2610" s="35">
        <f t="array" ref="B2610">XLOOKUP(A2610,IMDB_Movies!I$2:I$3493,IMDB_Movies!Q$2:Q$3493)</f>
        <v>0</v>
      </c>
      <c r="E2610" s="20" t="s">
        <v>8441</v>
      </c>
      <c r="F2610" s="36">
        <f t="array" ref="F2610">XLOOKUP(A2610,IMDB_Movies!I$2:I$3493,IMDB_Movies!P$2:P$3493)</f>
        <v>33563158</v>
      </c>
    </row>
    <row r="2611">
      <c r="A2611" s="11" t="s">
        <v>8443</v>
      </c>
      <c r="B2611" s="35">
        <f t="array" ref="B2611">XLOOKUP(A2611,IMDB_Movies!I$2:I$3493,IMDB_Movies!Q$2:Q$3493)</f>
        <v>0</v>
      </c>
      <c r="E2611" s="11" t="s">
        <v>8443</v>
      </c>
      <c r="F2611" s="36">
        <f t="array" ref="F2611">XLOOKUP(A2611,IMDB_Movies!I$2:I$3493,IMDB_Movies!P$2:P$3493)</f>
        <v>4338033</v>
      </c>
    </row>
    <row r="2612">
      <c r="A2612" s="24" t="s">
        <v>8445</v>
      </c>
      <c r="B2612" s="35">
        <f t="array" ref="B2612">XLOOKUP(A2612,IMDB_Movies!I$2:I$3493,IMDB_Movies!Q$2:Q$3493)</f>
        <v>5755845</v>
      </c>
      <c r="E2612" s="24" t="s">
        <v>8445</v>
      </c>
      <c r="F2612" s="36">
        <f t="array" ref="F2612">XLOOKUP(A2612,IMDB_Movies!I$2:I$3493,IMDB_Movies!P$2:P$3493)</f>
        <v>0</v>
      </c>
    </row>
    <row r="2613">
      <c r="A2613" s="28" t="s">
        <v>8448</v>
      </c>
      <c r="B2613" s="35">
        <f t="array" ref="B2613">XLOOKUP(A2613,IMDB_Movies!I$2:I$3493,IMDB_Movies!Q$2:Q$3493)</f>
        <v>29304773</v>
      </c>
      <c r="E2613" s="28" t="s">
        <v>8448</v>
      </c>
      <c r="F2613" s="36">
        <f t="array" ref="F2613">XLOOKUP(A2613,IMDB_Movies!I$2:I$3493,IMDB_Movies!P$2:P$3493)</f>
        <v>0</v>
      </c>
    </row>
    <row r="2614">
      <c r="A2614" s="20" t="s">
        <v>8450</v>
      </c>
      <c r="B2614" s="35">
        <f t="array" ref="B2614">XLOOKUP(A2614,IMDB_Movies!I$2:I$3493,IMDB_Movies!Q$2:Q$3493)</f>
        <v>27024351</v>
      </c>
      <c r="E2614" s="20" t="s">
        <v>8450</v>
      </c>
      <c r="F2614" s="36">
        <f t="array" ref="F2614">XLOOKUP(A2614,IMDB_Movies!I$2:I$3493,IMDB_Movies!P$2:P$3493)</f>
        <v>0</v>
      </c>
    </row>
    <row r="2615">
      <c r="A2615" s="24" t="s">
        <v>8453</v>
      </c>
      <c r="B2615" s="35">
        <f t="array" ref="B2615">XLOOKUP(A2615,IMDB_Movies!I$2:I$3493,IMDB_Movies!Q$2:Q$3493)</f>
        <v>0</v>
      </c>
      <c r="E2615" s="24" t="s">
        <v>8453</v>
      </c>
      <c r="F2615" s="36">
        <f t="array" ref="F2615">XLOOKUP(A2615,IMDB_Movies!I$2:I$3493,IMDB_Movies!P$2:P$3493)</f>
        <v>13747385</v>
      </c>
    </row>
    <row r="2616">
      <c r="A2616" s="24" t="s">
        <v>8456</v>
      </c>
      <c r="B2616" s="35">
        <f t="array" ref="B2616">XLOOKUP(A2616,IMDB_Movies!I$2:I$3493,IMDB_Movies!Q$2:Q$3493)</f>
        <v>0</v>
      </c>
      <c r="E2616" s="24" t="s">
        <v>8456</v>
      </c>
      <c r="F2616" s="36">
        <f t="array" ref="F2616">XLOOKUP(A2616,IMDB_Movies!I$2:I$3493,IMDB_Movies!P$2:P$3493)</f>
        <v>1228120</v>
      </c>
    </row>
    <row r="2617">
      <c r="A2617" s="24" t="s">
        <v>8458</v>
      </c>
      <c r="B2617" s="35">
        <f t="array" ref="B2617">XLOOKUP(A2617,IMDB_Movies!I$2:I$3493,IMDB_Movies!Q$2:Q$3493)</f>
        <v>10660475</v>
      </c>
      <c r="E2617" s="24" t="s">
        <v>8458</v>
      </c>
      <c r="F2617" s="36">
        <f t="array" ref="F2617">XLOOKUP(A2617,IMDB_Movies!I$2:I$3493,IMDB_Movies!P$2:P$3493)</f>
        <v>0</v>
      </c>
    </row>
    <row r="2618">
      <c r="A2618" s="16" t="s">
        <v>8463</v>
      </c>
      <c r="B2618" s="35">
        <f t="array" ref="B2618">XLOOKUP(A2618,IMDB_Movies!I$2:I$3493,IMDB_Movies!Q$2:Q$3493)</f>
        <v>33873489</v>
      </c>
      <c r="E2618" s="16" t="s">
        <v>8463</v>
      </c>
      <c r="F2618" s="36">
        <f t="array" ref="F2618">XLOOKUP(A2618,IMDB_Movies!I$2:I$3493,IMDB_Movies!P$2:P$3493)</f>
        <v>0</v>
      </c>
    </row>
    <row r="2619">
      <c r="A2619" s="20" t="s">
        <v>8465</v>
      </c>
      <c r="B2619" s="35">
        <f t="array" ref="B2619">XLOOKUP(A2619,IMDB_Movies!I$2:I$3493,IMDB_Movies!Q$2:Q$3493)</f>
        <v>0</v>
      </c>
      <c r="E2619" s="20" t="s">
        <v>8465</v>
      </c>
      <c r="F2619" s="36">
        <f t="array" ref="F2619">XLOOKUP(A2619,IMDB_Movies!I$2:I$3493,IMDB_Movies!P$2:P$3493)</f>
        <v>46807024</v>
      </c>
    </row>
    <row r="2620">
      <c r="A2620" s="11" t="s">
        <v>8467</v>
      </c>
      <c r="B2620" s="35">
        <f t="array" ref="B2620">XLOOKUP(A2620,IMDB_Movies!I$2:I$3493,IMDB_Movies!Q$2:Q$3493)</f>
        <v>12785034</v>
      </c>
      <c r="E2620" s="11" t="s">
        <v>8467</v>
      </c>
      <c r="F2620" s="36">
        <f t="array" ref="F2620">XLOOKUP(A2620,IMDB_Movies!I$2:I$3493,IMDB_Movies!P$2:P$3493)</f>
        <v>0</v>
      </c>
    </row>
    <row r="2621">
      <c r="A2621" s="28" t="s">
        <v>8470</v>
      </c>
      <c r="B2621" s="35">
        <f t="array" ref="B2621">XLOOKUP(A2621,IMDB_Movies!I$2:I$3493,IMDB_Movies!Q$2:Q$3493)</f>
        <v>0</v>
      </c>
      <c r="E2621" s="28" t="s">
        <v>8470</v>
      </c>
      <c r="F2621" s="36">
        <f t="array" ref="F2621">XLOOKUP(A2621,IMDB_Movies!I$2:I$3493,IMDB_Movies!P$2:P$3493)</f>
        <v>16471430</v>
      </c>
    </row>
    <row r="2622">
      <c r="A2622" s="11" t="s">
        <v>8472</v>
      </c>
      <c r="B2622" s="35">
        <f t="array" ref="B2622">XLOOKUP(A2622,IMDB_Movies!I$2:I$3493,IMDB_Movies!Q$2:Q$3493)</f>
        <v>0</v>
      </c>
      <c r="E2622" s="11" t="s">
        <v>8472</v>
      </c>
      <c r="F2622" s="36">
        <f t="array" ref="F2622">XLOOKUP(A2622,IMDB_Movies!I$2:I$3493,IMDB_Movies!P$2:P$3493)</f>
        <v>24024969</v>
      </c>
    </row>
    <row r="2623">
      <c r="A2623" s="32" t="s">
        <v>8476</v>
      </c>
      <c r="B2623" s="35">
        <f t="array" ref="B2623">XLOOKUP(A2623,IMDB_Movies!I$2:I$3493,IMDB_Movies!Q$2:Q$3493)</f>
        <v>720718</v>
      </c>
      <c r="E2623" s="32" t="s">
        <v>8476</v>
      </c>
      <c r="F2623" s="36">
        <f t="array" ref="F2623">XLOOKUP(A2623,IMDB_Movies!I$2:I$3493,IMDB_Movies!P$2:P$3493)</f>
        <v>0</v>
      </c>
    </row>
    <row r="2624">
      <c r="A2624" s="28" t="s">
        <v>8479</v>
      </c>
      <c r="B2624" s="35">
        <f t="array" ref="B2624">XLOOKUP(A2624,IMDB_Movies!I$2:I$3493,IMDB_Movies!Q$2:Q$3493)</f>
        <v>21219958</v>
      </c>
      <c r="E2624" s="28" t="s">
        <v>8479</v>
      </c>
      <c r="F2624" s="36">
        <f t="array" ref="F2624">XLOOKUP(A2624,IMDB_Movies!I$2:I$3493,IMDB_Movies!P$2:P$3493)</f>
        <v>0</v>
      </c>
    </row>
    <row r="2625">
      <c r="A2625" s="24" t="s">
        <v>8481</v>
      </c>
      <c r="B2625" s="35">
        <f t="array" ref="B2625">XLOOKUP(A2625,IMDB_Movies!I$2:I$3493,IMDB_Movies!Q$2:Q$3493)</f>
        <v>39383131</v>
      </c>
      <c r="E2625" s="24" t="s">
        <v>8481</v>
      </c>
      <c r="F2625" s="36">
        <f t="array" ref="F2625">XLOOKUP(A2625,IMDB_Movies!I$2:I$3493,IMDB_Movies!P$2:P$3493)</f>
        <v>0</v>
      </c>
    </row>
    <row r="2626">
      <c r="A2626" s="11" t="s">
        <v>8483</v>
      </c>
      <c r="B2626" s="35">
        <f t="array" ref="B2626">XLOOKUP(A2626,IMDB_Movies!I$2:I$3493,IMDB_Movies!Q$2:Q$3493)</f>
        <v>45516179</v>
      </c>
      <c r="E2626" s="11" t="s">
        <v>8483</v>
      </c>
      <c r="F2626" s="36">
        <f t="array" ref="F2626">XLOOKUP(A2626,IMDB_Movies!I$2:I$3493,IMDB_Movies!P$2:P$3493)</f>
        <v>0</v>
      </c>
    </row>
    <row r="2627">
      <c r="A2627" s="32" t="s">
        <v>8485</v>
      </c>
      <c r="B2627" s="35">
        <f t="array" ref="B2627">XLOOKUP(A2627,IMDB_Movies!I$2:I$3493,IMDB_Movies!Q$2:Q$3493)</f>
        <v>0</v>
      </c>
      <c r="E2627" s="32" t="s">
        <v>8485</v>
      </c>
      <c r="F2627" s="36">
        <f t="array" ref="F2627">XLOOKUP(A2627,IMDB_Movies!I$2:I$3493,IMDB_Movies!P$2:P$3493)</f>
        <v>53500000</v>
      </c>
    </row>
    <row r="2628">
      <c r="A2628" s="11" t="s">
        <v>8487</v>
      </c>
      <c r="B2628" s="35">
        <f t="array" ref="B2628">XLOOKUP(A2628,IMDB_Movies!I$2:I$3493,IMDB_Movies!Q$2:Q$3493)</f>
        <v>9133222</v>
      </c>
      <c r="E2628" s="11" t="s">
        <v>8487</v>
      </c>
      <c r="F2628" s="36">
        <f t="array" ref="F2628">XLOOKUP(A2628,IMDB_Movies!I$2:I$3493,IMDB_Movies!P$2:P$3493)</f>
        <v>0</v>
      </c>
    </row>
    <row r="2629">
      <c r="A2629" s="28" t="s">
        <v>8489</v>
      </c>
      <c r="B2629" s="35">
        <f t="array" ref="B2629">XLOOKUP(A2629,IMDB_Movies!I$2:I$3493,IMDB_Movies!Q$2:Q$3493)</f>
        <v>0</v>
      </c>
      <c r="E2629" s="28" t="s">
        <v>8489</v>
      </c>
      <c r="F2629" s="36">
        <f t="array" ref="F2629">XLOOKUP(A2629,IMDB_Movies!I$2:I$3493,IMDB_Movies!P$2:P$3493)</f>
        <v>8400000</v>
      </c>
    </row>
    <row r="2630">
      <c r="A2630" s="32" t="s">
        <v>8492</v>
      </c>
      <c r="B2630" s="35">
        <f t="array" ref="B2630">XLOOKUP(A2630,IMDB_Movies!I$2:I$3493,IMDB_Movies!Q$2:Q$3493)</f>
        <v>0</v>
      </c>
      <c r="E2630" s="32" t="s">
        <v>8492</v>
      </c>
      <c r="F2630" s="36">
        <f t="array" ref="F2630">XLOOKUP(A2630,IMDB_Movies!I$2:I$3493,IMDB_Movies!P$2:P$3493)</f>
        <v>88166115</v>
      </c>
    </row>
    <row r="2631">
      <c r="A2631" s="32" t="s">
        <v>8495</v>
      </c>
      <c r="B2631" s="35">
        <f t="array" ref="B2631">XLOOKUP(A2631,IMDB_Movies!I$2:I$3493,IMDB_Movies!Q$2:Q$3493)</f>
        <v>0</v>
      </c>
      <c r="E2631" s="32" t="s">
        <v>8495</v>
      </c>
      <c r="F2631" s="36">
        <f t="array" ref="F2631">XLOOKUP(A2631,IMDB_Movies!I$2:I$3493,IMDB_Movies!P$2:P$3493)</f>
        <v>4806295</v>
      </c>
    </row>
    <row r="2632">
      <c r="A2632" s="11" t="s">
        <v>8497</v>
      </c>
      <c r="B2632" s="35">
        <f t="array" ref="B2632">XLOOKUP(A2632,IMDB_Movies!I$2:I$3493,IMDB_Movies!Q$2:Q$3493)</f>
        <v>0</v>
      </c>
      <c r="E2632" s="11" t="s">
        <v>8497</v>
      </c>
      <c r="F2632" s="36">
        <f t="array" ref="F2632">XLOOKUP(A2632,IMDB_Movies!I$2:I$3493,IMDB_Movies!P$2:P$3493)</f>
        <v>11384919</v>
      </c>
    </row>
    <row r="2633">
      <c r="A2633" s="24" t="s">
        <v>8501</v>
      </c>
      <c r="B2633" s="35">
        <f t="array" ref="B2633">XLOOKUP(A2633,IMDB_Movies!I$2:I$3493,IMDB_Movies!Q$2:Q$3493)</f>
        <v>10603058</v>
      </c>
      <c r="E2633" s="24" t="s">
        <v>8501</v>
      </c>
      <c r="F2633" s="36">
        <f t="array" ref="F2633">XLOOKUP(A2633,IMDB_Movies!I$2:I$3493,IMDB_Movies!P$2:P$3493)</f>
        <v>0</v>
      </c>
    </row>
    <row r="2634">
      <c r="A2634" s="11" t="s">
        <v>8505</v>
      </c>
      <c r="B2634" s="35">
        <f t="array" ref="B2634">XLOOKUP(A2634,IMDB_Movies!I$2:I$3493,IMDB_Movies!Q$2:Q$3493)</f>
        <v>2613590</v>
      </c>
      <c r="E2634" s="11" t="s">
        <v>8505</v>
      </c>
      <c r="F2634" s="36">
        <f t="array" ref="F2634">XLOOKUP(A2634,IMDB_Movies!I$2:I$3493,IMDB_Movies!P$2:P$3493)</f>
        <v>0</v>
      </c>
    </row>
    <row r="2635">
      <c r="A2635" s="28" t="s">
        <v>8509</v>
      </c>
      <c r="B2635" s="35">
        <f t="array" ref="B2635">XLOOKUP(A2635,IMDB_Movies!I$2:I$3493,IMDB_Movies!Q$2:Q$3493)</f>
        <v>0</v>
      </c>
      <c r="E2635" s="28" t="s">
        <v>8509</v>
      </c>
      <c r="F2635" s="36">
        <f t="array" ref="F2635">XLOOKUP(A2635,IMDB_Movies!I$2:I$3493,IMDB_Movies!P$2:P$3493)</f>
        <v>10555230</v>
      </c>
    </row>
    <row r="2636">
      <c r="A2636" s="28" t="s">
        <v>8512</v>
      </c>
      <c r="B2636" s="35">
        <f t="array" ref="B2636">XLOOKUP(A2636,IMDB_Movies!I$2:I$3493,IMDB_Movies!Q$2:Q$3493)</f>
        <v>0</v>
      </c>
      <c r="E2636" s="28" t="s">
        <v>8512</v>
      </c>
      <c r="F2636" s="36">
        <f t="array" ref="F2636">XLOOKUP(A2636,IMDB_Movies!I$2:I$3493,IMDB_Movies!P$2:P$3493)</f>
        <v>417760</v>
      </c>
    </row>
    <row r="2637">
      <c r="A2637" s="16" t="s">
        <v>8514</v>
      </c>
      <c r="B2637" s="35">
        <f t="array" ref="B2637">XLOOKUP(A2637,IMDB_Movies!I$2:I$3493,IMDB_Movies!Q$2:Q$3493)</f>
        <v>0</v>
      </c>
      <c r="E2637" s="16" t="s">
        <v>8514</v>
      </c>
      <c r="F2637" s="36">
        <f t="array" ref="F2637">XLOOKUP(A2637,IMDB_Movies!I$2:I$3493,IMDB_Movies!P$2:P$3493)</f>
        <v>33146000</v>
      </c>
    </row>
    <row r="2638">
      <c r="A2638" s="20" t="s">
        <v>8516</v>
      </c>
      <c r="B2638" s="35">
        <f t="array" ref="B2638">XLOOKUP(A2638,IMDB_Movies!I$2:I$3493,IMDB_Movies!Q$2:Q$3493)</f>
        <v>7998060</v>
      </c>
      <c r="E2638" s="20" t="s">
        <v>8516</v>
      </c>
      <c r="F2638" s="36">
        <f t="array" ref="F2638">XLOOKUP(A2638,IMDB_Movies!I$2:I$3493,IMDB_Movies!P$2:P$3493)</f>
        <v>0</v>
      </c>
    </row>
    <row r="2639">
      <c r="A2639" s="24" t="s">
        <v>8518</v>
      </c>
      <c r="B2639" s="35">
        <f t="array" ref="B2639">XLOOKUP(A2639,IMDB_Movies!I$2:I$3493,IMDB_Movies!Q$2:Q$3493)</f>
        <v>1117120</v>
      </c>
      <c r="E2639" s="24" t="s">
        <v>8518</v>
      </c>
      <c r="F2639" s="36">
        <f t="array" ref="F2639">XLOOKUP(A2639,IMDB_Movies!I$2:I$3493,IMDB_Movies!P$2:P$3493)</f>
        <v>0</v>
      </c>
    </row>
    <row r="2640">
      <c r="A2640" s="16" t="s">
        <v>8520</v>
      </c>
      <c r="B2640" s="35">
        <f t="array" ref="B2640">XLOOKUP(A2640,IMDB_Movies!I$2:I$3493,IMDB_Movies!Q$2:Q$3493)</f>
        <v>21441338</v>
      </c>
      <c r="E2640" s="16" t="s">
        <v>8520</v>
      </c>
      <c r="F2640" s="36">
        <f t="array" ref="F2640">XLOOKUP(A2640,IMDB_Movies!I$2:I$3493,IMDB_Movies!P$2:P$3493)</f>
        <v>0</v>
      </c>
    </row>
    <row r="2641">
      <c r="A2641" s="11" t="s">
        <v>8524</v>
      </c>
      <c r="B2641" s="35">
        <f t="array" ref="B2641">XLOOKUP(A2641,IMDB_Movies!I$2:I$3493,IMDB_Movies!Q$2:Q$3493)</f>
        <v>59977549</v>
      </c>
      <c r="E2641" s="11" t="s">
        <v>8524</v>
      </c>
      <c r="F2641" s="36">
        <f t="array" ref="F2641">XLOOKUP(A2641,IMDB_Movies!I$2:I$3493,IMDB_Movies!P$2:P$3493)</f>
        <v>0</v>
      </c>
    </row>
    <row r="2642">
      <c r="A2642" s="20" t="s">
        <v>8527</v>
      </c>
      <c r="B2642" s="35">
        <f t="array" ref="B2642">XLOOKUP(A2642,IMDB_Movies!I$2:I$3493,IMDB_Movies!Q$2:Q$3493)</f>
        <v>0</v>
      </c>
      <c r="E2642" s="20" t="s">
        <v>8527</v>
      </c>
      <c r="F2642" s="36">
        <f t="array" ref="F2642">XLOOKUP(A2642,IMDB_Movies!I$2:I$3493,IMDB_Movies!P$2:P$3493)</f>
        <v>44287414</v>
      </c>
    </row>
    <row r="2643">
      <c r="A2643" s="28" t="s">
        <v>8531</v>
      </c>
      <c r="B2643" s="35">
        <f t="array" ref="B2643">XLOOKUP(A2643,IMDB_Movies!I$2:I$3493,IMDB_Movies!Q$2:Q$3493)</f>
        <v>4995352</v>
      </c>
      <c r="E2643" s="28" t="s">
        <v>8531</v>
      </c>
      <c r="F2643" s="36">
        <f t="array" ref="F2643">XLOOKUP(A2643,IMDB_Movies!I$2:I$3493,IMDB_Movies!P$2:P$3493)</f>
        <v>0</v>
      </c>
    </row>
    <row r="2644">
      <c r="A2644" s="32" t="s">
        <v>8534</v>
      </c>
      <c r="B2644" s="35">
        <f t="array" ref="B2644">XLOOKUP(A2644,IMDB_Movies!I$2:I$3493,IMDB_Movies!Q$2:Q$3493)</f>
        <v>0</v>
      </c>
      <c r="E2644" s="32" t="s">
        <v>8534</v>
      </c>
      <c r="F2644" s="36">
        <f t="array" ref="F2644">XLOOKUP(A2644,IMDB_Movies!I$2:I$3493,IMDB_Movies!P$2:P$3493)</f>
        <v>7200000</v>
      </c>
    </row>
    <row r="2645">
      <c r="A2645" s="28" t="s">
        <v>8537</v>
      </c>
      <c r="B2645" s="35">
        <f t="array" ref="B2645">XLOOKUP(A2645,IMDB_Movies!I$2:I$3493,IMDB_Movies!Q$2:Q$3493)</f>
        <v>0</v>
      </c>
      <c r="E2645" s="28" t="s">
        <v>8537</v>
      </c>
      <c r="F2645" s="36">
        <f t="array" ref="F2645">XLOOKUP(A2645,IMDB_Movies!I$2:I$3493,IMDB_Movies!P$2:P$3493)</f>
        <v>38797148</v>
      </c>
    </row>
    <row r="2646">
      <c r="A2646" s="16" t="s">
        <v>8540</v>
      </c>
      <c r="B2646" s="35">
        <f t="array" ref="B2646">XLOOKUP(A2646,IMDB_Movies!I$2:I$3493,IMDB_Movies!Q$2:Q$3493)</f>
        <v>0</v>
      </c>
      <c r="E2646" s="16" t="s">
        <v>8540</v>
      </c>
      <c r="F2646" s="36">
        <f t="array" ref="F2646">XLOOKUP(A2646,IMDB_Movies!I$2:I$3493,IMDB_Movies!P$2:P$3493)</f>
        <v>15972187</v>
      </c>
    </row>
    <row r="2647">
      <c r="A2647" s="11" t="s">
        <v>8544</v>
      </c>
      <c r="B2647" s="35">
        <f t="array" ref="B2647">XLOOKUP(A2647,IMDB_Movies!I$2:I$3493,IMDB_Movies!Q$2:Q$3493)</f>
        <v>1870242</v>
      </c>
      <c r="E2647" s="11" t="s">
        <v>8544</v>
      </c>
      <c r="F2647" s="36">
        <f t="array" ref="F2647">XLOOKUP(A2647,IMDB_Movies!I$2:I$3493,IMDB_Movies!P$2:P$3493)</f>
        <v>0</v>
      </c>
    </row>
    <row r="2648">
      <c r="A2648" s="11" t="s">
        <v>8547</v>
      </c>
      <c r="B2648" s="35">
        <f t="array" ref="B2648">XLOOKUP(A2648,IMDB_Movies!I$2:I$3493,IMDB_Movies!Q$2:Q$3493)</f>
        <v>0</v>
      </c>
      <c r="E2648" s="11" t="s">
        <v>8547</v>
      </c>
      <c r="F2648" s="36">
        <f t="array" ref="F2648">XLOOKUP(A2648,IMDB_Movies!I$2:I$3493,IMDB_Movies!P$2:P$3493)</f>
        <v>7235267</v>
      </c>
    </row>
    <row r="2649">
      <c r="A2649" s="11" t="s">
        <v>8550</v>
      </c>
      <c r="B2649" s="35">
        <f t="array" ref="B2649">XLOOKUP(A2649,IMDB_Movies!I$2:I$3493,IMDB_Movies!Q$2:Q$3493)</f>
        <v>3600207</v>
      </c>
      <c r="E2649" s="11" t="s">
        <v>8550</v>
      </c>
      <c r="F2649" s="36">
        <f t="array" ref="F2649">XLOOKUP(A2649,IMDB_Movies!I$2:I$3493,IMDB_Movies!P$2:P$3493)</f>
        <v>0</v>
      </c>
    </row>
    <row r="2650">
      <c r="A2650" s="11" t="s">
        <v>8552</v>
      </c>
      <c r="B2650" s="35">
        <f t="array" ref="B2650">XLOOKUP(A2650,IMDB_Movies!I$2:I$3493,IMDB_Movies!Q$2:Q$3493)</f>
        <v>0</v>
      </c>
      <c r="E2650" s="11" t="s">
        <v>8552</v>
      </c>
      <c r="F2650" s="36">
        <f t="array" ref="F2650">XLOOKUP(A2650,IMDB_Movies!I$2:I$3493,IMDB_Movies!P$2:P$3493)</f>
        <v>27647595</v>
      </c>
    </row>
    <row r="2651">
      <c r="A2651" s="24" t="s">
        <v>8555</v>
      </c>
      <c r="B2651" s="35">
        <f t="array" ref="B2651">XLOOKUP(A2651,IMDB_Movies!I$2:I$3493,IMDB_Movies!Q$2:Q$3493)</f>
        <v>0</v>
      </c>
      <c r="E2651" s="24" t="s">
        <v>8555</v>
      </c>
      <c r="F2651" s="36">
        <f t="array" ref="F2651">XLOOKUP(A2651,IMDB_Movies!I$2:I$3493,IMDB_Movies!P$2:P$3493)</f>
        <v>25001065</v>
      </c>
    </row>
    <row r="2652">
      <c r="A2652" s="20" t="s">
        <v>8557</v>
      </c>
      <c r="B2652" s="35">
        <f t="array" ref="B2652">XLOOKUP(A2652,IMDB_Movies!I$2:I$3493,IMDB_Movies!Q$2:Q$3493)</f>
        <v>0</v>
      </c>
      <c r="E2652" s="20" t="s">
        <v>8557</v>
      </c>
      <c r="F2652" s="36">
        <f t="array" ref="F2652">XLOOKUP(A2652,IMDB_Movies!I$2:I$3493,IMDB_Movies!P$2:P$3493)</f>
        <v>66683135</v>
      </c>
    </row>
    <row r="2653">
      <c r="A2653" s="28" t="s">
        <v>8560</v>
      </c>
      <c r="B2653" s="35">
        <f t="array" ref="B2653">XLOOKUP(A2653,IMDB_Movies!I$2:I$3493,IMDB_Movies!Q$2:Q$3493)</f>
        <v>0</v>
      </c>
      <c r="E2653" s="28" t="s">
        <v>8560</v>
      </c>
      <c r="F2653" s="36">
        <f t="array" ref="F2653">XLOOKUP(A2653,IMDB_Movies!I$2:I$3493,IMDB_Movies!P$2:P$3493)</f>
        <v>177467</v>
      </c>
    </row>
    <row r="2654">
      <c r="A2654" s="11" t="s">
        <v>8563</v>
      </c>
      <c r="B2654" s="35">
        <f t="array" ref="B2654">XLOOKUP(A2654,IMDB_Movies!I$2:I$3493,IMDB_Movies!Q$2:Q$3493)</f>
        <v>799341</v>
      </c>
      <c r="E2654" s="11" t="s">
        <v>8563</v>
      </c>
      <c r="F2654" s="36">
        <f t="array" ref="F2654">XLOOKUP(A2654,IMDB_Movies!I$2:I$3493,IMDB_Movies!P$2:P$3493)</f>
        <v>0</v>
      </c>
    </row>
    <row r="2655">
      <c r="A2655" s="24" t="s">
        <v>8566</v>
      </c>
      <c r="B2655" s="35">
        <f t="array" ref="B2655">XLOOKUP(A2655,IMDB_Movies!I$2:I$3493,IMDB_Movies!Q$2:Q$3493)</f>
        <v>83287549</v>
      </c>
      <c r="E2655" s="24" t="s">
        <v>8566</v>
      </c>
      <c r="F2655" s="36">
        <f t="array" ref="F2655">XLOOKUP(A2655,IMDB_Movies!I$2:I$3493,IMDB_Movies!P$2:P$3493)</f>
        <v>0</v>
      </c>
    </row>
    <row r="2656">
      <c r="A2656" s="20" t="s">
        <v>8569</v>
      </c>
      <c r="B2656" s="35">
        <f t="array" ref="B2656">XLOOKUP(A2656,IMDB_Movies!I$2:I$3493,IMDB_Movies!Q$2:Q$3493)</f>
        <v>0</v>
      </c>
      <c r="E2656" s="20" t="s">
        <v>8569</v>
      </c>
      <c r="F2656" s="36">
        <f t="array" ref="F2656">XLOOKUP(A2656,IMDB_Movies!I$2:I$3493,IMDB_Movies!P$2:P$3493)</f>
        <v>50915214</v>
      </c>
    </row>
    <row r="2657">
      <c r="A2657" s="20" t="s">
        <v>8571</v>
      </c>
      <c r="B2657" s="35">
        <f t="array" ref="B2657">XLOOKUP(A2657,IMDB_Movies!I$2:I$3493,IMDB_Movies!Q$2:Q$3493)</f>
        <v>3385764</v>
      </c>
      <c r="E2657" s="20" t="s">
        <v>8571</v>
      </c>
      <c r="F2657" s="36">
        <f t="array" ref="F2657">XLOOKUP(A2657,IMDB_Movies!I$2:I$3493,IMDB_Movies!P$2:P$3493)</f>
        <v>0</v>
      </c>
    </row>
    <row r="2658">
      <c r="A2658" s="24" t="s">
        <v>8575</v>
      </c>
      <c r="B2658" s="35">
        <f t="array" ref="B2658">XLOOKUP(A2658,IMDB_Movies!I$2:I$3493,IMDB_Movies!Q$2:Q$3493)</f>
        <v>0</v>
      </c>
      <c r="E2658" s="24" t="s">
        <v>8575</v>
      </c>
      <c r="F2658" s="36">
        <f t="array" ref="F2658">XLOOKUP(A2658,IMDB_Movies!I$2:I$3493,IMDB_Movies!P$2:P$3493)</f>
        <v>10443603</v>
      </c>
    </row>
    <row r="2659">
      <c r="A2659" s="20" t="s">
        <v>8578</v>
      </c>
      <c r="B2659" s="35">
        <f t="array" ref="B2659">XLOOKUP(A2659,IMDB_Movies!I$2:I$3493,IMDB_Movies!Q$2:Q$3493)</f>
        <v>51975100</v>
      </c>
      <c r="E2659" s="20" t="s">
        <v>8578</v>
      </c>
      <c r="F2659" s="36">
        <f t="array" ref="F2659">XLOOKUP(A2659,IMDB_Movies!I$2:I$3493,IMDB_Movies!P$2:P$3493)</f>
        <v>0</v>
      </c>
    </row>
    <row r="2660">
      <c r="A2660" s="11" t="s">
        <v>8580</v>
      </c>
      <c r="B2660" s="35">
        <f t="array" ref="B2660">XLOOKUP(A2660,IMDB_Movies!I$2:I$3493,IMDB_Movies!Q$2:Q$3493)</f>
        <v>0</v>
      </c>
      <c r="E2660" s="11" t="s">
        <v>8580</v>
      </c>
      <c r="F2660" s="36">
        <f t="array" ref="F2660">XLOOKUP(A2660,IMDB_Movies!I$2:I$3493,IMDB_Movies!P$2:P$3493)</f>
        <v>6515579</v>
      </c>
    </row>
    <row r="2661">
      <c r="A2661" s="32" t="s">
        <v>8582</v>
      </c>
      <c r="B2661" s="35">
        <f t="array" ref="B2661">XLOOKUP(A2661,IMDB_Movies!I$2:I$3493,IMDB_Movies!Q$2:Q$3493)</f>
        <v>5719423</v>
      </c>
      <c r="E2661" s="32" t="s">
        <v>8582</v>
      </c>
      <c r="F2661" s="36">
        <f t="array" ref="F2661">XLOOKUP(A2661,IMDB_Movies!I$2:I$3493,IMDB_Movies!P$2:P$3493)</f>
        <v>0</v>
      </c>
    </row>
    <row r="2662">
      <c r="A2662" s="24" t="s">
        <v>8587</v>
      </c>
      <c r="B2662" s="35">
        <f t="array" ref="B2662">XLOOKUP(A2662,IMDB_Movies!I$2:I$3493,IMDB_Movies!Q$2:Q$3493)</f>
        <v>1569178</v>
      </c>
      <c r="E2662" s="24" t="s">
        <v>8587</v>
      </c>
      <c r="F2662" s="36">
        <f t="array" ref="F2662">XLOOKUP(A2662,IMDB_Movies!I$2:I$3493,IMDB_Movies!P$2:P$3493)</f>
        <v>0</v>
      </c>
    </row>
    <row r="2663">
      <c r="A2663" s="24" t="s">
        <v>8589</v>
      </c>
      <c r="B2663" s="35">
        <f t="array" ref="B2663">XLOOKUP(A2663,IMDB_Movies!I$2:I$3493,IMDB_Movies!Q$2:Q$3493)</f>
        <v>0</v>
      </c>
      <c r="E2663" s="24" t="s">
        <v>8589</v>
      </c>
      <c r="F2663" s="36">
        <f t="array" ref="F2663">XLOOKUP(A2663,IMDB_Movies!I$2:I$3493,IMDB_Movies!P$2:P$3493)</f>
        <v>7189039</v>
      </c>
    </row>
    <row r="2664">
      <c r="A2664" s="11" t="s">
        <v>8591</v>
      </c>
      <c r="B2664" s="35">
        <f t="array" ref="B2664">XLOOKUP(A2664,IMDB_Movies!I$2:I$3493,IMDB_Movies!Q$2:Q$3493)</f>
        <v>17843067</v>
      </c>
      <c r="E2664" s="11" t="s">
        <v>8591</v>
      </c>
      <c r="F2664" s="36">
        <f t="array" ref="F2664">XLOOKUP(A2664,IMDB_Movies!I$2:I$3493,IMDB_Movies!P$2:P$3493)</f>
        <v>0</v>
      </c>
    </row>
    <row r="2665">
      <c r="A2665" s="28" t="s">
        <v>8595</v>
      </c>
      <c r="B2665" s="35">
        <f t="array" ref="B2665">XLOOKUP(A2665,IMDB_Movies!I$2:I$3493,IMDB_Movies!Q$2:Q$3493)</f>
        <v>0</v>
      </c>
      <c r="E2665" s="28" t="s">
        <v>8595</v>
      </c>
      <c r="F2665" s="36">
        <f t="array" ref="F2665">XLOOKUP(A2665,IMDB_Movies!I$2:I$3493,IMDB_Movies!P$2:P$3493)</f>
        <v>55000000</v>
      </c>
    </row>
    <row r="2666">
      <c r="A2666" s="24" t="s">
        <v>8598</v>
      </c>
      <c r="B2666" s="35">
        <f t="array" ref="B2666">XLOOKUP(A2666,IMDB_Movies!I$2:I$3493,IMDB_Movies!Q$2:Q$3493)</f>
        <v>6012518</v>
      </c>
      <c r="E2666" s="24" t="s">
        <v>8598</v>
      </c>
      <c r="F2666" s="36">
        <f t="array" ref="F2666">XLOOKUP(A2666,IMDB_Movies!I$2:I$3493,IMDB_Movies!P$2:P$3493)</f>
        <v>0</v>
      </c>
    </row>
    <row r="2667">
      <c r="A2667" s="16" t="s">
        <v>8603</v>
      </c>
      <c r="B2667" s="35">
        <f t="array" ref="B2667">XLOOKUP(A2667,IMDB_Movies!I$2:I$3493,IMDB_Movies!Q$2:Q$3493)</f>
        <v>0</v>
      </c>
      <c r="E2667" s="16" t="s">
        <v>8603</v>
      </c>
      <c r="F2667" s="36">
        <f t="array" ref="F2667">XLOOKUP(A2667,IMDB_Movies!I$2:I$3493,IMDB_Movies!P$2:P$3493)</f>
        <v>615792</v>
      </c>
    </row>
    <row r="2668">
      <c r="A2668" s="28" t="s">
        <v>8605</v>
      </c>
      <c r="B2668" s="35">
        <f t="array" ref="B2668">XLOOKUP(A2668,IMDB_Movies!I$2:I$3493,IMDB_Movies!Q$2:Q$3493)</f>
        <v>0</v>
      </c>
      <c r="E2668" s="28" t="s">
        <v>8605</v>
      </c>
      <c r="F2668" s="36">
        <f t="array" ref="F2668">XLOOKUP(A2668,IMDB_Movies!I$2:I$3493,IMDB_Movies!P$2:P$3493)</f>
        <v>77001351</v>
      </c>
    </row>
    <row r="2669">
      <c r="A2669" s="11" t="s">
        <v>8609</v>
      </c>
      <c r="B2669" s="35">
        <f t="array" ref="B2669">XLOOKUP(A2669,IMDB_Movies!I$2:I$3493,IMDB_Movies!Q$2:Q$3493)</f>
        <v>631531</v>
      </c>
      <c r="E2669" s="11" t="s">
        <v>8609</v>
      </c>
      <c r="F2669" s="36">
        <f t="array" ref="F2669">XLOOKUP(A2669,IMDB_Movies!I$2:I$3493,IMDB_Movies!P$2:P$3493)</f>
        <v>0</v>
      </c>
    </row>
    <row r="2670">
      <c r="A2670" s="20" t="s">
        <v>8612</v>
      </c>
      <c r="B2670" s="35">
        <f t="array" ref="B2670">XLOOKUP(A2670,IMDB_Movies!I$2:I$3493,IMDB_Movies!Q$2:Q$3493)</f>
        <v>0</v>
      </c>
      <c r="E2670" s="20" t="s">
        <v>8612</v>
      </c>
      <c r="F2670" s="36">
        <f t="array" ref="F2670">XLOOKUP(A2670,IMDB_Movies!I$2:I$3493,IMDB_Movies!P$2:P$3493)</f>
        <v>79556401</v>
      </c>
    </row>
    <row r="2671">
      <c r="A2671" s="11" t="s">
        <v>8615</v>
      </c>
      <c r="B2671" s="35">
        <f t="array" ref="B2671">XLOOKUP(A2671,IMDB_Movies!I$2:I$3493,IMDB_Movies!Q$2:Q$3493)</f>
        <v>136702695</v>
      </c>
      <c r="E2671" s="11" t="s">
        <v>8615</v>
      </c>
      <c r="F2671" s="36">
        <f t="array" ref="F2671">XLOOKUP(A2671,IMDB_Movies!I$2:I$3493,IMDB_Movies!P$2:P$3493)</f>
        <v>0</v>
      </c>
    </row>
    <row r="2672">
      <c r="A2672" s="24" t="s">
        <v>8617</v>
      </c>
      <c r="B2672" s="35">
        <f t="array" ref="B2672">XLOOKUP(A2672,IMDB_Movies!I$2:I$3493,IMDB_Movies!Q$2:Q$3493)</f>
        <v>22509198</v>
      </c>
      <c r="E2672" s="24" t="s">
        <v>8617</v>
      </c>
      <c r="F2672" s="36">
        <f t="array" ref="F2672">XLOOKUP(A2672,IMDB_Movies!I$2:I$3493,IMDB_Movies!P$2:P$3493)</f>
        <v>0</v>
      </c>
    </row>
    <row r="2673">
      <c r="A2673" s="20" t="s">
        <v>8622</v>
      </c>
      <c r="B2673" s="35">
        <f t="array" ref="B2673">XLOOKUP(A2673,IMDB_Movies!I$2:I$3493,IMDB_Movies!Q$2:Q$3493)</f>
        <v>88202</v>
      </c>
      <c r="E2673" s="20" t="s">
        <v>8622</v>
      </c>
      <c r="F2673" s="36">
        <f t="array" ref="F2673">XLOOKUP(A2673,IMDB_Movies!I$2:I$3493,IMDB_Movies!P$2:P$3493)</f>
        <v>0</v>
      </c>
    </row>
    <row r="2674">
      <c r="A2674" s="16" t="s">
        <v>8626</v>
      </c>
      <c r="B2674" s="35">
        <f t="array" ref="B2674">XLOOKUP(A2674,IMDB_Movies!I$2:I$3493,IMDB_Movies!Q$2:Q$3493)</f>
        <v>0</v>
      </c>
      <c r="E2674" s="16" t="s">
        <v>8626</v>
      </c>
      <c r="F2674" s="36">
        <f t="array" ref="F2674">XLOOKUP(A2674,IMDB_Movies!I$2:I$3493,IMDB_Movies!P$2:P$3493)</f>
        <v>25660000</v>
      </c>
    </row>
    <row r="2675">
      <c r="A2675" s="24" t="s">
        <v>8628</v>
      </c>
      <c r="B2675" s="35">
        <f t="array" ref="B2675">XLOOKUP(A2675,IMDB_Movies!I$2:I$3493,IMDB_Movies!Q$2:Q$3493)</f>
        <v>1336492</v>
      </c>
      <c r="E2675" s="24" t="s">
        <v>8628</v>
      </c>
      <c r="F2675" s="36">
        <f t="array" ref="F2675">XLOOKUP(A2675,IMDB_Movies!I$2:I$3493,IMDB_Movies!P$2:P$3493)</f>
        <v>0</v>
      </c>
    </row>
    <row r="2676">
      <c r="A2676" s="11" t="s">
        <v>8630</v>
      </c>
      <c r="B2676" s="35">
        <f t="array" ref="B2676">XLOOKUP(A2676,IMDB_Movies!I$2:I$3493,IMDB_Movies!Q$2:Q$3493)</f>
        <v>36439040</v>
      </c>
      <c r="E2676" s="11" t="s">
        <v>8630</v>
      </c>
      <c r="F2676" s="36">
        <f t="array" ref="F2676">XLOOKUP(A2676,IMDB_Movies!I$2:I$3493,IMDB_Movies!P$2:P$3493)</f>
        <v>0</v>
      </c>
    </row>
    <row r="2677">
      <c r="A2677" s="11" t="s">
        <v>8633</v>
      </c>
      <c r="B2677" s="35">
        <f t="array" ref="B2677">XLOOKUP(A2677,IMDB_Movies!I$2:I$3493,IMDB_Movies!Q$2:Q$3493)</f>
        <v>0</v>
      </c>
      <c r="E2677" s="11" t="s">
        <v>8633</v>
      </c>
      <c r="F2677" s="36">
        <f t="array" ref="F2677">XLOOKUP(A2677,IMDB_Movies!I$2:I$3493,IMDB_Movies!P$2:P$3493)</f>
        <v>2831622</v>
      </c>
    </row>
    <row r="2678">
      <c r="A2678" s="20" t="s">
        <v>8635</v>
      </c>
      <c r="B2678" s="35">
        <f t="array" ref="B2678">XLOOKUP(A2678,IMDB_Movies!I$2:I$3493,IMDB_Movies!Q$2:Q$3493)</f>
        <v>0</v>
      </c>
      <c r="E2678" s="20" t="s">
        <v>8635</v>
      </c>
      <c r="F2678" s="36">
        <f t="array" ref="F2678">XLOOKUP(A2678,IMDB_Movies!I$2:I$3493,IMDB_Movies!P$2:P$3493)</f>
        <v>36636816</v>
      </c>
    </row>
    <row r="2679">
      <c r="A2679" s="16" t="s">
        <v>8640</v>
      </c>
      <c r="B2679" s="35">
        <f t="array" ref="B2679">XLOOKUP(A2679,IMDB_Movies!I$2:I$3493,IMDB_Movies!Q$2:Q$3493)</f>
        <v>2497745</v>
      </c>
      <c r="E2679" s="16" t="s">
        <v>8640</v>
      </c>
      <c r="F2679" s="36">
        <f t="array" ref="F2679">XLOOKUP(A2679,IMDB_Movies!I$2:I$3493,IMDB_Movies!P$2:P$3493)</f>
        <v>0</v>
      </c>
    </row>
    <row r="2680">
      <c r="A2680" s="20" t="s">
        <v>8645</v>
      </c>
      <c r="B2680" s="35">
        <f t="array" ref="B2680">XLOOKUP(A2680,IMDB_Movies!I$2:I$3493,IMDB_Movies!Q$2:Q$3493)</f>
        <v>59192738</v>
      </c>
      <c r="E2680" s="20" t="s">
        <v>8645</v>
      </c>
      <c r="F2680" s="36">
        <f t="array" ref="F2680">XLOOKUP(A2680,IMDB_Movies!I$2:I$3493,IMDB_Movies!P$2:P$3493)</f>
        <v>0</v>
      </c>
    </row>
    <row r="2681">
      <c r="A2681" s="11" t="s">
        <v>8647</v>
      </c>
      <c r="B2681" s="35">
        <f t="array" ref="B2681">XLOOKUP(A2681,IMDB_Movies!I$2:I$3493,IMDB_Movies!Q$2:Q$3493)</f>
        <v>0</v>
      </c>
      <c r="E2681" s="11" t="s">
        <v>8647</v>
      </c>
      <c r="F2681" s="36">
        <f t="array" ref="F2681">XLOOKUP(A2681,IMDB_Movies!I$2:I$3493,IMDB_Movies!P$2:P$3493)</f>
        <v>24335698</v>
      </c>
    </row>
    <row r="2682">
      <c r="A2682" s="20" t="s">
        <v>8650</v>
      </c>
      <c r="B2682" s="35">
        <f t="array" ref="B2682">XLOOKUP(A2682,IMDB_Movies!I$2:I$3493,IMDB_Movies!Q$2:Q$3493)</f>
        <v>0</v>
      </c>
      <c r="E2682" s="20" t="s">
        <v>8650</v>
      </c>
      <c r="F2682" s="36">
        <f t="array" ref="F2682">XLOOKUP(A2682,IMDB_Movies!I$2:I$3493,IMDB_Movies!P$2:P$3493)</f>
        <v>42369900</v>
      </c>
    </row>
    <row r="2683">
      <c r="A2683" s="16" t="s">
        <v>8652</v>
      </c>
      <c r="B2683" s="35">
        <f t="array" ref="B2683">XLOOKUP(A2683,IMDB_Movies!I$2:I$3493,IMDB_Movies!Q$2:Q$3493)</f>
        <v>0</v>
      </c>
      <c r="E2683" s="16" t="s">
        <v>8652</v>
      </c>
      <c r="F2683" s="36">
        <f t="array" ref="F2683">XLOOKUP(A2683,IMDB_Movies!I$2:I$3493,IMDB_Movies!P$2:P$3493)</f>
        <v>26766350</v>
      </c>
    </row>
    <row r="2684">
      <c r="A2684" s="11" t="s">
        <v>8654</v>
      </c>
      <c r="B2684" s="35">
        <f t="array" ref="B2684">XLOOKUP(A2684,IMDB_Movies!I$2:I$3493,IMDB_Movies!Q$2:Q$3493)</f>
        <v>5470983</v>
      </c>
      <c r="E2684" s="11" t="s">
        <v>8654</v>
      </c>
      <c r="F2684" s="36">
        <f t="array" ref="F2684">XLOOKUP(A2684,IMDB_Movies!I$2:I$3493,IMDB_Movies!P$2:P$3493)</f>
        <v>0</v>
      </c>
    </row>
    <row r="2685">
      <c r="A2685" s="20" t="s">
        <v>8656</v>
      </c>
      <c r="B2685" s="35">
        <f t="array" ref="B2685">XLOOKUP(A2685,IMDB_Movies!I$2:I$3493,IMDB_Movies!Q$2:Q$3493)</f>
        <v>49976894</v>
      </c>
      <c r="E2685" s="20" t="s">
        <v>8656</v>
      </c>
      <c r="F2685" s="36">
        <f t="array" ref="F2685">XLOOKUP(A2685,IMDB_Movies!I$2:I$3493,IMDB_Movies!P$2:P$3493)</f>
        <v>0</v>
      </c>
    </row>
    <row r="2686">
      <c r="A2686" s="28" t="s">
        <v>8659</v>
      </c>
      <c r="B2686" s="35">
        <f t="array" ref="B2686">XLOOKUP(A2686,IMDB_Movies!I$2:I$3493,IMDB_Movies!Q$2:Q$3493)</f>
        <v>0</v>
      </c>
      <c r="E2686" s="28" t="s">
        <v>8659</v>
      </c>
      <c r="F2686" s="36">
        <f t="array" ref="F2686">XLOOKUP(A2686,IMDB_Movies!I$2:I$3493,IMDB_Movies!P$2:P$3493)</f>
        <v>9536788</v>
      </c>
    </row>
    <row r="2687">
      <c r="A2687" s="16" t="s">
        <v>8661</v>
      </c>
      <c r="B2687" s="35">
        <f t="array" ref="B2687">XLOOKUP(A2687,IMDB_Movies!I$2:I$3493,IMDB_Movies!Q$2:Q$3493)</f>
        <v>0</v>
      </c>
      <c r="E2687" s="16" t="s">
        <v>8661</v>
      </c>
      <c r="F2687" s="36">
        <f t="array" ref="F2687">XLOOKUP(A2687,IMDB_Movies!I$2:I$3493,IMDB_Movies!P$2:P$3493)</f>
        <v>164406268</v>
      </c>
    </row>
    <row r="2688">
      <c r="A2688" s="11" t="s">
        <v>8665</v>
      </c>
      <c r="B2688" s="35">
        <f t="array" ref="B2688">XLOOKUP(A2688,IMDB_Movies!I$2:I$3493,IMDB_Movies!Q$2:Q$3493)</f>
        <v>2777139</v>
      </c>
      <c r="E2688" s="11" t="s">
        <v>8665</v>
      </c>
      <c r="F2688" s="36">
        <f t="array" ref="F2688">XLOOKUP(A2688,IMDB_Movies!I$2:I$3493,IMDB_Movies!P$2:P$3493)</f>
        <v>0</v>
      </c>
    </row>
    <row r="2689">
      <c r="A2689" s="20" t="s">
        <v>8667</v>
      </c>
      <c r="B2689" s="35">
        <f t="array" ref="B2689">XLOOKUP(A2689,IMDB_Movies!I$2:I$3493,IMDB_Movies!Q$2:Q$3493)</f>
        <v>2003560</v>
      </c>
      <c r="E2689" s="20" t="s">
        <v>8667</v>
      </c>
      <c r="F2689" s="36">
        <f t="array" ref="F2689">XLOOKUP(A2689,IMDB_Movies!I$2:I$3493,IMDB_Movies!P$2:P$3493)</f>
        <v>0</v>
      </c>
    </row>
    <row r="2690">
      <c r="A2690" s="24" t="s">
        <v>8669</v>
      </c>
      <c r="B2690" s="35">
        <f t="array" ref="B2690">XLOOKUP(A2690,IMDB_Movies!I$2:I$3493,IMDB_Movies!Q$2:Q$3493)</f>
        <v>41424284</v>
      </c>
      <c r="E2690" s="24" t="s">
        <v>8669</v>
      </c>
      <c r="F2690" s="36">
        <f t="array" ref="F2690">XLOOKUP(A2690,IMDB_Movies!I$2:I$3493,IMDB_Movies!P$2:P$3493)</f>
        <v>0</v>
      </c>
    </row>
    <row r="2691">
      <c r="A2691" s="32" t="s">
        <v>8673</v>
      </c>
      <c r="B2691" s="35">
        <f t="array" ref="B2691">XLOOKUP(A2691,IMDB_Movies!I$2:I$3493,IMDB_Movies!Q$2:Q$3493)</f>
        <v>2095743</v>
      </c>
      <c r="E2691" s="32" t="s">
        <v>8673</v>
      </c>
      <c r="F2691" s="36">
        <f t="array" ref="F2691">XLOOKUP(A2691,IMDB_Movies!I$2:I$3493,IMDB_Movies!P$2:P$3493)</f>
        <v>0</v>
      </c>
    </row>
    <row r="2692">
      <c r="A2692" s="28" t="s">
        <v>8676</v>
      </c>
      <c r="B2692" s="35">
        <f t="array" ref="B2692">XLOOKUP(A2692,IMDB_Movies!I$2:I$3493,IMDB_Movies!Q$2:Q$3493)</f>
        <v>0</v>
      </c>
      <c r="E2692" s="28" t="s">
        <v>8676</v>
      </c>
      <c r="F2692" s="36">
        <f t="array" ref="F2692">XLOOKUP(A2692,IMDB_Movies!I$2:I$3493,IMDB_Movies!P$2:P$3493)</f>
        <v>23818159</v>
      </c>
    </row>
    <row r="2693">
      <c r="A2693" s="11" t="s">
        <v>8681</v>
      </c>
      <c r="B2693" s="35">
        <f t="array" ref="B2693">XLOOKUP(A2693,IMDB_Movies!I$2:I$3493,IMDB_Movies!Q$2:Q$3493)</f>
        <v>198889</v>
      </c>
      <c r="E2693" s="11" t="s">
        <v>8681</v>
      </c>
      <c r="F2693" s="36">
        <f t="array" ref="F2693">XLOOKUP(A2693,IMDB_Movies!I$2:I$3493,IMDB_Movies!P$2:P$3493)</f>
        <v>0</v>
      </c>
    </row>
    <row r="2694">
      <c r="A2694" s="20" t="s">
        <v>8684</v>
      </c>
      <c r="B2694" s="35">
        <f t="array" ref="B2694">XLOOKUP(A2694,IMDB_Movies!I$2:I$3493,IMDB_Movies!Q$2:Q$3493)</f>
        <v>0</v>
      </c>
      <c r="E2694" s="20" t="s">
        <v>8684</v>
      </c>
      <c r="F2694" s="36">
        <f t="array" ref="F2694">XLOOKUP(A2694,IMDB_Movies!I$2:I$3493,IMDB_Movies!P$2:P$3493)</f>
        <v>262029560</v>
      </c>
    </row>
    <row r="2695">
      <c r="A2695" s="28" t="s">
        <v>8686</v>
      </c>
      <c r="B2695" s="35">
        <f t="array" ref="B2695">XLOOKUP(A2695,IMDB_Movies!I$2:I$3493,IMDB_Movies!Q$2:Q$3493)</f>
        <v>0</v>
      </c>
      <c r="E2695" s="28" t="s">
        <v>8686</v>
      </c>
      <c r="F2695" s="36">
        <f t="array" ref="F2695">XLOOKUP(A2695,IMDB_Movies!I$2:I$3493,IMDB_Movies!P$2:P$3493)</f>
        <v>52264926</v>
      </c>
    </row>
    <row r="2696">
      <c r="A2696" s="32" t="s">
        <v>8688</v>
      </c>
      <c r="B2696" s="35">
        <f t="array" ref="B2696">XLOOKUP(A2696,IMDB_Movies!I$2:I$3493,IMDB_Movies!Q$2:Q$3493)</f>
        <v>0</v>
      </c>
      <c r="E2696" s="32" t="s">
        <v>8688</v>
      </c>
      <c r="F2696" s="36">
        <f t="array" ref="F2696">XLOOKUP(A2696,IMDB_Movies!I$2:I$3493,IMDB_Movies!P$2:P$3493)</f>
        <v>59568845</v>
      </c>
    </row>
    <row r="2697">
      <c r="A2697" s="20" t="s">
        <v>8691</v>
      </c>
      <c r="B2697" s="35">
        <f t="array" ref="B2697">XLOOKUP(A2697,IMDB_Movies!I$2:I$3493,IMDB_Movies!Q$2:Q$3493)</f>
        <v>0</v>
      </c>
      <c r="E2697" s="20" t="s">
        <v>8691</v>
      </c>
      <c r="F2697" s="36">
        <f t="array" ref="F2697">XLOOKUP(A2697,IMDB_Movies!I$2:I$3493,IMDB_Movies!P$2:P$3493)</f>
        <v>112868837</v>
      </c>
    </row>
    <row r="2698">
      <c r="A2698" s="11" t="s">
        <v>8694</v>
      </c>
      <c r="B2698" s="35">
        <f t="array" ref="B2698">XLOOKUP(A2698,IMDB_Movies!I$2:I$3493,IMDB_Movies!Q$2:Q$3493)</f>
        <v>9767063</v>
      </c>
      <c r="E2698" s="11" t="s">
        <v>8694</v>
      </c>
      <c r="F2698" s="36">
        <f t="array" ref="F2698">XLOOKUP(A2698,IMDB_Movies!I$2:I$3493,IMDB_Movies!P$2:P$3493)</f>
        <v>0</v>
      </c>
    </row>
    <row r="2699">
      <c r="A2699" s="11" t="s">
        <v>8696</v>
      </c>
      <c r="B2699" s="35">
        <f t="array" ref="B2699">XLOOKUP(A2699,IMDB_Movies!I$2:I$3493,IMDB_Movies!Q$2:Q$3493)</f>
        <v>0</v>
      </c>
      <c r="E2699" s="11" t="s">
        <v>8696</v>
      </c>
      <c r="F2699" s="36">
        <f t="array" ref="F2699">XLOOKUP(A2699,IMDB_Movies!I$2:I$3493,IMDB_Movies!P$2:P$3493)</f>
        <v>56001698</v>
      </c>
    </row>
    <row r="2700">
      <c r="A2700" s="11" t="s">
        <v>8699</v>
      </c>
      <c r="B2700" s="35">
        <f t="array" ref="B2700">XLOOKUP(A2700,IMDB_Movies!I$2:I$3493,IMDB_Movies!Q$2:Q$3493)</f>
        <v>70868670</v>
      </c>
      <c r="E2700" s="11" t="s">
        <v>8699</v>
      </c>
      <c r="F2700" s="36">
        <f t="array" ref="F2700">XLOOKUP(A2700,IMDB_Movies!I$2:I$3493,IMDB_Movies!P$2:P$3493)</f>
        <v>0</v>
      </c>
    </row>
    <row r="2701">
      <c r="A2701" s="28" t="s">
        <v>8703</v>
      </c>
      <c r="B2701" s="35">
        <f t="array" ref="B2701">XLOOKUP(A2701,IMDB_Movies!I$2:I$3493,IMDB_Movies!Q$2:Q$3493)</f>
        <v>4231704</v>
      </c>
      <c r="E2701" s="28" t="s">
        <v>8703</v>
      </c>
      <c r="F2701" s="36">
        <f t="array" ref="F2701">XLOOKUP(A2701,IMDB_Movies!I$2:I$3493,IMDB_Movies!P$2:P$3493)</f>
        <v>0</v>
      </c>
    </row>
    <row r="2702">
      <c r="A2702" s="24" t="s">
        <v>8705</v>
      </c>
      <c r="B2702" s="35">
        <f t="array" ref="B2702">XLOOKUP(A2702,IMDB_Movies!I$2:I$3493,IMDB_Movies!Q$2:Q$3493)</f>
        <v>0</v>
      </c>
      <c r="E2702" s="24" t="s">
        <v>8705</v>
      </c>
      <c r="F2702" s="36">
        <f t="array" ref="F2702">XLOOKUP(A2702,IMDB_Movies!I$2:I$3493,IMDB_Movies!P$2:P$3493)</f>
        <v>115085755</v>
      </c>
    </row>
    <row r="2703">
      <c r="A2703" s="11" t="s">
        <v>8707</v>
      </c>
      <c r="B2703" s="35">
        <f t="array" ref="B2703">XLOOKUP(A2703,IMDB_Movies!I$2:I$3493,IMDB_Movies!Q$2:Q$3493)</f>
        <v>0</v>
      </c>
      <c r="E2703" s="11" t="s">
        <v>8707</v>
      </c>
      <c r="F2703" s="36">
        <f t="array" ref="F2703">XLOOKUP(A2703,IMDB_Movies!I$2:I$3493,IMDB_Movies!P$2:P$3493)</f>
        <v>36528842</v>
      </c>
    </row>
    <row r="2704">
      <c r="A2704" s="16" t="s">
        <v>8709</v>
      </c>
      <c r="B2704" s="35">
        <f t="array" ref="B2704">XLOOKUP(A2704,IMDB_Movies!I$2:I$3493,IMDB_Movies!Q$2:Q$3493)</f>
        <v>0</v>
      </c>
      <c r="E2704" s="16" t="s">
        <v>8709</v>
      </c>
      <c r="F2704" s="36">
        <f t="array" ref="F2704">XLOOKUP(A2704,IMDB_Movies!I$2:I$3493,IMDB_Movies!P$2:P$3493)</f>
        <v>55370362</v>
      </c>
    </row>
    <row r="2705">
      <c r="A2705" s="32" t="s">
        <v>8712</v>
      </c>
      <c r="B2705" s="35">
        <f t="array" ref="B2705">XLOOKUP(A2705,IMDB_Movies!I$2:I$3493,IMDB_Movies!Q$2:Q$3493)</f>
        <v>0</v>
      </c>
      <c r="E2705" s="32" t="s">
        <v>8712</v>
      </c>
      <c r="F2705" s="36">
        <f t="array" ref="F2705">XLOOKUP(A2705,IMDB_Movies!I$2:I$3493,IMDB_Movies!P$2:P$3493)</f>
        <v>226950375</v>
      </c>
    </row>
    <row r="2706">
      <c r="A2706" s="11" t="s">
        <v>8714</v>
      </c>
      <c r="B2706" s="35">
        <f t="array" ref="B2706">XLOOKUP(A2706,IMDB_Movies!I$2:I$3493,IMDB_Movies!Q$2:Q$3493)</f>
        <v>28419913</v>
      </c>
      <c r="E2706" s="11" t="s">
        <v>8714</v>
      </c>
      <c r="F2706" s="36">
        <f t="array" ref="F2706">XLOOKUP(A2706,IMDB_Movies!I$2:I$3493,IMDB_Movies!P$2:P$3493)</f>
        <v>0</v>
      </c>
    </row>
    <row r="2707">
      <c r="A2707" s="24" t="s">
        <v>8716</v>
      </c>
      <c r="B2707" s="35">
        <f t="array" ref="B2707">XLOOKUP(A2707,IMDB_Movies!I$2:I$3493,IMDB_Movies!Q$2:Q$3493)</f>
        <v>0</v>
      </c>
      <c r="E2707" s="24" t="s">
        <v>8716</v>
      </c>
      <c r="F2707" s="36">
        <f t="array" ref="F2707">XLOOKUP(A2707,IMDB_Movies!I$2:I$3493,IMDB_Movies!P$2:P$3493)</f>
        <v>157197282</v>
      </c>
    </row>
    <row r="2708">
      <c r="A2708" s="11" t="s">
        <v>8719</v>
      </c>
      <c r="B2708" s="35">
        <f t="array" ref="B2708">XLOOKUP(A2708,IMDB_Movies!I$2:I$3493,IMDB_Movies!Q$2:Q$3493)</f>
        <v>0</v>
      </c>
      <c r="E2708" s="11" t="s">
        <v>8719</v>
      </c>
      <c r="F2708" s="36">
        <f t="array" ref="F2708">XLOOKUP(A2708,IMDB_Movies!I$2:I$3493,IMDB_Movies!P$2:P$3493)</f>
        <v>4185387</v>
      </c>
    </row>
    <row r="2709">
      <c r="A2709" s="32" t="s">
        <v>8722</v>
      </c>
      <c r="B2709" s="35">
        <f t="array" ref="B2709">XLOOKUP(A2709,IMDB_Movies!I$2:I$3493,IMDB_Movies!Q$2:Q$3493)</f>
        <v>0</v>
      </c>
      <c r="E2709" s="32" t="s">
        <v>8722</v>
      </c>
      <c r="F2709" s="36">
        <f t="array" ref="F2709">XLOOKUP(A2709,IMDB_Movies!I$2:I$3493,IMDB_Movies!P$2:P$3493)</f>
        <v>10566655</v>
      </c>
    </row>
    <row r="2710">
      <c r="A2710" s="20" t="s">
        <v>8725</v>
      </c>
      <c r="B2710" s="35">
        <f t="array" ref="B2710">XLOOKUP(A2710,IMDB_Movies!I$2:I$3493,IMDB_Movies!Q$2:Q$3493)</f>
        <v>10217492</v>
      </c>
      <c r="E2710" s="20" t="s">
        <v>8725</v>
      </c>
      <c r="F2710" s="36">
        <f t="array" ref="F2710">XLOOKUP(A2710,IMDB_Movies!I$2:I$3493,IMDB_Movies!P$2:P$3493)</f>
        <v>0</v>
      </c>
    </row>
    <row r="2711">
      <c r="A2711" s="20" t="s">
        <v>8727</v>
      </c>
      <c r="B2711" s="35">
        <f t="array" ref="B2711">XLOOKUP(A2711,IMDB_Movies!I$2:I$3493,IMDB_Movies!Q$2:Q$3493)</f>
        <v>36894400</v>
      </c>
      <c r="E2711" s="20" t="s">
        <v>8727</v>
      </c>
      <c r="F2711" s="36">
        <f t="array" ref="F2711">XLOOKUP(A2711,IMDB_Movies!I$2:I$3493,IMDB_Movies!P$2:P$3493)</f>
        <v>0</v>
      </c>
    </row>
    <row r="2712">
      <c r="A2712" s="20" t="s">
        <v>8729</v>
      </c>
      <c r="B2712" s="35">
        <f t="array" ref="B2712">XLOOKUP(A2712,IMDB_Movies!I$2:I$3493,IMDB_Movies!Q$2:Q$3493)</f>
        <v>0</v>
      </c>
      <c r="E2712" s="20" t="s">
        <v>8729</v>
      </c>
      <c r="F2712" s="36">
        <f t="array" ref="F2712">XLOOKUP(A2712,IMDB_Movies!I$2:I$3493,IMDB_Movies!P$2:P$3493)</f>
        <v>24812241</v>
      </c>
    </row>
    <row r="2713">
      <c r="A2713" s="32" t="s">
        <v>8731</v>
      </c>
      <c r="B2713" s="35">
        <f t="array" ref="B2713">XLOOKUP(A2713,IMDB_Movies!I$2:I$3493,IMDB_Movies!Q$2:Q$3493)</f>
        <v>0</v>
      </c>
      <c r="E2713" s="32" t="s">
        <v>8731</v>
      </c>
      <c r="F2713" s="36">
        <f t="array" ref="F2713">XLOOKUP(A2713,IMDB_Movies!I$2:I$3493,IMDB_Movies!P$2:P$3493)</f>
        <v>67458785</v>
      </c>
    </row>
    <row r="2714">
      <c r="A2714" s="20" t="s">
        <v>8734</v>
      </c>
      <c r="B2714" s="35">
        <f t="array" ref="B2714">XLOOKUP(A2714,IMDB_Movies!I$2:I$3493,IMDB_Movies!Q$2:Q$3493)</f>
        <v>586507</v>
      </c>
      <c r="E2714" s="20" t="s">
        <v>8734</v>
      </c>
      <c r="F2714" s="36">
        <f t="array" ref="F2714">XLOOKUP(A2714,IMDB_Movies!I$2:I$3493,IMDB_Movies!P$2:P$3493)</f>
        <v>0</v>
      </c>
    </row>
    <row r="2715">
      <c r="A2715" s="11" t="s">
        <v>8737</v>
      </c>
      <c r="B2715" s="35">
        <f t="array" ref="B2715">XLOOKUP(A2715,IMDB_Movies!I$2:I$3493,IMDB_Movies!Q$2:Q$3493)</f>
        <v>44951668</v>
      </c>
      <c r="E2715" s="11" t="s">
        <v>8737</v>
      </c>
      <c r="F2715" s="36">
        <f t="array" ref="F2715">XLOOKUP(A2715,IMDB_Movies!I$2:I$3493,IMDB_Movies!P$2:P$3493)</f>
        <v>0</v>
      </c>
    </row>
    <row r="2716">
      <c r="A2716" s="20" t="s">
        <v>8740</v>
      </c>
      <c r="B2716" s="35">
        <f t="array" ref="B2716">XLOOKUP(A2716,IMDB_Movies!I$2:I$3493,IMDB_Movies!Q$2:Q$3493)</f>
        <v>0</v>
      </c>
      <c r="E2716" s="20" t="s">
        <v>8740</v>
      </c>
      <c r="F2716" s="36">
        <f t="array" ref="F2716">XLOOKUP(A2716,IMDB_Movies!I$2:I$3493,IMDB_Movies!P$2:P$3493)</f>
        <v>13894863</v>
      </c>
    </row>
    <row r="2717">
      <c r="A2717" s="32" t="s">
        <v>8743</v>
      </c>
      <c r="B2717" s="35">
        <f t="array" ref="B2717">XLOOKUP(A2717,IMDB_Movies!I$2:I$3493,IMDB_Movies!Q$2:Q$3493)</f>
        <v>24878709</v>
      </c>
      <c r="E2717" s="32" t="s">
        <v>8743</v>
      </c>
      <c r="F2717" s="36">
        <f t="array" ref="F2717">XLOOKUP(A2717,IMDB_Movies!I$2:I$3493,IMDB_Movies!P$2:P$3493)</f>
        <v>0</v>
      </c>
    </row>
    <row r="2718">
      <c r="A2718" s="24" t="s">
        <v>8746</v>
      </c>
      <c r="B2718" s="35">
        <f t="array" ref="B2718">XLOOKUP(A2718,IMDB_Movies!I$2:I$3493,IMDB_Movies!Q$2:Q$3493)</f>
        <v>0</v>
      </c>
      <c r="E2718" s="24" t="s">
        <v>8746</v>
      </c>
      <c r="F2718" s="36">
        <f t="array" ref="F2718">XLOOKUP(A2718,IMDB_Movies!I$2:I$3493,IMDB_Movies!P$2:P$3493)</f>
        <v>78038276</v>
      </c>
    </row>
    <row r="2719">
      <c r="A2719" s="24" t="s">
        <v>8749</v>
      </c>
      <c r="B2719" s="35">
        <f t="array" ref="B2719">XLOOKUP(A2719,IMDB_Movies!I$2:I$3493,IMDB_Movies!Q$2:Q$3493)</f>
        <v>0</v>
      </c>
      <c r="E2719" s="24" t="s">
        <v>8749</v>
      </c>
      <c r="F2719" s="36">
        <f t="array" ref="F2719">XLOOKUP(A2719,IMDB_Movies!I$2:I$3493,IMDB_Movies!P$2:P$3493)</f>
        <v>42200504</v>
      </c>
    </row>
    <row r="2720">
      <c r="A2720" s="28" t="s">
        <v>8751</v>
      </c>
      <c r="B2720" s="35">
        <f t="array" ref="B2720">XLOOKUP(A2720,IMDB_Movies!I$2:I$3493,IMDB_Movies!Q$2:Q$3493)</f>
        <v>21162885</v>
      </c>
      <c r="E2720" s="28" t="s">
        <v>8751</v>
      </c>
      <c r="F2720" s="36">
        <f t="array" ref="F2720">XLOOKUP(A2720,IMDB_Movies!I$2:I$3493,IMDB_Movies!P$2:P$3493)</f>
        <v>0</v>
      </c>
    </row>
    <row r="2721">
      <c r="A2721" s="11" t="s">
        <v>8754</v>
      </c>
      <c r="B2721" s="35">
        <f t="array" ref="B2721">XLOOKUP(A2721,IMDB_Movies!I$2:I$3493,IMDB_Movies!Q$2:Q$3493)</f>
        <v>0</v>
      </c>
      <c r="E2721" s="11" t="s">
        <v>8754</v>
      </c>
      <c r="F2721" s="36">
        <f t="array" ref="F2721">XLOOKUP(A2721,IMDB_Movies!I$2:I$3493,IMDB_Movies!P$2:P$3493)</f>
        <v>165835000</v>
      </c>
    </row>
    <row r="2722">
      <c r="A2722" s="11" t="s">
        <v>8756</v>
      </c>
      <c r="B2722" s="35">
        <f t="array" ref="B2722">XLOOKUP(A2722,IMDB_Movies!I$2:I$3493,IMDB_Movies!Q$2:Q$3493)</f>
        <v>87637</v>
      </c>
      <c r="E2722" s="11" t="s">
        <v>8756</v>
      </c>
      <c r="F2722" s="36">
        <f t="array" ref="F2722">XLOOKUP(A2722,IMDB_Movies!I$2:I$3493,IMDB_Movies!P$2:P$3493)</f>
        <v>0</v>
      </c>
    </row>
    <row r="2723">
      <c r="A2723" s="11" t="s">
        <v>8761</v>
      </c>
      <c r="B2723" s="35">
        <f t="array" ref="B2723">XLOOKUP(A2723,IMDB_Movies!I$2:I$3493,IMDB_Movies!Q$2:Q$3493)</f>
        <v>0</v>
      </c>
      <c r="E2723" s="11" t="s">
        <v>8761</v>
      </c>
      <c r="F2723" s="36">
        <f t="array" ref="F2723">XLOOKUP(A2723,IMDB_Movies!I$2:I$3493,IMDB_Movies!P$2:P$3493)</f>
        <v>1610731</v>
      </c>
    </row>
    <row r="2724">
      <c r="A2724" s="20" t="s">
        <v>8764</v>
      </c>
      <c r="B2724" s="35">
        <f t="array" ref="B2724">XLOOKUP(A2724,IMDB_Movies!I$2:I$3493,IMDB_Movies!Q$2:Q$3493)</f>
        <v>13383001</v>
      </c>
      <c r="E2724" s="20" t="s">
        <v>8764</v>
      </c>
      <c r="F2724" s="36">
        <f t="array" ref="F2724">XLOOKUP(A2724,IMDB_Movies!I$2:I$3493,IMDB_Movies!P$2:P$3493)</f>
        <v>0</v>
      </c>
    </row>
    <row r="2725">
      <c r="A2725" s="11" t="s">
        <v>8766</v>
      </c>
      <c r="B2725" s="35">
        <f t="array" ref="B2725">XLOOKUP(A2725,IMDB_Movies!I$2:I$3493,IMDB_Movies!Q$2:Q$3493)</f>
        <v>0</v>
      </c>
      <c r="E2725" s="11" t="s">
        <v>8766</v>
      </c>
      <c r="F2725" s="36">
        <f t="array" ref="F2725">XLOOKUP(A2725,IMDB_Movies!I$2:I$3493,IMDB_Movies!P$2:P$3493)</f>
        <v>573641</v>
      </c>
    </row>
    <row r="2726">
      <c r="A2726" s="20" t="s">
        <v>8768</v>
      </c>
      <c r="B2726" s="35">
        <f t="array" ref="B2726">XLOOKUP(A2726,IMDB_Movies!I$2:I$3493,IMDB_Movies!Q$2:Q$3493)</f>
        <v>0</v>
      </c>
      <c r="E2726" s="20" t="s">
        <v>8768</v>
      </c>
      <c r="F2726" s="36">
        <f t="array" ref="F2726">XLOOKUP(A2726,IMDB_Movies!I$2:I$3493,IMDB_Movies!P$2:P$3493)</f>
        <v>8408614</v>
      </c>
    </row>
    <row r="2727">
      <c r="A2727" s="24" t="s">
        <v>8772</v>
      </c>
      <c r="B2727" s="35">
        <f t="array" ref="B2727">XLOOKUP(A2727,IMDB_Movies!I$2:I$3493,IMDB_Movies!Q$2:Q$3493)</f>
        <v>0</v>
      </c>
      <c r="E2727" s="24" t="s">
        <v>8772</v>
      </c>
      <c r="F2727" s="36">
        <f t="array" ref="F2727">XLOOKUP(A2727,IMDB_Movies!I$2:I$3493,IMDB_Movies!P$2:P$3493)</f>
        <v>3946250</v>
      </c>
    </row>
    <row r="2728">
      <c r="A2728" s="24" t="s">
        <v>8776</v>
      </c>
      <c r="B2728" s="35">
        <f t="array" ref="B2728">XLOOKUP(A2728,IMDB_Movies!I$2:I$3493,IMDB_Movies!Q$2:Q$3493)</f>
        <v>0</v>
      </c>
      <c r="E2728" s="24" t="s">
        <v>8776</v>
      </c>
      <c r="F2728" s="36">
        <f t="array" ref="F2728">XLOOKUP(A2728,IMDB_Movies!I$2:I$3493,IMDB_Movies!P$2:P$3493)</f>
        <v>113078393</v>
      </c>
    </row>
    <row r="2729">
      <c r="A2729" s="24" t="s">
        <v>8778</v>
      </c>
      <c r="B2729" s="35">
        <f t="array" ref="B2729">XLOOKUP(A2729,IMDB_Movies!I$2:I$3493,IMDB_Movies!Q$2:Q$3493)</f>
        <v>0</v>
      </c>
      <c r="E2729" s="24" t="s">
        <v>8778</v>
      </c>
      <c r="F2729" s="36">
        <f t="array" ref="F2729">XLOOKUP(A2729,IMDB_Movies!I$2:I$3493,IMDB_Movies!P$2:P$3493)</f>
        <v>76694016</v>
      </c>
    </row>
    <row r="2730">
      <c r="A2730" s="11" t="s">
        <v>8780</v>
      </c>
      <c r="B2730" s="35">
        <f t="array" ref="B2730">XLOOKUP(A2730,IMDB_Movies!I$2:I$3493,IMDB_Movies!Q$2:Q$3493)</f>
        <v>5225998</v>
      </c>
      <c r="E2730" s="11" t="s">
        <v>8780</v>
      </c>
      <c r="F2730" s="36">
        <f t="array" ref="F2730">XLOOKUP(A2730,IMDB_Movies!I$2:I$3493,IMDB_Movies!P$2:P$3493)</f>
        <v>0</v>
      </c>
    </row>
    <row r="2731">
      <c r="A2731" s="24" t="s">
        <v>8782</v>
      </c>
      <c r="B2731" s="35">
        <f t="array" ref="B2731">XLOOKUP(A2731,IMDB_Movies!I$2:I$3493,IMDB_Movies!Q$2:Q$3493)</f>
        <v>5262941</v>
      </c>
      <c r="E2731" s="24" t="s">
        <v>8782</v>
      </c>
      <c r="F2731" s="36">
        <f t="array" ref="F2731">XLOOKUP(A2731,IMDB_Movies!I$2:I$3493,IMDB_Movies!P$2:P$3493)</f>
        <v>0</v>
      </c>
    </row>
    <row r="2732">
      <c r="A2732" s="11" t="s">
        <v>8784</v>
      </c>
      <c r="B2732" s="35">
        <f t="array" ref="B2732">XLOOKUP(A2732,IMDB_Movies!I$2:I$3493,IMDB_Movies!Q$2:Q$3493)</f>
        <v>0</v>
      </c>
      <c r="E2732" s="11" t="s">
        <v>8784</v>
      </c>
      <c r="F2732" s="36">
        <f t="array" ref="F2732">XLOOKUP(A2732,IMDB_Movies!I$2:I$3493,IMDB_Movies!P$2:P$3493)</f>
        <v>90736215</v>
      </c>
    </row>
    <row r="2733">
      <c r="A2733" s="28" t="s">
        <v>8786</v>
      </c>
      <c r="B2733" s="35">
        <f t="array" ref="B2733">XLOOKUP(A2733,IMDB_Movies!I$2:I$3493,IMDB_Movies!Q$2:Q$3493)</f>
        <v>24549473</v>
      </c>
      <c r="E2733" s="28" t="s">
        <v>8786</v>
      </c>
      <c r="F2733" s="36">
        <f t="array" ref="F2733">XLOOKUP(A2733,IMDB_Movies!I$2:I$3493,IMDB_Movies!P$2:P$3493)</f>
        <v>0</v>
      </c>
    </row>
    <row r="2734">
      <c r="A2734" s="11" t="s">
        <v>8790</v>
      </c>
      <c r="B2734" s="35">
        <f t="array" ref="B2734">XLOOKUP(A2734,IMDB_Movies!I$2:I$3493,IMDB_Movies!Q$2:Q$3493)</f>
        <v>0</v>
      </c>
      <c r="E2734" s="11" t="s">
        <v>8790</v>
      </c>
      <c r="F2734" s="36">
        <f t="array" ref="F2734">XLOOKUP(A2734,IMDB_Movies!I$2:I$3493,IMDB_Movies!P$2:P$3493)</f>
        <v>30849949</v>
      </c>
    </row>
    <row r="2735">
      <c r="A2735" s="28" t="s">
        <v>8793</v>
      </c>
      <c r="B2735" s="35">
        <f t="array" ref="B2735">XLOOKUP(A2735,IMDB_Movies!I$2:I$3493,IMDB_Movies!Q$2:Q$3493)</f>
        <v>8359756</v>
      </c>
      <c r="E2735" s="28" t="s">
        <v>8793</v>
      </c>
      <c r="F2735" s="36">
        <f t="array" ref="F2735">XLOOKUP(A2735,IMDB_Movies!I$2:I$3493,IMDB_Movies!P$2:P$3493)</f>
        <v>0</v>
      </c>
    </row>
    <row r="2736">
      <c r="A2736" s="24" t="s">
        <v>8795</v>
      </c>
      <c r="B2736" s="35">
        <f t="array" ref="B2736">XLOOKUP(A2736,IMDB_Movies!I$2:I$3493,IMDB_Movies!Q$2:Q$3493)</f>
        <v>0</v>
      </c>
      <c r="E2736" s="24" t="s">
        <v>8795</v>
      </c>
      <c r="F2736" s="36">
        <f t="array" ref="F2736">XLOOKUP(A2736,IMDB_Movies!I$2:I$3493,IMDB_Movies!P$2:P$3493)</f>
        <v>11365290</v>
      </c>
    </row>
    <row r="2737">
      <c r="A2737" s="11" t="s">
        <v>8797</v>
      </c>
      <c r="B2737" s="35">
        <f t="array" ref="B2737">XLOOKUP(A2737,IMDB_Movies!I$2:I$3493,IMDB_Movies!Q$2:Q$3493)</f>
        <v>0</v>
      </c>
      <c r="E2737" s="11" t="s">
        <v>8797</v>
      </c>
      <c r="F2737" s="36">
        <f t="array" ref="F2737">XLOOKUP(A2737,IMDB_Movies!I$2:I$3493,IMDB_Movies!P$2:P$3493)</f>
        <v>141487252</v>
      </c>
    </row>
    <row r="2738">
      <c r="A2738" s="32" t="s">
        <v>8800</v>
      </c>
      <c r="B2738" s="35">
        <f t="array" ref="B2738">XLOOKUP(A2738,IMDB_Movies!I$2:I$3493,IMDB_Movies!Q$2:Q$3493)</f>
        <v>8851518</v>
      </c>
      <c r="E2738" s="32" t="s">
        <v>8800</v>
      </c>
      <c r="F2738" s="36">
        <f t="array" ref="F2738">XLOOKUP(A2738,IMDB_Movies!I$2:I$3493,IMDB_Movies!P$2:P$3493)</f>
        <v>0</v>
      </c>
    </row>
    <row r="2739">
      <c r="A2739" s="20" t="s">
        <v>8803</v>
      </c>
      <c r="B2739" s="35">
        <f t="array" ref="B2739">XLOOKUP(A2739,IMDB_Movies!I$2:I$3493,IMDB_Movies!Q$2:Q$3493)</f>
        <v>0</v>
      </c>
      <c r="E2739" s="20" t="s">
        <v>8803</v>
      </c>
      <c r="F2739" s="36">
        <f t="array" ref="F2739">XLOOKUP(A2739,IMDB_Movies!I$2:I$3493,IMDB_Movies!P$2:P$3493)</f>
        <v>14008532</v>
      </c>
    </row>
    <row r="2740">
      <c r="A2740" s="11" t="s">
        <v>8806</v>
      </c>
      <c r="B2740" s="35">
        <f t="array" ref="B2740">XLOOKUP(A2740,IMDB_Movies!I$2:I$3493,IMDB_Movies!Q$2:Q$3493)</f>
        <v>0</v>
      </c>
      <c r="E2740" s="11" t="s">
        <v>8806</v>
      </c>
      <c r="F2740" s="36">
        <f t="array" ref="F2740">XLOOKUP(A2740,IMDB_Movies!I$2:I$3493,IMDB_Movies!P$2:P$3493)</f>
        <v>19228104</v>
      </c>
    </row>
    <row r="2741">
      <c r="A2741" s="20" t="s">
        <v>8808</v>
      </c>
      <c r="B2741" s="35">
        <f t="array" ref="B2741">XLOOKUP(A2741,IMDB_Movies!I$2:I$3493,IMDB_Movies!Q$2:Q$3493)</f>
        <v>0</v>
      </c>
      <c r="E2741" s="20" t="s">
        <v>8808</v>
      </c>
      <c r="F2741" s="36">
        <f t="array" ref="F2741">XLOOKUP(A2741,IMDB_Movies!I$2:I$3493,IMDB_Movies!P$2:P$3493)</f>
        <v>44735548</v>
      </c>
    </row>
    <row r="2742">
      <c r="A2742" s="20" t="s">
        <v>8810</v>
      </c>
      <c r="B2742" s="35">
        <f t="array" ref="B2742">XLOOKUP(A2742,IMDB_Movies!I$2:I$3493,IMDB_Movies!Q$2:Q$3493)</f>
        <v>0</v>
      </c>
      <c r="E2742" s="20" t="s">
        <v>8810</v>
      </c>
      <c r="F2742" s="36">
        <f t="array" ref="F2742">XLOOKUP(A2742,IMDB_Movies!I$2:I$3493,IMDB_Movies!P$2:P$3493)</f>
        <v>4871190</v>
      </c>
    </row>
    <row r="2743">
      <c r="A2743" s="24" t="s">
        <v>8812</v>
      </c>
      <c r="B2743" s="35">
        <f t="array" ref="B2743">XLOOKUP(A2743,IMDB_Movies!I$2:I$3493,IMDB_Movies!Q$2:Q$3493)</f>
        <v>0</v>
      </c>
      <c r="E2743" s="24" t="s">
        <v>8812</v>
      </c>
      <c r="F2743" s="36">
        <f t="array" ref="F2743">XLOOKUP(A2743,IMDB_Movies!I$2:I$3493,IMDB_Movies!P$2:P$3493)</f>
        <v>63074950</v>
      </c>
    </row>
    <row r="2744">
      <c r="A2744" s="11" t="s">
        <v>8815</v>
      </c>
      <c r="B2744" s="35">
        <f t="array" ref="B2744">XLOOKUP(A2744,IMDB_Movies!I$2:I$3493,IMDB_Movies!Q$2:Q$3493)</f>
        <v>19119074</v>
      </c>
      <c r="E2744" s="11" t="s">
        <v>8815</v>
      </c>
      <c r="F2744" s="36">
        <f t="array" ref="F2744">XLOOKUP(A2744,IMDB_Movies!I$2:I$3493,IMDB_Movies!P$2:P$3493)</f>
        <v>0</v>
      </c>
    </row>
    <row r="2745">
      <c r="A2745" s="24" t="s">
        <v>8818</v>
      </c>
      <c r="B2745" s="35">
        <f t="array" ref="B2745">XLOOKUP(A2745,IMDB_Movies!I$2:I$3493,IMDB_Movies!Q$2:Q$3493)</f>
        <v>0</v>
      </c>
      <c r="E2745" s="24" t="s">
        <v>8818</v>
      </c>
      <c r="F2745" s="36">
        <f t="array" ref="F2745">XLOOKUP(A2745,IMDB_Movies!I$2:I$3493,IMDB_Movies!P$2:P$3493)</f>
        <v>12385520</v>
      </c>
    </row>
    <row r="2746">
      <c r="A2746" s="11" t="s">
        <v>8821</v>
      </c>
      <c r="B2746" s="35">
        <f t="array" ref="B2746">XLOOKUP(A2746,IMDB_Movies!I$2:I$3493,IMDB_Movies!Q$2:Q$3493)</f>
        <v>0</v>
      </c>
      <c r="E2746" s="11" t="s">
        <v>8821</v>
      </c>
      <c r="F2746" s="36">
        <f t="array" ref="F2746">XLOOKUP(A2746,IMDB_Movies!I$2:I$3493,IMDB_Movies!P$2:P$3493)</f>
        <v>207652016</v>
      </c>
    </row>
    <row r="2747">
      <c r="A2747" s="11" t="s">
        <v>8823</v>
      </c>
      <c r="B2747" s="35">
        <f t="array" ref="B2747">XLOOKUP(A2747,IMDB_Movies!I$2:I$3493,IMDB_Movies!Q$2:Q$3493)</f>
        <v>0</v>
      </c>
      <c r="E2747" s="11" t="s">
        <v>8823</v>
      </c>
      <c r="F2747" s="36">
        <f t="array" ref="F2747">XLOOKUP(A2747,IMDB_Movies!I$2:I$3493,IMDB_Movies!P$2:P$3493)</f>
        <v>104948780</v>
      </c>
    </row>
    <row r="2748">
      <c r="A2748" s="11" t="s">
        <v>8827</v>
      </c>
      <c r="B2748" s="35">
        <f t="array" ref="B2748">XLOOKUP(A2748,IMDB_Movies!I$2:I$3493,IMDB_Movies!Q$2:Q$3493)</f>
        <v>787706</v>
      </c>
      <c r="E2748" s="11" t="s">
        <v>8827</v>
      </c>
      <c r="F2748" s="36">
        <f t="array" ref="F2748">XLOOKUP(A2748,IMDB_Movies!I$2:I$3493,IMDB_Movies!P$2:P$3493)</f>
        <v>0</v>
      </c>
    </row>
    <row r="2749">
      <c r="A2749" s="28" t="s">
        <v>8829</v>
      </c>
      <c r="B2749" s="35">
        <f t="array" ref="B2749">XLOOKUP(A2749,IMDB_Movies!I$2:I$3493,IMDB_Movies!Q$2:Q$3493)</f>
        <v>0</v>
      </c>
      <c r="E2749" s="28" t="s">
        <v>8829</v>
      </c>
      <c r="F2749" s="36">
        <f t="array" ref="F2749">XLOOKUP(A2749,IMDB_Movies!I$2:I$3493,IMDB_Movies!P$2:P$3493)</f>
        <v>4296447</v>
      </c>
    </row>
    <row r="2750">
      <c r="A2750" s="28" t="s">
        <v>8833</v>
      </c>
      <c r="B2750" s="35">
        <f t="array" ref="B2750">XLOOKUP(A2750,IMDB_Movies!I$2:I$3493,IMDB_Movies!Q$2:Q$3493)</f>
        <v>24043621</v>
      </c>
      <c r="E2750" s="28" t="s">
        <v>8833</v>
      </c>
      <c r="F2750" s="36">
        <f t="array" ref="F2750">XLOOKUP(A2750,IMDB_Movies!I$2:I$3493,IMDB_Movies!P$2:P$3493)</f>
        <v>0</v>
      </c>
    </row>
    <row r="2751">
      <c r="A2751" s="11" t="s">
        <v>8836</v>
      </c>
      <c r="B2751" s="35">
        <f t="array" ref="B2751">XLOOKUP(A2751,IMDB_Movies!I$2:I$3493,IMDB_Movies!Q$2:Q$3493)</f>
        <v>0</v>
      </c>
      <c r="E2751" s="11" t="s">
        <v>8836</v>
      </c>
      <c r="F2751" s="36">
        <f t="array" ref="F2751">XLOOKUP(A2751,IMDB_Movies!I$2:I$3493,IMDB_Movies!P$2:P$3493)</f>
        <v>44882128</v>
      </c>
    </row>
    <row r="2752">
      <c r="A2752" s="11" t="s">
        <v>8839</v>
      </c>
      <c r="B2752" s="35">
        <f t="array" ref="B2752">XLOOKUP(A2752,IMDB_Movies!I$2:I$3493,IMDB_Movies!Q$2:Q$3493)</f>
        <v>19691019</v>
      </c>
      <c r="E2752" s="11" t="s">
        <v>8839</v>
      </c>
      <c r="F2752" s="36">
        <f t="array" ref="F2752">XLOOKUP(A2752,IMDB_Movies!I$2:I$3493,IMDB_Movies!P$2:P$3493)</f>
        <v>0</v>
      </c>
    </row>
    <row r="2753">
      <c r="A2753" s="11" t="s">
        <v>8841</v>
      </c>
      <c r="B2753" s="35">
        <f t="array" ref="B2753">XLOOKUP(A2753,IMDB_Movies!I$2:I$3493,IMDB_Movies!Q$2:Q$3493)</f>
        <v>0</v>
      </c>
      <c r="E2753" s="11" t="s">
        <v>8841</v>
      </c>
      <c r="F2753" s="36">
        <f t="array" ref="F2753">XLOOKUP(A2753,IMDB_Movies!I$2:I$3493,IMDB_Movies!P$2:P$3493)</f>
        <v>7891000</v>
      </c>
    </row>
    <row r="2754">
      <c r="A2754" s="11" t="s">
        <v>8843</v>
      </c>
      <c r="B2754" s="35">
        <f t="array" ref="B2754">XLOOKUP(A2754,IMDB_Movies!I$2:I$3493,IMDB_Movies!Q$2:Q$3493)</f>
        <v>0</v>
      </c>
      <c r="E2754" s="11" t="s">
        <v>8843</v>
      </c>
      <c r="F2754" s="36">
        <f t="array" ref="F2754">XLOOKUP(A2754,IMDB_Movies!I$2:I$3493,IMDB_Movies!P$2:P$3493)</f>
        <v>35490000</v>
      </c>
    </row>
    <row r="2755">
      <c r="A2755" s="24" t="s">
        <v>8846</v>
      </c>
      <c r="B2755" s="35">
        <f t="array" ref="B2755">XLOOKUP(A2755,IMDB_Movies!I$2:I$3493,IMDB_Movies!Q$2:Q$3493)</f>
        <v>0</v>
      </c>
      <c r="E2755" s="24" t="s">
        <v>8846</v>
      </c>
      <c r="F2755" s="36">
        <f t="array" ref="F2755">XLOOKUP(A2755,IMDB_Movies!I$2:I$3493,IMDB_Movies!P$2:P$3493)</f>
        <v>44149837</v>
      </c>
    </row>
    <row r="2756">
      <c r="A2756" s="11" t="s">
        <v>8848</v>
      </c>
      <c r="B2756" s="35">
        <f t="array" ref="B2756">XLOOKUP(A2756,IMDB_Movies!I$2:I$3493,IMDB_Movies!Q$2:Q$3493)</f>
        <v>0</v>
      </c>
      <c r="E2756" s="11" t="s">
        <v>8848</v>
      </c>
      <c r="F2756" s="36">
        <f t="array" ref="F2756">XLOOKUP(A2756,IMDB_Movies!I$2:I$3493,IMDB_Movies!P$2:P$3493)</f>
        <v>4535191</v>
      </c>
    </row>
    <row r="2757">
      <c r="A2757" s="24" t="s">
        <v>8851</v>
      </c>
      <c r="B2757" s="35">
        <f t="array" ref="B2757">XLOOKUP(A2757,IMDB_Movies!I$2:I$3493,IMDB_Movies!Q$2:Q$3493)</f>
        <v>4391771</v>
      </c>
      <c r="E2757" s="24" t="s">
        <v>8851</v>
      </c>
      <c r="F2757" s="36">
        <f t="array" ref="F2757">XLOOKUP(A2757,IMDB_Movies!I$2:I$3493,IMDB_Movies!P$2:P$3493)</f>
        <v>0</v>
      </c>
    </row>
    <row r="2758">
      <c r="A2758" s="28" t="s">
        <v>8855</v>
      </c>
      <c r="B2758" s="35">
        <f t="array" ref="B2758">XLOOKUP(A2758,IMDB_Movies!I$2:I$3493,IMDB_Movies!Q$2:Q$3493)</f>
        <v>3019662</v>
      </c>
      <c r="E2758" s="28" t="s">
        <v>8855</v>
      </c>
      <c r="F2758" s="36">
        <f t="array" ref="F2758">XLOOKUP(A2758,IMDB_Movies!I$2:I$3493,IMDB_Movies!P$2:P$3493)</f>
        <v>0</v>
      </c>
    </row>
    <row r="2759">
      <c r="A2759" s="32" t="s">
        <v>8860</v>
      </c>
      <c r="B2759" s="35">
        <f t="array" ref="B2759">XLOOKUP(A2759,IMDB_Movies!I$2:I$3493,IMDB_Movies!Q$2:Q$3493)</f>
        <v>1875506</v>
      </c>
      <c r="E2759" s="32" t="s">
        <v>8860</v>
      </c>
      <c r="F2759" s="36">
        <f t="array" ref="F2759">XLOOKUP(A2759,IMDB_Movies!I$2:I$3493,IMDB_Movies!P$2:P$3493)</f>
        <v>0</v>
      </c>
    </row>
    <row r="2760">
      <c r="A2760" s="28" t="s">
        <v>8862</v>
      </c>
      <c r="B2760" s="35">
        <f t="array" ref="B2760">XLOOKUP(A2760,IMDB_Movies!I$2:I$3493,IMDB_Movies!Q$2:Q$3493)</f>
        <v>0</v>
      </c>
      <c r="E2760" s="28" t="s">
        <v>8862</v>
      </c>
      <c r="F2760" s="36">
        <f t="array" ref="F2760">XLOOKUP(A2760,IMDB_Movies!I$2:I$3493,IMDB_Movies!P$2:P$3493)</f>
        <v>7235293</v>
      </c>
    </row>
    <row r="2761">
      <c r="A2761" s="11" t="s">
        <v>8864</v>
      </c>
      <c r="B2761" s="35">
        <f t="array" ref="B2761">XLOOKUP(A2761,IMDB_Movies!I$2:I$3493,IMDB_Movies!Q$2:Q$3493)</f>
        <v>0</v>
      </c>
      <c r="E2761" s="11" t="s">
        <v>8864</v>
      </c>
      <c r="F2761" s="36">
        <f t="array" ref="F2761">XLOOKUP(A2761,IMDB_Movies!I$2:I$3493,IMDB_Movies!P$2:P$3493)</f>
        <v>5108370</v>
      </c>
    </row>
    <row r="2762">
      <c r="A2762" s="16" t="s">
        <v>8867</v>
      </c>
      <c r="B2762" s="35">
        <f t="array" ref="B2762">XLOOKUP(A2762,IMDB_Movies!I$2:I$3493,IMDB_Movies!Q$2:Q$3493)</f>
        <v>2533006</v>
      </c>
      <c r="E2762" s="16" t="s">
        <v>8867</v>
      </c>
      <c r="F2762" s="36">
        <f t="array" ref="F2762">XLOOKUP(A2762,IMDB_Movies!I$2:I$3493,IMDB_Movies!P$2:P$3493)</f>
        <v>0</v>
      </c>
    </row>
    <row r="2763">
      <c r="A2763" s="20" t="s">
        <v>8871</v>
      </c>
      <c r="B2763" s="35">
        <f t="array" ref="B2763">XLOOKUP(A2763,IMDB_Movies!I$2:I$3493,IMDB_Movies!Q$2:Q$3493)</f>
        <v>1800000</v>
      </c>
      <c r="E2763" s="20" t="s">
        <v>8871</v>
      </c>
      <c r="F2763" s="36">
        <f t="array" ref="F2763">XLOOKUP(A2763,IMDB_Movies!I$2:I$3493,IMDB_Movies!P$2:P$3493)</f>
        <v>0</v>
      </c>
    </row>
    <row r="2764">
      <c r="A2764" s="11" t="s">
        <v>8873</v>
      </c>
      <c r="B2764" s="35">
        <f t="array" ref="B2764">XLOOKUP(A2764,IMDB_Movies!I$2:I$3493,IMDB_Movies!Q$2:Q$3493)</f>
        <v>0</v>
      </c>
      <c r="E2764" s="11" t="s">
        <v>8873</v>
      </c>
      <c r="F2764" s="36">
        <f t="array" ref="F2764">XLOOKUP(A2764,IMDB_Movies!I$2:I$3493,IMDB_Movies!P$2:P$3493)</f>
        <v>46269171</v>
      </c>
    </row>
    <row r="2765">
      <c r="A2765" s="24" t="s">
        <v>8876</v>
      </c>
      <c r="B2765" s="35">
        <f t="array" ref="B2765">XLOOKUP(A2765,IMDB_Movies!I$2:I$3493,IMDB_Movies!Q$2:Q$3493)</f>
        <v>518814</v>
      </c>
      <c r="E2765" s="24" t="s">
        <v>8876</v>
      </c>
      <c r="F2765" s="36">
        <f t="array" ref="F2765">XLOOKUP(A2765,IMDB_Movies!I$2:I$3493,IMDB_Movies!P$2:P$3493)</f>
        <v>0</v>
      </c>
    </row>
    <row r="2766">
      <c r="A2766" s="20" t="s">
        <v>8878</v>
      </c>
      <c r="B2766" s="35">
        <f t="array" ref="B2766">XLOOKUP(A2766,IMDB_Movies!I$2:I$3493,IMDB_Movies!Q$2:Q$3493)</f>
        <v>0</v>
      </c>
      <c r="E2766" s="20" t="s">
        <v>8878</v>
      </c>
      <c r="F2766" s="36">
        <f t="array" ref="F2766">XLOOKUP(A2766,IMDB_Movies!I$2:I$3493,IMDB_Movies!P$2:P$3493)</f>
        <v>39571513</v>
      </c>
    </row>
    <row r="2767">
      <c r="A2767" s="16" t="s">
        <v>8881</v>
      </c>
      <c r="B2767" s="35">
        <f t="array" ref="B2767">XLOOKUP(A2767,IMDB_Movies!I$2:I$3493,IMDB_Movies!Q$2:Q$3493)</f>
        <v>18774204</v>
      </c>
      <c r="E2767" s="16" t="s">
        <v>8881</v>
      </c>
      <c r="F2767" s="36">
        <f t="array" ref="F2767">XLOOKUP(A2767,IMDB_Movies!I$2:I$3493,IMDB_Movies!P$2:P$3493)</f>
        <v>0</v>
      </c>
    </row>
    <row r="2768">
      <c r="A2768" s="11" t="s">
        <v>8884</v>
      </c>
      <c r="B2768" s="35">
        <f t="array" ref="B2768">XLOOKUP(A2768,IMDB_Movies!I$2:I$3493,IMDB_Movies!Q$2:Q$3493)</f>
        <v>0</v>
      </c>
      <c r="E2768" s="11" t="s">
        <v>8884</v>
      </c>
      <c r="F2768" s="36">
        <f t="array" ref="F2768">XLOOKUP(A2768,IMDB_Movies!I$2:I$3493,IMDB_Movies!P$2:P$3493)</f>
        <v>2298046</v>
      </c>
    </row>
    <row r="2769">
      <c r="A2769" s="28" t="s">
        <v>8887</v>
      </c>
      <c r="B2769" s="35">
        <f t="array" ref="B2769">XLOOKUP(A2769,IMDB_Movies!I$2:I$3493,IMDB_Movies!Q$2:Q$3493)</f>
        <v>6894032</v>
      </c>
      <c r="E2769" s="28" t="s">
        <v>8887</v>
      </c>
      <c r="F2769" s="36">
        <f t="array" ref="F2769">XLOOKUP(A2769,IMDB_Movies!I$2:I$3493,IMDB_Movies!P$2:P$3493)</f>
        <v>0</v>
      </c>
    </row>
    <row r="2770">
      <c r="A2770" s="24" t="s">
        <v>8889</v>
      </c>
      <c r="B2770" s="35">
        <f t="array" ref="B2770">XLOOKUP(A2770,IMDB_Movies!I$2:I$3493,IMDB_Movies!Q$2:Q$3493)</f>
        <v>0</v>
      </c>
      <c r="E2770" s="24" t="s">
        <v>8889</v>
      </c>
      <c r="F2770" s="36">
        <f t="array" ref="F2770">XLOOKUP(A2770,IMDB_Movies!I$2:I$3493,IMDB_Movies!P$2:P$3493)</f>
        <v>156780960</v>
      </c>
    </row>
    <row r="2771">
      <c r="A2771" s="11" t="s">
        <v>8892</v>
      </c>
      <c r="B2771" s="35">
        <f t="array" ref="B2771">XLOOKUP(A2771,IMDB_Movies!I$2:I$3493,IMDB_Movies!Q$2:Q$3493)</f>
        <v>0</v>
      </c>
      <c r="E2771" s="11" t="s">
        <v>8892</v>
      </c>
      <c r="F2771" s="36">
        <f t="array" ref="F2771">XLOOKUP(A2771,IMDB_Movies!I$2:I$3493,IMDB_Movies!P$2:P$3493)</f>
        <v>117603</v>
      </c>
    </row>
    <row r="2772">
      <c r="A2772" s="20" t="s">
        <v>8894</v>
      </c>
      <c r="B2772" s="35">
        <f t="array" ref="B2772">XLOOKUP(A2772,IMDB_Movies!I$2:I$3493,IMDB_Movies!Q$2:Q$3493)</f>
        <v>0</v>
      </c>
      <c r="E2772" s="20" t="s">
        <v>8894</v>
      </c>
      <c r="F2772" s="36">
        <f t="array" ref="F2772">XLOOKUP(A2772,IMDB_Movies!I$2:I$3493,IMDB_Movies!P$2:P$3493)</f>
        <v>37744720</v>
      </c>
    </row>
    <row r="2773">
      <c r="A2773" s="11" t="s">
        <v>8898</v>
      </c>
      <c r="B2773" s="35">
        <f t="array" ref="B2773">XLOOKUP(A2773,IMDB_Movies!I$2:I$3493,IMDB_Movies!Q$2:Q$3493)</f>
        <v>0</v>
      </c>
      <c r="E2773" s="11" t="s">
        <v>8898</v>
      </c>
      <c r="F2773" s="36">
        <f t="array" ref="F2773">XLOOKUP(A2773,IMDB_Movies!I$2:I$3493,IMDB_Movies!P$2:P$3493)</f>
        <v>15185</v>
      </c>
    </row>
    <row r="2774">
      <c r="A2774" s="24" t="s">
        <v>8900</v>
      </c>
      <c r="B2774" s="35">
        <f t="array" ref="B2774">XLOOKUP(A2774,IMDB_Movies!I$2:I$3493,IMDB_Movies!Q$2:Q$3493)</f>
        <v>48816034</v>
      </c>
      <c r="E2774" s="24" t="s">
        <v>8900</v>
      </c>
      <c r="F2774" s="36">
        <f t="array" ref="F2774">XLOOKUP(A2774,IMDB_Movies!I$2:I$3493,IMDB_Movies!P$2:P$3493)</f>
        <v>0</v>
      </c>
    </row>
    <row r="2775">
      <c r="A2775" s="28" t="s">
        <v>8903</v>
      </c>
      <c r="B2775" s="35">
        <f t="array" ref="B2775">XLOOKUP(A2775,IMDB_Movies!I$2:I$3493,IMDB_Movies!Q$2:Q$3493)</f>
        <v>0</v>
      </c>
      <c r="E2775" s="28" t="s">
        <v>8903</v>
      </c>
      <c r="F2775" s="36">
        <f t="array" ref="F2775">XLOOKUP(A2775,IMDB_Movies!I$2:I$3493,IMDB_Movies!P$2:P$3493)</f>
        <v>58136909</v>
      </c>
    </row>
    <row r="2776">
      <c r="A2776" s="11" t="s">
        <v>8908</v>
      </c>
      <c r="B2776" s="35">
        <f t="array" ref="B2776">XLOOKUP(A2776,IMDB_Movies!I$2:I$3493,IMDB_Movies!Q$2:Q$3493)</f>
        <v>712239</v>
      </c>
      <c r="E2776" s="11" t="s">
        <v>8908</v>
      </c>
      <c r="F2776" s="36">
        <f t="array" ref="F2776">XLOOKUP(A2776,IMDB_Movies!I$2:I$3493,IMDB_Movies!P$2:P$3493)</f>
        <v>0</v>
      </c>
    </row>
    <row r="2777">
      <c r="A2777" s="16" t="s">
        <v>8911</v>
      </c>
      <c r="B2777" s="35">
        <f t="array" ref="B2777">XLOOKUP(A2777,IMDB_Movies!I$2:I$3493,IMDB_Movies!Q$2:Q$3493)</f>
        <v>4851788</v>
      </c>
      <c r="E2777" s="16" t="s">
        <v>8911</v>
      </c>
      <c r="F2777" s="36">
        <f t="array" ref="F2777">XLOOKUP(A2777,IMDB_Movies!I$2:I$3493,IMDB_Movies!P$2:P$3493)</f>
        <v>0</v>
      </c>
    </row>
    <row r="2778">
      <c r="A2778" s="11" t="s">
        <v>8915</v>
      </c>
      <c r="B2778" s="35">
        <f t="array" ref="B2778">XLOOKUP(A2778,IMDB_Movies!I$2:I$3493,IMDB_Movies!Q$2:Q$3493)</f>
        <v>5005196</v>
      </c>
      <c r="E2778" s="11" t="s">
        <v>8915</v>
      </c>
      <c r="F2778" s="36">
        <f t="array" ref="F2778">XLOOKUP(A2778,IMDB_Movies!I$2:I$3493,IMDB_Movies!P$2:P$3493)</f>
        <v>0</v>
      </c>
    </row>
    <row r="2779">
      <c r="A2779" s="11" t="s">
        <v>8917</v>
      </c>
      <c r="B2779" s="35">
        <f t="array" ref="B2779">XLOOKUP(A2779,IMDB_Movies!I$2:I$3493,IMDB_Movies!Q$2:Q$3493)</f>
        <v>0</v>
      </c>
      <c r="E2779" s="11" t="s">
        <v>8917</v>
      </c>
      <c r="F2779" s="36">
        <f t="array" ref="F2779">XLOOKUP(A2779,IMDB_Movies!I$2:I$3493,IMDB_Movies!P$2:P$3493)</f>
        <v>67900000</v>
      </c>
    </row>
    <row r="2780">
      <c r="A2780" s="11" t="s">
        <v>8920</v>
      </c>
      <c r="B2780" s="35">
        <f t="array" ref="B2780">XLOOKUP(A2780,IMDB_Movies!I$2:I$3493,IMDB_Movies!Q$2:Q$3493)</f>
        <v>12863050</v>
      </c>
      <c r="E2780" s="11" t="s">
        <v>8920</v>
      </c>
      <c r="F2780" s="36">
        <f t="array" ref="F2780">XLOOKUP(A2780,IMDB_Movies!I$2:I$3493,IMDB_Movies!P$2:P$3493)</f>
        <v>0</v>
      </c>
    </row>
    <row r="2781">
      <c r="A2781" s="24" t="s">
        <v>8922</v>
      </c>
      <c r="B2781" s="35">
        <f t="array" ref="B2781">XLOOKUP(A2781,IMDB_Movies!I$2:I$3493,IMDB_Movies!Q$2:Q$3493)</f>
        <v>0</v>
      </c>
      <c r="E2781" s="24" t="s">
        <v>8922</v>
      </c>
      <c r="F2781" s="36">
        <f t="array" ref="F2781">XLOOKUP(A2781,IMDB_Movies!I$2:I$3493,IMDB_Movies!P$2:P$3493)</f>
        <v>17981889</v>
      </c>
    </row>
    <row r="2782">
      <c r="A2782" s="24" t="s">
        <v>8924</v>
      </c>
      <c r="B2782" s="35">
        <f t="array" ref="B2782">XLOOKUP(A2782,IMDB_Movies!I$2:I$3493,IMDB_Movies!Q$2:Q$3493)</f>
        <v>9430929</v>
      </c>
      <c r="E2782" s="24" t="s">
        <v>8924</v>
      </c>
      <c r="F2782" s="36">
        <f t="array" ref="F2782">XLOOKUP(A2782,IMDB_Movies!I$2:I$3493,IMDB_Movies!P$2:P$3493)</f>
        <v>0</v>
      </c>
    </row>
    <row r="2783">
      <c r="A2783" s="24" t="s">
        <v>8927</v>
      </c>
      <c r="B2783" s="35">
        <f t="array" ref="B2783">XLOOKUP(A2783,IMDB_Movies!I$2:I$3493,IMDB_Movies!Q$2:Q$3493)</f>
        <v>28675334</v>
      </c>
      <c r="E2783" s="24" t="s">
        <v>8927</v>
      </c>
      <c r="F2783" s="36">
        <f t="array" ref="F2783">XLOOKUP(A2783,IMDB_Movies!I$2:I$3493,IMDB_Movies!P$2:P$3493)</f>
        <v>0</v>
      </c>
    </row>
    <row r="2784">
      <c r="A2784" s="24" t="s">
        <v>8930</v>
      </c>
      <c r="B2784" s="35">
        <f t="array" ref="B2784">XLOOKUP(A2784,IMDB_Movies!I$2:I$3493,IMDB_Movies!Q$2:Q$3493)</f>
        <v>895923</v>
      </c>
      <c r="E2784" s="24" t="s">
        <v>8930</v>
      </c>
      <c r="F2784" s="36">
        <f t="array" ref="F2784">XLOOKUP(A2784,IMDB_Movies!I$2:I$3493,IMDB_Movies!P$2:P$3493)</f>
        <v>0</v>
      </c>
    </row>
    <row r="2785">
      <c r="A2785" s="20" t="s">
        <v>8932</v>
      </c>
      <c r="B2785" s="35">
        <f t="array" ref="B2785">XLOOKUP(A2785,IMDB_Movies!I$2:I$3493,IMDB_Movies!Q$2:Q$3493)</f>
        <v>0</v>
      </c>
      <c r="E2785" s="20" t="s">
        <v>8932</v>
      </c>
      <c r="F2785" s="36">
        <f t="array" ref="F2785">XLOOKUP(A2785,IMDB_Movies!I$2:I$3493,IMDB_Movies!P$2:P$3493)</f>
        <v>56917897</v>
      </c>
    </row>
    <row r="2786">
      <c r="A2786" s="11" t="s">
        <v>8934</v>
      </c>
      <c r="B2786" s="35">
        <f t="array" ref="B2786">XLOOKUP(A2786,IMDB_Movies!I$2:I$3493,IMDB_Movies!Q$2:Q$3493)</f>
        <v>14306109</v>
      </c>
      <c r="E2786" s="11" t="s">
        <v>8934</v>
      </c>
      <c r="F2786" s="36">
        <f t="array" ref="F2786">XLOOKUP(A2786,IMDB_Movies!I$2:I$3493,IMDB_Movies!P$2:P$3493)</f>
        <v>0</v>
      </c>
    </row>
    <row r="2787">
      <c r="A2787" s="11" t="s">
        <v>8937</v>
      </c>
      <c r="B2787" s="35">
        <f t="array" ref="B2787">XLOOKUP(A2787,IMDB_Movies!I$2:I$3493,IMDB_Movies!Q$2:Q$3493)</f>
        <v>0</v>
      </c>
      <c r="E2787" s="11" t="s">
        <v>8937</v>
      </c>
      <c r="F2787" s="36">
        <f t="array" ref="F2787">XLOOKUP(A2787,IMDB_Movies!I$2:I$3493,IMDB_Movies!P$2:P$3493)</f>
        <v>9225165</v>
      </c>
    </row>
    <row r="2788">
      <c r="A2788" s="28" t="s">
        <v>8941</v>
      </c>
      <c r="B2788" s="35">
        <f t="array" ref="B2788">XLOOKUP(A2788,IMDB_Movies!I$2:I$3493,IMDB_Movies!Q$2:Q$3493)</f>
        <v>21084535</v>
      </c>
      <c r="E2788" s="28" t="s">
        <v>8941</v>
      </c>
      <c r="F2788" s="36">
        <f t="array" ref="F2788">XLOOKUP(A2788,IMDB_Movies!I$2:I$3493,IMDB_Movies!P$2:P$3493)</f>
        <v>0</v>
      </c>
    </row>
    <row r="2789">
      <c r="A2789" s="11" t="s">
        <v>8943</v>
      </c>
      <c r="B2789" s="35">
        <f t="array" ref="B2789">XLOOKUP(A2789,IMDB_Movies!I$2:I$3493,IMDB_Movies!Q$2:Q$3493)</f>
        <v>0</v>
      </c>
      <c r="E2789" s="11" t="s">
        <v>8943</v>
      </c>
      <c r="F2789" s="36">
        <f t="array" ref="F2789">XLOOKUP(A2789,IMDB_Movies!I$2:I$3493,IMDB_Movies!P$2:P$3493)</f>
        <v>156074524</v>
      </c>
    </row>
    <row r="2790">
      <c r="A2790" s="16" t="s">
        <v>8946</v>
      </c>
      <c r="B2790" s="35">
        <f t="array" ref="B2790">XLOOKUP(A2790,IMDB_Movies!I$2:I$3493,IMDB_Movies!Q$2:Q$3493)</f>
        <v>0</v>
      </c>
      <c r="E2790" s="16" t="s">
        <v>8946</v>
      </c>
      <c r="F2790" s="36">
        <f t="array" ref="F2790">XLOOKUP(A2790,IMDB_Movies!I$2:I$3493,IMDB_Movies!P$2:P$3493)</f>
        <v>2588228</v>
      </c>
    </row>
    <row r="2791">
      <c r="A2791" s="20" t="s">
        <v>8949</v>
      </c>
      <c r="B2791" s="35">
        <f t="array" ref="B2791">XLOOKUP(A2791,IMDB_Movies!I$2:I$3493,IMDB_Movies!Q$2:Q$3493)</f>
        <v>0</v>
      </c>
      <c r="E2791" s="20" t="s">
        <v>8949</v>
      </c>
      <c r="F2791" s="36">
        <f t="array" ref="F2791">XLOOKUP(A2791,IMDB_Movies!I$2:I$3493,IMDB_Movies!P$2:P$3493)</f>
        <v>42618434</v>
      </c>
    </row>
    <row r="2792">
      <c r="A2792" s="24" t="s">
        <v>8952</v>
      </c>
      <c r="B2792" s="35">
        <f t="array" ref="B2792">XLOOKUP(A2792,IMDB_Movies!I$2:I$3493,IMDB_Movies!Q$2:Q$3493)</f>
        <v>0</v>
      </c>
      <c r="E2792" s="24" t="s">
        <v>8952</v>
      </c>
      <c r="F2792" s="36">
        <f t="array" ref="F2792">XLOOKUP(A2792,IMDB_Movies!I$2:I$3493,IMDB_Movies!P$2:P$3493)</f>
        <v>24870275</v>
      </c>
    </row>
    <row r="2793">
      <c r="A2793" s="20" t="s">
        <v>8954</v>
      </c>
      <c r="B2793" s="35">
        <f t="array" ref="B2793">XLOOKUP(A2793,IMDB_Movies!I$2:I$3493,IMDB_Movies!Q$2:Q$3493)</f>
        <v>0</v>
      </c>
      <c r="E2793" s="20" t="s">
        <v>8954</v>
      </c>
      <c r="F2793" s="36">
        <f t="array" ref="F2793">XLOOKUP(A2793,IMDB_Movies!I$2:I$3493,IMDB_Movies!P$2:P$3493)</f>
        <v>58476776</v>
      </c>
    </row>
    <row r="2794">
      <c r="A2794" s="11" t="s">
        <v>8958</v>
      </c>
      <c r="B2794" s="35">
        <f t="array" ref="B2794">XLOOKUP(A2794,IMDB_Movies!I$2:I$3493,IMDB_Movies!Q$2:Q$3493)</f>
        <v>0</v>
      </c>
      <c r="E2794" s="11" t="s">
        <v>8958</v>
      </c>
      <c r="F2794" s="36">
        <f t="array" ref="F2794">XLOOKUP(A2794,IMDB_Movies!I$2:I$3493,IMDB_Movies!P$2:P$3493)</f>
        <v>124220</v>
      </c>
    </row>
    <row r="2795">
      <c r="A2795" s="32" t="s">
        <v>8960</v>
      </c>
      <c r="B2795" s="35">
        <f t="array" ref="B2795">XLOOKUP(A2795,IMDB_Movies!I$2:I$3493,IMDB_Movies!Q$2:Q$3493)</f>
        <v>19923562</v>
      </c>
      <c r="E2795" s="32" t="s">
        <v>8960</v>
      </c>
      <c r="F2795" s="36">
        <f t="array" ref="F2795">XLOOKUP(A2795,IMDB_Movies!I$2:I$3493,IMDB_Movies!P$2:P$3493)</f>
        <v>0</v>
      </c>
    </row>
    <row r="2796">
      <c r="A2796" s="20" t="s">
        <v>8964</v>
      </c>
      <c r="B2796" s="35">
        <f t="array" ref="B2796">XLOOKUP(A2796,IMDB_Movies!I$2:I$3493,IMDB_Movies!Q$2:Q$3493)</f>
        <v>0</v>
      </c>
      <c r="E2796" s="20" t="s">
        <v>8964</v>
      </c>
      <c r="F2796" s="36">
        <f t="array" ref="F2796">XLOOKUP(A2796,IMDB_Movies!I$2:I$3493,IMDB_Movies!P$2:P$3493)</f>
        <v>25853424</v>
      </c>
    </row>
    <row r="2797">
      <c r="A2797" s="24" t="s">
        <v>8966</v>
      </c>
      <c r="B2797" s="35">
        <f t="array" ref="B2797">XLOOKUP(A2797,IMDB_Movies!I$2:I$3493,IMDB_Movies!Q$2:Q$3493)</f>
        <v>15998879</v>
      </c>
      <c r="E2797" s="24" t="s">
        <v>8966</v>
      </c>
      <c r="F2797" s="36">
        <f t="array" ref="F2797">XLOOKUP(A2797,IMDB_Movies!I$2:I$3493,IMDB_Movies!P$2:P$3493)</f>
        <v>0</v>
      </c>
    </row>
    <row r="2798">
      <c r="A2798" s="28" t="s">
        <v>8968</v>
      </c>
      <c r="B2798" s="35">
        <f t="array" ref="B2798">XLOOKUP(A2798,IMDB_Movies!I$2:I$3493,IMDB_Movies!Q$2:Q$3493)</f>
        <v>0</v>
      </c>
      <c r="E2798" s="28" t="s">
        <v>8968</v>
      </c>
      <c r="F2798" s="36">
        <f t="array" ref="F2798">XLOOKUP(A2798,IMDB_Movies!I$2:I$3493,IMDB_Movies!P$2:P$3493)</f>
        <v>35990057</v>
      </c>
    </row>
    <row r="2799">
      <c r="A2799" s="11" t="s">
        <v>8971</v>
      </c>
      <c r="B2799" s="35">
        <f t="array" ref="B2799">XLOOKUP(A2799,IMDB_Movies!I$2:I$3493,IMDB_Movies!Q$2:Q$3493)</f>
        <v>0</v>
      </c>
      <c r="E2799" s="11" t="s">
        <v>8971</v>
      </c>
      <c r="F2799" s="36">
        <f t="array" ref="F2799">XLOOKUP(A2799,IMDB_Movies!I$2:I$3493,IMDB_Movies!P$2:P$3493)</f>
        <v>22499043</v>
      </c>
    </row>
    <row r="2800">
      <c r="A2800" s="28" t="s">
        <v>8974</v>
      </c>
      <c r="B2800" s="35">
        <f t="array" ref="B2800">XLOOKUP(A2800,IMDB_Movies!I$2:I$3493,IMDB_Movies!Q$2:Q$3493)</f>
        <v>0</v>
      </c>
      <c r="E2800" s="28" t="s">
        <v>8974</v>
      </c>
      <c r="F2800" s="36">
        <f t="array" ref="F2800">XLOOKUP(A2800,IMDB_Movies!I$2:I$3493,IMDB_Movies!P$2:P$3493)</f>
        <v>10470220</v>
      </c>
    </row>
    <row r="2801">
      <c r="A2801" s="20" t="s">
        <v>8976</v>
      </c>
      <c r="B2801" s="35">
        <f t="array" ref="B2801">XLOOKUP(A2801,IMDB_Movies!I$2:I$3493,IMDB_Movies!Q$2:Q$3493)</f>
        <v>0</v>
      </c>
      <c r="E2801" s="20" t="s">
        <v>8976</v>
      </c>
      <c r="F2801" s="36">
        <f t="array" ref="F2801">XLOOKUP(A2801,IMDB_Movies!I$2:I$3493,IMDB_Movies!P$2:P$3493)</f>
        <v>45012170</v>
      </c>
    </row>
    <row r="2802">
      <c r="A2802" s="11" t="s">
        <v>8978</v>
      </c>
      <c r="B2802" s="35">
        <f t="array" ref="B2802">XLOOKUP(A2802,IMDB_Movies!I$2:I$3493,IMDB_Movies!Q$2:Q$3493)</f>
        <v>672499</v>
      </c>
      <c r="E2802" s="11" t="s">
        <v>8978</v>
      </c>
      <c r="F2802" s="36">
        <f t="array" ref="F2802">XLOOKUP(A2802,IMDB_Movies!I$2:I$3493,IMDB_Movies!P$2:P$3493)</f>
        <v>0</v>
      </c>
    </row>
    <row r="2803">
      <c r="A2803" s="32" t="s">
        <v>8981</v>
      </c>
      <c r="B2803" s="35">
        <f t="array" ref="B2803">XLOOKUP(A2803,IMDB_Movies!I$2:I$3493,IMDB_Movies!Q$2:Q$3493)</f>
        <v>0</v>
      </c>
      <c r="E2803" s="32" t="s">
        <v>8981</v>
      </c>
      <c r="F2803" s="36">
        <f t="array" ref="F2803">XLOOKUP(A2803,IMDB_Movies!I$2:I$3493,IMDB_Movies!P$2:P$3493)</f>
        <v>27852604</v>
      </c>
    </row>
    <row r="2804">
      <c r="A2804" s="11" t="s">
        <v>8985</v>
      </c>
      <c r="B2804" s="35">
        <f t="array" ref="B2804">XLOOKUP(A2804,IMDB_Movies!I$2:I$3493,IMDB_Movies!Q$2:Q$3493)</f>
        <v>41132306</v>
      </c>
      <c r="E2804" s="11" t="s">
        <v>8985</v>
      </c>
      <c r="F2804" s="36">
        <f t="array" ref="F2804">XLOOKUP(A2804,IMDB_Movies!I$2:I$3493,IMDB_Movies!P$2:P$3493)</f>
        <v>0</v>
      </c>
    </row>
    <row r="2805">
      <c r="A2805" s="11" t="s">
        <v>8987</v>
      </c>
      <c r="B2805" s="35">
        <f t="array" ref="B2805">XLOOKUP(A2805,IMDB_Movies!I$2:I$3493,IMDB_Movies!Q$2:Q$3493)</f>
        <v>0</v>
      </c>
      <c r="E2805" s="11" t="s">
        <v>8987</v>
      </c>
      <c r="F2805" s="36">
        <f t="array" ref="F2805">XLOOKUP(A2805,IMDB_Movies!I$2:I$3493,IMDB_Movies!P$2:P$3493)</f>
        <v>33600000</v>
      </c>
    </row>
    <row r="2806">
      <c r="A2806" s="24" t="s">
        <v>8989</v>
      </c>
      <c r="B2806" s="35">
        <f t="array" ref="B2806">XLOOKUP(A2806,IMDB_Movies!I$2:I$3493,IMDB_Movies!Q$2:Q$3493)</f>
        <v>0</v>
      </c>
      <c r="E2806" s="24" t="s">
        <v>8989</v>
      </c>
      <c r="F2806" s="36">
        <f t="array" ref="F2806">XLOOKUP(A2806,IMDB_Movies!I$2:I$3493,IMDB_Movies!P$2:P$3493)</f>
        <v>1815748</v>
      </c>
    </row>
    <row r="2807">
      <c r="A2807" s="28" t="s">
        <v>8992</v>
      </c>
      <c r="B2807" s="35">
        <f t="array" ref="B2807">XLOOKUP(A2807,IMDB_Movies!I$2:I$3493,IMDB_Movies!Q$2:Q$3493)</f>
        <v>16682849</v>
      </c>
      <c r="E2807" s="28" t="s">
        <v>8992</v>
      </c>
      <c r="F2807" s="36">
        <f t="array" ref="F2807">XLOOKUP(A2807,IMDB_Movies!I$2:I$3493,IMDB_Movies!P$2:P$3493)</f>
        <v>0</v>
      </c>
    </row>
    <row r="2808">
      <c r="A2808" s="20" t="s">
        <v>8994</v>
      </c>
      <c r="B2808" s="35">
        <f t="array" ref="B2808">XLOOKUP(A2808,IMDB_Movies!I$2:I$3493,IMDB_Movies!Q$2:Q$3493)</f>
        <v>0</v>
      </c>
      <c r="E2808" s="20" t="s">
        <v>8994</v>
      </c>
      <c r="F2808" s="36">
        <f t="array" ref="F2808">XLOOKUP(A2808,IMDB_Movies!I$2:I$3493,IMDB_Movies!P$2:P$3493)</f>
        <v>22569532</v>
      </c>
    </row>
    <row r="2809">
      <c r="A2809" s="24" t="s">
        <v>8997</v>
      </c>
      <c r="B2809" s="35">
        <f t="array" ref="B2809">XLOOKUP(A2809,IMDB_Movies!I$2:I$3493,IMDB_Movies!Q$2:Q$3493)</f>
        <v>0</v>
      </c>
      <c r="E2809" s="24" t="s">
        <v>8997</v>
      </c>
      <c r="F2809" s="36">
        <f t="array" ref="F2809">XLOOKUP(A2809,IMDB_Movies!I$2:I$3493,IMDB_Movies!P$2:P$3493)</f>
        <v>76491683</v>
      </c>
    </row>
    <row r="2810">
      <c r="A2810" s="11" t="s">
        <v>8999</v>
      </c>
      <c r="B2810" s="35">
        <f t="array" ref="B2810">XLOOKUP(A2810,IMDB_Movies!I$2:I$3493,IMDB_Movies!Q$2:Q$3493)</f>
        <v>6349262</v>
      </c>
      <c r="E2810" s="11" t="s">
        <v>8999</v>
      </c>
      <c r="F2810" s="36">
        <f t="array" ref="F2810">XLOOKUP(A2810,IMDB_Movies!I$2:I$3493,IMDB_Movies!P$2:P$3493)</f>
        <v>0</v>
      </c>
    </row>
    <row r="2811">
      <c r="A2811" s="16" t="s">
        <v>9002</v>
      </c>
      <c r="B2811" s="35">
        <f t="array" ref="B2811">XLOOKUP(A2811,IMDB_Movies!I$2:I$3493,IMDB_Movies!Q$2:Q$3493)</f>
        <v>0</v>
      </c>
      <c r="E2811" s="16" t="s">
        <v>9002</v>
      </c>
      <c r="F2811" s="36">
        <f t="array" ref="F2811">XLOOKUP(A2811,IMDB_Movies!I$2:I$3493,IMDB_Movies!P$2:P$3493)</f>
        <v>48635996</v>
      </c>
    </row>
    <row r="2812">
      <c r="A2812" s="24" t="s">
        <v>9005</v>
      </c>
      <c r="B2812" s="35">
        <f t="array" ref="B2812">XLOOKUP(A2812,IMDB_Movies!I$2:I$3493,IMDB_Movies!Q$2:Q$3493)</f>
        <v>0</v>
      </c>
      <c r="E2812" s="24" t="s">
        <v>9005</v>
      </c>
      <c r="F2812" s="36">
        <f t="array" ref="F2812">XLOOKUP(A2812,IMDB_Movies!I$2:I$3493,IMDB_Movies!P$2:P$3493)</f>
        <v>19597131</v>
      </c>
    </row>
    <row r="2813">
      <c r="A2813" s="20" t="s">
        <v>9007</v>
      </c>
      <c r="B2813" s="35">
        <f t="array" ref="B2813">XLOOKUP(A2813,IMDB_Movies!I$2:I$3493,IMDB_Movies!Q$2:Q$3493)</f>
        <v>27059493</v>
      </c>
      <c r="E2813" s="20" t="s">
        <v>9007</v>
      </c>
      <c r="F2813" s="36">
        <f t="array" ref="F2813">XLOOKUP(A2813,IMDB_Movies!I$2:I$3493,IMDB_Movies!P$2:P$3493)</f>
        <v>0</v>
      </c>
    </row>
    <row r="2814">
      <c r="A2814" s="11" t="s">
        <v>9009</v>
      </c>
      <c r="B2814" s="35">
        <f t="array" ref="B2814">XLOOKUP(A2814,IMDB_Movies!I$2:I$3493,IMDB_Movies!Q$2:Q$3493)</f>
        <v>0</v>
      </c>
      <c r="E2814" s="11" t="s">
        <v>9009</v>
      </c>
      <c r="F2814" s="36">
        <f t="array" ref="F2814">XLOOKUP(A2814,IMDB_Movies!I$2:I$3493,IMDB_Movies!P$2:P$3493)</f>
        <v>3257792</v>
      </c>
    </row>
    <row r="2815">
      <c r="A2815" s="32" t="s">
        <v>9012</v>
      </c>
      <c r="B2815" s="35">
        <f t="array" ref="B2815">XLOOKUP(A2815,IMDB_Movies!I$2:I$3493,IMDB_Movies!Q$2:Q$3493)</f>
        <v>12513862</v>
      </c>
      <c r="E2815" s="32" t="s">
        <v>9012</v>
      </c>
      <c r="F2815" s="36">
        <f t="array" ref="F2815">XLOOKUP(A2815,IMDB_Movies!I$2:I$3493,IMDB_Movies!P$2:P$3493)</f>
        <v>0</v>
      </c>
    </row>
    <row r="2816">
      <c r="A2816" s="28" t="s">
        <v>9014</v>
      </c>
      <c r="B2816" s="35">
        <f t="array" ref="B2816">XLOOKUP(A2816,IMDB_Movies!I$2:I$3493,IMDB_Movies!Q$2:Q$3493)</f>
        <v>0</v>
      </c>
      <c r="E2816" s="28" t="s">
        <v>9014</v>
      </c>
      <c r="F2816" s="36">
        <f t="array" ref="F2816">XLOOKUP(A2816,IMDB_Movies!I$2:I$3493,IMDB_Movies!P$2:P$3493)</f>
        <v>5473600</v>
      </c>
    </row>
    <row r="2817">
      <c r="A2817" s="16" t="s">
        <v>9016</v>
      </c>
      <c r="B2817" s="35">
        <f t="array" ref="B2817">XLOOKUP(A2817,IMDB_Movies!I$2:I$3493,IMDB_Movies!Q$2:Q$3493)</f>
        <v>1304240</v>
      </c>
      <c r="E2817" s="16" t="s">
        <v>9016</v>
      </c>
      <c r="F2817" s="36">
        <f t="array" ref="F2817">XLOOKUP(A2817,IMDB_Movies!I$2:I$3493,IMDB_Movies!P$2:P$3493)</f>
        <v>0</v>
      </c>
    </row>
    <row r="2818">
      <c r="A2818" s="16" t="s">
        <v>9019</v>
      </c>
      <c r="B2818" s="35">
        <f t="array" ref="B2818">XLOOKUP(A2818,IMDB_Movies!I$2:I$3493,IMDB_Movies!Q$2:Q$3493)</f>
        <v>48012713</v>
      </c>
      <c r="E2818" s="16" t="s">
        <v>9019</v>
      </c>
      <c r="F2818" s="36">
        <f t="array" ref="F2818">XLOOKUP(A2818,IMDB_Movies!I$2:I$3493,IMDB_Movies!P$2:P$3493)</f>
        <v>0</v>
      </c>
    </row>
    <row r="2819">
      <c r="A2819" s="11" t="s">
        <v>9021</v>
      </c>
      <c r="B2819" s="35">
        <f t="array" ref="B2819">XLOOKUP(A2819,IMDB_Movies!I$2:I$3493,IMDB_Movies!Q$2:Q$3493)</f>
        <v>4988000</v>
      </c>
      <c r="E2819" s="11" t="s">
        <v>9021</v>
      </c>
      <c r="F2819" s="36">
        <f t="array" ref="F2819">XLOOKUP(A2819,IMDB_Movies!I$2:I$3493,IMDB_Movies!P$2:P$3493)</f>
        <v>0</v>
      </c>
    </row>
    <row r="2820">
      <c r="A2820" s="20" t="s">
        <v>9025</v>
      </c>
      <c r="B2820" s="35">
        <f t="array" ref="B2820">XLOOKUP(A2820,IMDB_Movies!I$2:I$3493,IMDB_Movies!Q$2:Q$3493)</f>
        <v>13955468</v>
      </c>
      <c r="E2820" s="20" t="s">
        <v>9025</v>
      </c>
      <c r="F2820" s="36">
        <f t="array" ref="F2820">XLOOKUP(A2820,IMDB_Movies!I$2:I$3493,IMDB_Movies!P$2:P$3493)</f>
        <v>0</v>
      </c>
    </row>
    <row r="2821">
      <c r="A2821" s="20" t="s">
        <v>9028</v>
      </c>
      <c r="B2821" s="35">
        <f t="array" ref="B2821">XLOOKUP(A2821,IMDB_Movies!I$2:I$3493,IMDB_Movies!Q$2:Q$3493)</f>
        <v>1498479</v>
      </c>
      <c r="E2821" s="20" t="s">
        <v>9028</v>
      </c>
      <c r="F2821" s="36">
        <f t="array" ref="F2821">XLOOKUP(A2821,IMDB_Movies!I$2:I$3493,IMDB_Movies!P$2:P$3493)</f>
        <v>0</v>
      </c>
    </row>
    <row r="2822">
      <c r="A2822" s="11" t="s">
        <v>9031</v>
      </c>
      <c r="B2822" s="35">
        <f t="array" ref="B2822">XLOOKUP(A2822,IMDB_Movies!I$2:I$3493,IMDB_Movies!Q$2:Q$3493)</f>
        <v>10665355</v>
      </c>
      <c r="E2822" s="11" t="s">
        <v>9031</v>
      </c>
      <c r="F2822" s="36">
        <f t="array" ref="F2822">XLOOKUP(A2822,IMDB_Movies!I$2:I$3493,IMDB_Movies!P$2:P$3493)</f>
        <v>0</v>
      </c>
    </row>
    <row r="2823">
      <c r="A2823" s="24" t="s">
        <v>9036</v>
      </c>
      <c r="B2823" s="35">
        <f t="array" ref="B2823">XLOOKUP(A2823,IMDB_Movies!I$2:I$3493,IMDB_Movies!Q$2:Q$3493)</f>
        <v>1997564</v>
      </c>
      <c r="E2823" s="24" t="s">
        <v>9036</v>
      </c>
      <c r="F2823" s="36">
        <f t="array" ref="F2823">XLOOKUP(A2823,IMDB_Movies!I$2:I$3493,IMDB_Movies!P$2:P$3493)</f>
        <v>0</v>
      </c>
    </row>
    <row r="2824">
      <c r="A2824" s="28" t="s">
        <v>9039</v>
      </c>
      <c r="B2824" s="35">
        <f t="array" ref="B2824">XLOOKUP(A2824,IMDB_Movies!I$2:I$3493,IMDB_Movies!Q$2:Q$3493)</f>
        <v>0</v>
      </c>
      <c r="E2824" s="28" t="s">
        <v>9039</v>
      </c>
      <c r="F2824" s="36">
        <f t="array" ref="F2824">XLOOKUP(A2824,IMDB_Movies!I$2:I$3493,IMDB_Movies!P$2:P$3493)</f>
        <v>7887882</v>
      </c>
    </row>
    <row r="2825">
      <c r="A2825" s="24" t="s">
        <v>9041</v>
      </c>
      <c r="B2825" s="35">
        <f t="array" ref="B2825">XLOOKUP(A2825,IMDB_Movies!I$2:I$3493,IMDB_Movies!Q$2:Q$3493)</f>
        <v>1217162</v>
      </c>
      <c r="E2825" s="24" t="s">
        <v>9041</v>
      </c>
      <c r="F2825" s="36">
        <f t="array" ref="F2825">XLOOKUP(A2825,IMDB_Movies!I$2:I$3493,IMDB_Movies!P$2:P$3493)</f>
        <v>0</v>
      </c>
    </row>
    <row r="2826">
      <c r="A2826" s="32" t="s">
        <v>9044</v>
      </c>
      <c r="B2826" s="35">
        <f t="array" ref="B2826">XLOOKUP(A2826,IMDB_Movies!I$2:I$3493,IMDB_Movies!Q$2:Q$3493)</f>
        <v>16446167</v>
      </c>
      <c r="E2826" s="32" t="s">
        <v>9044</v>
      </c>
      <c r="F2826" s="36">
        <f t="array" ref="F2826">XLOOKUP(A2826,IMDB_Movies!I$2:I$3493,IMDB_Movies!P$2:P$3493)</f>
        <v>0</v>
      </c>
    </row>
    <row r="2827">
      <c r="A2827" s="24" t="s">
        <v>9047</v>
      </c>
      <c r="B2827" s="35">
        <f t="array" ref="B2827">XLOOKUP(A2827,IMDB_Movies!I$2:I$3493,IMDB_Movies!Q$2:Q$3493)</f>
        <v>0</v>
      </c>
      <c r="E2827" s="24" t="s">
        <v>9047</v>
      </c>
      <c r="F2827" s="36">
        <f t="array" ref="F2827">XLOOKUP(A2827,IMDB_Movies!I$2:I$3493,IMDB_Movies!P$2:P$3493)</f>
        <v>19506619</v>
      </c>
    </row>
    <row r="2828">
      <c r="A2828" s="11" t="s">
        <v>9051</v>
      </c>
      <c r="B2828" s="35">
        <f t="array" ref="B2828">XLOOKUP(A2828,IMDB_Movies!I$2:I$3493,IMDB_Movies!Q$2:Q$3493)</f>
        <v>925977</v>
      </c>
      <c r="E2828" s="11" t="s">
        <v>9051</v>
      </c>
      <c r="F2828" s="36">
        <f t="array" ref="F2828">XLOOKUP(A2828,IMDB_Movies!I$2:I$3493,IMDB_Movies!P$2:P$3493)</f>
        <v>0</v>
      </c>
    </row>
    <row r="2829">
      <c r="A2829" s="11" t="s">
        <v>9054</v>
      </c>
      <c r="B2829" s="35">
        <f t="array" ref="B2829">XLOOKUP(A2829,IMDB_Movies!I$2:I$3493,IMDB_Movies!Q$2:Q$3493)</f>
        <v>0</v>
      </c>
      <c r="E2829" s="11" t="s">
        <v>9054</v>
      </c>
      <c r="F2829" s="36">
        <f t="array" ref="F2829">XLOOKUP(A2829,IMDB_Movies!I$2:I$3493,IMDB_Movies!P$2:P$3493)</f>
        <v>6012734</v>
      </c>
    </row>
    <row r="2830">
      <c r="A2830" s="24" t="s">
        <v>9056</v>
      </c>
      <c r="B2830" s="35">
        <f t="array" ref="B2830">XLOOKUP(A2830,IMDB_Movies!I$2:I$3493,IMDB_Movies!Q$2:Q$3493)</f>
        <v>12247786</v>
      </c>
      <c r="E2830" s="24" t="s">
        <v>9056</v>
      </c>
      <c r="F2830" s="36">
        <f t="array" ref="F2830">XLOOKUP(A2830,IMDB_Movies!I$2:I$3493,IMDB_Movies!P$2:P$3493)</f>
        <v>0</v>
      </c>
    </row>
    <row r="2831">
      <c r="A2831" s="32" t="s">
        <v>9058</v>
      </c>
      <c r="B2831" s="35">
        <f t="array" ref="B2831">XLOOKUP(A2831,IMDB_Movies!I$2:I$3493,IMDB_Movies!Q$2:Q$3493)</f>
        <v>0</v>
      </c>
      <c r="E2831" s="32" t="s">
        <v>9058</v>
      </c>
      <c r="F2831" s="36">
        <f t="array" ref="F2831">XLOOKUP(A2831,IMDB_Movies!I$2:I$3493,IMDB_Movies!P$2:P$3493)</f>
        <v>46126012</v>
      </c>
    </row>
    <row r="2832">
      <c r="A2832" s="20" t="s">
        <v>9061</v>
      </c>
      <c r="B2832" s="35">
        <f t="array" ref="B2832">XLOOKUP(A2832,IMDB_Movies!I$2:I$3493,IMDB_Movies!Q$2:Q$3493)</f>
        <v>348611</v>
      </c>
      <c r="E2832" s="20" t="s">
        <v>9061</v>
      </c>
      <c r="F2832" s="36">
        <f t="array" ref="F2832">XLOOKUP(A2832,IMDB_Movies!I$2:I$3493,IMDB_Movies!P$2:P$3493)</f>
        <v>0</v>
      </c>
    </row>
    <row r="2833">
      <c r="A2833" s="11" t="s">
        <v>9064</v>
      </c>
      <c r="B2833" s="35">
        <f t="array" ref="B2833">XLOOKUP(A2833,IMDB_Movies!I$2:I$3493,IMDB_Movies!Q$2:Q$3493)</f>
        <v>71007672</v>
      </c>
      <c r="E2833" s="11" t="s">
        <v>9064</v>
      </c>
      <c r="F2833" s="36">
        <f t="array" ref="F2833">XLOOKUP(A2833,IMDB_Movies!I$2:I$3493,IMDB_Movies!P$2:P$3493)</f>
        <v>0</v>
      </c>
    </row>
    <row r="2834">
      <c r="A2834" s="11" t="s">
        <v>9066</v>
      </c>
      <c r="B2834" s="35">
        <f t="array" ref="B2834">XLOOKUP(A2834,IMDB_Movies!I$2:I$3493,IMDB_Movies!Q$2:Q$3493)</f>
        <v>0</v>
      </c>
      <c r="E2834" s="11" t="s">
        <v>9066</v>
      </c>
      <c r="F2834" s="36">
        <f t="array" ref="F2834">XLOOKUP(A2834,IMDB_Movies!I$2:I$3493,IMDB_Movies!P$2:P$3493)</f>
        <v>11643008</v>
      </c>
    </row>
    <row r="2835">
      <c r="A2835" s="11" t="s">
        <v>9069</v>
      </c>
      <c r="B2835" s="35">
        <f t="array" ref="B2835">XLOOKUP(A2835,IMDB_Movies!I$2:I$3493,IMDB_Movies!Q$2:Q$3493)</f>
        <v>33795862</v>
      </c>
      <c r="E2835" s="11" t="s">
        <v>9069</v>
      </c>
      <c r="F2835" s="36">
        <f t="array" ref="F2835">XLOOKUP(A2835,IMDB_Movies!I$2:I$3493,IMDB_Movies!P$2:P$3493)</f>
        <v>0</v>
      </c>
    </row>
    <row r="2836">
      <c r="A2836" s="24" t="s">
        <v>9072</v>
      </c>
      <c r="B2836" s="35">
        <f t="array" ref="B2836">XLOOKUP(A2836,IMDB_Movies!I$2:I$3493,IMDB_Movies!Q$2:Q$3493)</f>
        <v>6072524</v>
      </c>
      <c r="E2836" s="24" t="s">
        <v>9072</v>
      </c>
      <c r="F2836" s="36">
        <f t="array" ref="F2836">XLOOKUP(A2836,IMDB_Movies!I$2:I$3493,IMDB_Movies!P$2:P$3493)</f>
        <v>0</v>
      </c>
    </row>
    <row r="2837">
      <c r="A2837" s="11" t="s">
        <v>9074</v>
      </c>
      <c r="B2837" s="35">
        <f t="array" ref="B2837">XLOOKUP(A2837,IMDB_Movies!I$2:I$3493,IMDB_Movies!Q$2:Q$3493)</f>
        <v>0</v>
      </c>
      <c r="E2837" s="11" t="s">
        <v>9074</v>
      </c>
      <c r="F2837" s="36">
        <f t="array" ref="F2837">XLOOKUP(A2837,IMDB_Movies!I$2:I$3493,IMDB_Movies!P$2:P$3493)</f>
        <v>96936400</v>
      </c>
    </row>
    <row r="2838">
      <c r="A2838" s="11" t="s">
        <v>9076</v>
      </c>
      <c r="B2838" s="35">
        <f t="array" ref="B2838">XLOOKUP(A2838,IMDB_Movies!I$2:I$3493,IMDB_Movies!Q$2:Q$3493)</f>
        <v>7146360</v>
      </c>
      <c r="E2838" s="11" t="s">
        <v>9076</v>
      </c>
      <c r="F2838" s="36">
        <f t="array" ref="F2838">XLOOKUP(A2838,IMDB_Movies!I$2:I$3493,IMDB_Movies!P$2:P$3493)</f>
        <v>0</v>
      </c>
    </row>
    <row r="2839">
      <c r="A2839" s="20" t="s">
        <v>9080</v>
      </c>
      <c r="B2839" s="35">
        <f t="array" ref="B2839">XLOOKUP(A2839,IMDB_Movies!I$2:I$3493,IMDB_Movies!Q$2:Q$3493)</f>
        <v>0</v>
      </c>
      <c r="E2839" s="20" t="s">
        <v>9080</v>
      </c>
      <c r="F2839" s="36">
        <f t="array" ref="F2839">XLOOKUP(A2839,IMDB_Movies!I$2:I$3493,IMDB_Movies!P$2:P$3493)</f>
        <v>16500000</v>
      </c>
    </row>
    <row r="2840">
      <c r="A2840" s="28" t="s">
        <v>9083</v>
      </c>
      <c r="B2840" s="35">
        <f t="array" ref="B2840">XLOOKUP(A2840,IMDB_Movies!I$2:I$3493,IMDB_Movies!Q$2:Q$3493)</f>
        <v>0</v>
      </c>
      <c r="E2840" s="28" t="s">
        <v>9083</v>
      </c>
      <c r="F2840" s="36">
        <f t="array" ref="F2840">XLOOKUP(A2840,IMDB_Movies!I$2:I$3493,IMDB_Movies!P$2:P$3493)</f>
        <v>6354736</v>
      </c>
    </row>
    <row r="2841">
      <c r="A2841" s="20" t="s">
        <v>9085</v>
      </c>
      <c r="B2841" s="35">
        <f t="array" ref="B2841">XLOOKUP(A2841,IMDB_Movies!I$2:I$3493,IMDB_Movies!Q$2:Q$3493)</f>
        <v>0</v>
      </c>
      <c r="E2841" s="20" t="s">
        <v>9085</v>
      </c>
      <c r="F2841" s="36">
        <f t="array" ref="F2841">XLOOKUP(A2841,IMDB_Movies!I$2:I$3493,IMDB_Movies!P$2:P$3493)</f>
        <v>6987757</v>
      </c>
    </row>
    <row r="2842">
      <c r="A2842" s="20" t="s">
        <v>9088</v>
      </c>
      <c r="B2842" s="35">
        <f t="array" ref="B2842">XLOOKUP(A2842,IMDB_Movies!I$2:I$3493,IMDB_Movies!Q$2:Q$3493)</f>
        <v>0</v>
      </c>
      <c r="E2842" s="20" t="s">
        <v>9088</v>
      </c>
      <c r="F2842" s="36">
        <f t="array" ref="F2842">XLOOKUP(A2842,IMDB_Movies!I$2:I$3493,IMDB_Movies!P$2:P$3493)</f>
        <v>26068547</v>
      </c>
    </row>
    <row r="2843">
      <c r="A2843" s="28" t="s">
        <v>9090</v>
      </c>
      <c r="B2843" s="35">
        <f t="array" ref="B2843">XLOOKUP(A2843,IMDB_Movies!I$2:I$3493,IMDB_Movies!Q$2:Q$3493)</f>
        <v>0</v>
      </c>
      <c r="E2843" s="28" t="s">
        <v>9090</v>
      </c>
      <c r="F2843" s="36">
        <f t="array" ref="F2843">XLOOKUP(A2843,IMDB_Movies!I$2:I$3493,IMDB_Movies!P$2:P$3493)</f>
        <v>106735396</v>
      </c>
    </row>
    <row r="2844">
      <c r="A2844" s="11" t="s">
        <v>9093</v>
      </c>
      <c r="B2844" s="35">
        <f t="array" ref="B2844">XLOOKUP(A2844,IMDB_Movies!I$2:I$3493,IMDB_Movies!Q$2:Q$3493)</f>
        <v>26800785</v>
      </c>
      <c r="E2844" s="11" t="s">
        <v>9093</v>
      </c>
      <c r="F2844" s="36">
        <f t="array" ref="F2844">XLOOKUP(A2844,IMDB_Movies!I$2:I$3493,IMDB_Movies!P$2:P$3493)</f>
        <v>0</v>
      </c>
    </row>
    <row r="2845">
      <c r="A2845" s="28" t="s">
        <v>9097</v>
      </c>
      <c r="B2845" s="35">
        <f t="array" ref="B2845">XLOOKUP(A2845,IMDB_Movies!I$2:I$3493,IMDB_Movies!Q$2:Q$3493)</f>
        <v>0</v>
      </c>
      <c r="E2845" s="28" t="s">
        <v>9097</v>
      </c>
      <c r="F2845" s="36">
        <f t="array" ref="F2845">XLOOKUP(A2845,IMDB_Movies!I$2:I$3493,IMDB_Movies!P$2:P$3493)</f>
        <v>2695428</v>
      </c>
    </row>
    <row r="2846">
      <c r="A2846" s="28" t="s">
        <v>9100</v>
      </c>
      <c r="B2846" s="35">
        <f t="array" ref="B2846">XLOOKUP(A2846,IMDB_Movies!I$2:I$3493,IMDB_Movies!Q$2:Q$3493)</f>
        <v>8049706</v>
      </c>
      <c r="E2846" s="28" t="s">
        <v>9100</v>
      </c>
      <c r="F2846" s="36">
        <f t="array" ref="F2846">XLOOKUP(A2846,IMDB_Movies!I$2:I$3493,IMDB_Movies!P$2:P$3493)</f>
        <v>0</v>
      </c>
    </row>
    <row r="2847">
      <c r="A2847" s="11" t="s">
        <v>9103</v>
      </c>
      <c r="B2847" s="35">
        <f t="array" ref="B2847">XLOOKUP(A2847,IMDB_Movies!I$2:I$3493,IMDB_Movies!Q$2:Q$3493)</f>
        <v>7696561</v>
      </c>
      <c r="E2847" s="11" t="s">
        <v>9103</v>
      </c>
      <c r="F2847" s="36">
        <f t="array" ref="F2847">XLOOKUP(A2847,IMDB_Movies!I$2:I$3493,IMDB_Movies!P$2:P$3493)</f>
        <v>0</v>
      </c>
    </row>
    <row r="2848">
      <c r="A2848" s="11" t="s">
        <v>9106</v>
      </c>
      <c r="B2848" s="35">
        <f t="array" ref="B2848">XLOOKUP(A2848,IMDB_Movies!I$2:I$3493,IMDB_Movies!Q$2:Q$3493)</f>
        <v>23660367</v>
      </c>
      <c r="E2848" s="11" t="s">
        <v>9106</v>
      </c>
      <c r="F2848" s="36">
        <f t="array" ref="F2848">XLOOKUP(A2848,IMDB_Movies!I$2:I$3493,IMDB_Movies!P$2:P$3493)</f>
        <v>0</v>
      </c>
    </row>
    <row r="2849">
      <c r="A2849" s="28" t="s">
        <v>9108</v>
      </c>
      <c r="B2849" s="35">
        <f t="array" ref="B2849">XLOOKUP(A2849,IMDB_Movies!I$2:I$3493,IMDB_Movies!Q$2:Q$3493)</f>
        <v>128624673</v>
      </c>
      <c r="E2849" s="28" t="s">
        <v>9108</v>
      </c>
      <c r="F2849" s="36">
        <f t="array" ref="F2849">XLOOKUP(A2849,IMDB_Movies!I$2:I$3493,IMDB_Movies!P$2:P$3493)</f>
        <v>0</v>
      </c>
    </row>
    <row r="2850">
      <c r="A2850" s="20" t="s">
        <v>9110</v>
      </c>
      <c r="B2850" s="35">
        <f t="array" ref="B2850">XLOOKUP(A2850,IMDB_Movies!I$2:I$3493,IMDB_Movies!Q$2:Q$3493)</f>
        <v>18987439</v>
      </c>
      <c r="E2850" s="20" t="s">
        <v>9110</v>
      </c>
      <c r="F2850" s="36">
        <f t="array" ref="F2850">XLOOKUP(A2850,IMDB_Movies!I$2:I$3493,IMDB_Movies!P$2:P$3493)</f>
        <v>0</v>
      </c>
    </row>
    <row r="2851">
      <c r="A2851" s="11" t="s">
        <v>9112</v>
      </c>
      <c r="B2851" s="35">
        <f t="array" ref="B2851">XLOOKUP(A2851,IMDB_Movies!I$2:I$3493,IMDB_Movies!Q$2:Q$3493)</f>
        <v>0</v>
      </c>
      <c r="E2851" s="11" t="s">
        <v>9112</v>
      </c>
      <c r="F2851" s="36">
        <f t="array" ref="F2851">XLOOKUP(A2851,IMDB_Movies!I$2:I$3493,IMDB_Movies!P$2:P$3493)</f>
        <v>15531634</v>
      </c>
    </row>
    <row r="2852">
      <c r="A2852" s="16" t="s">
        <v>9114</v>
      </c>
      <c r="B2852" s="35">
        <f t="array" ref="B2852">XLOOKUP(A2852,IMDB_Movies!I$2:I$3493,IMDB_Movies!Q$2:Q$3493)</f>
        <v>101879446</v>
      </c>
      <c r="E2852" s="16" t="s">
        <v>9114</v>
      </c>
      <c r="F2852" s="36">
        <f t="array" ref="F2852">XLOOKUP(A2852,IMDB_Movies!I$2:I$3493,IMDB_Movies!P$2:P$3493)</f>
        <v>0</v>
      </c>
    </row>
    <row r="2853">
      <c r="A2853" s="28" t="s">
        <v>9117</v>
      </c>
      <c r="B2853" s="35">
        <f t="array" ref="B2853">XLOOKUP(A2853,IMDB_Movies!I$2:I$3493,IMDB_Movies!Q$2:Q$3493)</f>
        <v>0</v>
      </c>
      <c r="E2853" s="28" t="s">
        <v>9117</v>
      </c>
      <c r="F2853" s="36">
        <f t="array" ref="F2853">XLOOKUP(A2853,IMDB_Movies!I$2:I$3493,IMDB_Movies!P$2:P$3493)</f>
        <v>8503161</v>
      </c>
    </row>
    <row r="2854">
      <c r="A2854" s="11" t="s">
        <v>9119</v>
      </c>
      <c r="B2854" s="35">
        <f t="array" ref="B2854">XLOOKUP(A2854,IMDB_Movies!I$2:I$3493,IMDB_Movies!Q$2:Q$3493)</f>
        <v>15116461</v>
      </c>
      <c r="E2854" s="11" t="s">
        <v>9119</v>
      </c>
      <c r="F2854" s="36">
        <f t="array" ref="F2854">XLOOKUP(A2854,IMDB_Movies!I$2:I$3493,IMDB_Movies!P$2:P$3493)</f>
        <v>0</v>
      </c>
    </row>
    <row r="2855">
      <c r="A2855" s="11" t="s">
        <v>9122</v>
      </c>
      <c r="B2855" s="35">
        <f t="array" ref="B2855">XLOOKUP(A2855,IMDB_Movies!I$2:I$3493,IMDB_Movies!Q$2:Q$3493)</f>
        <v>20001930</v>
      </c>
      <c r="E2855" s="11" t="s">
        <v>9122</v>
      </c>
      <c r="F2855" s="36">
        <f t="array" ref="F2855">XLOOKUP(A2855,IMDB_Movies!I$2:I$3493,IMDB_Movies!P$2:P$3493)</f>
        <v>0</v>
      </c>
    </row>
    <row r="2856">
      <c r="A2856" s="20" t="s">
        <v>9125</v>
      </c>
      <c r="B2856" s="35">
        <f t="array" ref="B2856">XLOOKUP(A2856,IMDB_Movies!I$2:I$3493,IMDB_Movies!Q$2:Q$3493)</f>
        <v>5130675</v>
      </c>
      <c r="E2856" s="20" t="s">
        <v>9125</v>
      </c>
      <c r="F2856" s="36">
        <f t="array" ref="F2856">XLOOKUP(A2856,IMDB_Movies!I$2:I$3493,IMDB_Movies!P$2:P$3493)</f>
        <v>0</v>
      </c>
    </row>
    <row r="2857">
      <c r="A2857" s="20" t="s">
        <v>9128</v>
      </c>
      <c r="B2857" s="35">
        <f t="array" ref="B2857">XLOOKUP(A2857,IMDB_Movies!I$2:I$3493,IMDB_Movies!Q$2:Q$3493)</f>
        <v>0</v>
      </c>
      <c r="E2857" s="20" t="s">
        <v>9128</v>
      </c>
      <c r="F2857" s="36">
        <f t="array" ref="F2857">XLOOKUP(A2857,IMDB_Movies!I$2:I$3493,IMDB_Movies!P$2:P$3493)</f>
        <v>62000082</v>
      </c>
    </row>
    <row r="2858">
      <c r="A2858" s="16" t="s">
        <v>9130</v>
      </c>
      <c r="B2858" s="35">
        <f t="array" ref="B2858">XLOOKUP(A2858,IMDB_Movies!I$2:I$3493,IMDB_Movies!Q$2:Q$3493)</f>
        <v>16008503</v>
      </c>
      <c r="E2858" s="16" t="s">
        <v>9130</v>
      </c>
      <c r="F2858" s="36">
        <f t="array" ref="F2858">XLOOKUP(A2858,IMDB_Movies!I$2:I$3493,IMDB_Movies!P$2:P$3493)</f>
        <v>0</v>
      </c>
    </row>
    <row r="2859">
      <c r="A2859" s="11" t="s">
        <v>9133</v>
      </c>
      <c r="B2859" s="35">
        <f t="array" ref="B2859">XLOOKUP(A2859,IMDB_Movies!I$2:I$3493,IMDB_Movies!Q$2:Q$3493)</f>
        <v>7965819</v>
      </c>
      <c r="E2859" s="11" t="s">
        <v>9133</v>
      </c>
      <c r="F2859" s="36">
        <f t="array" ref="F2859">XLOOKUP(A2859,IMDB_Movies!I$2:I$3493,IMDB_Movies!P$2:P$3493)</f>
        <v>0</v>
      </c>
    </row>
    <row r="2860">
      <c r="A2860" s="32" t="s">
        <v>9136</v>
      </c>
      <c r="B2860" s="35">
        <f t="array" ref="B2860">XLOOKUP(A2860,IMDB_Movies!I$2:I$3493,IMDB_Movies!Q$2:Q$3493)</f>
        <v>0</v>
      </c>
      <c r="E2860" s="32" t="s">
        <v>9136</v>
      </c>
      <c r="F2860" s="36">
        <f t="array" ref="F2860">XLOOKUP(A2860,IMDB_Movies!I$2:I$3493,IMDB_Movies!P$2:P$3493)</f>
        <v>2732062</v>
      </c>
    </row>
    <row r="2861">
      <c r="A2861" s="11" t="s">
        <v>9140</v>
      </c>
      <c r="B2861" s="35">
        <f t="array" ref="B2861">XLOOKUP(A2861,IMDB_Movies!I$2:I$3493,IMDB_Movies!Q$2:Q$3493)</f>
        <v>0</v>
      </c>
      <c r="E2861" s="11" t="s">
        <v>9140</v>
      </c>
      <c r="F2861" s="36">
        <f t="array" ref="F2861">XLOOKUP(A2861,IMDB_Movies!I$2:I$3493,IMDB_Movies!P$2:P$3493)</f>
        <v>10706119</v>
      </c>
    </row>
    <row r="2862">
      <c r="A2862" s="16" t="s">
        <v>9143</v>
      </c>
      <c r="B2862" s="35">
        <f t="array" ref="B2862">XLOOKUP(A2862,IMDB_Movies!I$2:I$3493,IMDB_Movies!Q$2:Q$3493)</f>
        <v>22528315</v>
      </c>
      <c r="E2862" s="16" t="s">
        <v>9143</v>
      </c>
      <c r="F2862" s="36">
        <f t="array" ref="F2862">XLOOKUP(A2862,IMDB_Movies!I$2:I$3493,IMDB_Movies!P$2:P$3493)</f>
        <v>0</v>
      </c>
    </row>
    <row r="2863">
      <c r="A2863" s="20" t="s">
        <v>9145</v>
      </c>
      <c r="B2863" s="35">
        <f t="array" ref="B2863">XLOOKUP(A2863,IMDB_Movies!I$2:I$3493,IMDB_Movies!Q$2:Q$3493)</f>
        <v>13594629</v>
      </c>
      <c r="E2863" s="20" t="s">
        <v>9145</v>
      </c>
      <c r="F2863" s="36">
        <f t="array" ref="F2863">XLOOKUP(A2863,IMDB_Movies!I$2:I$3493,IMDB_Movies!P$2:P$3493)</f>
        <v>0</v>
      </c>
    </row>
    <row r="2864">
      <c r="A2864" s="20" t="s">
        <v>9147</v>
      </c>
      <c r="B2864" s="35">
        <f t="array" ref="B2864">XLOOKUP(A2864,IMDB_Movies!I$2:I$3493,IMDB_Movies!Q$2:Q$3493)</f>
        <v>0</v>
      </c>
      <c r="E2864" s="20" t="s">
        <v>9147</v>
      </c>
      <c r="F2864" s="36">
        <f t="array" ref="F2864">XLOOKUP(A2864,IMDB_Movies!I$2:I$3493,IMDB_Movies!P$2:P$3493)</f>
        <v>17032279</v>
      </c>
    </row>
    <row r="2865">
      <c r="A2865" s="32" t="s">
        <v>9150</v>
      </c>
      <c r="B2865" s="35">
        <f t="array" ref="B2865">XLOOKUP(A2865,IMDB_Movies!I$2:I$3493,IMDB_Movies!Q$2:Q$3493)</f>
        <v>1734419</v>
      </c>
      <c r="E2865" s="32" t="s">
        <v>9150</v>
      </c>
      <c r="F2865" s="36">
        <f t="array" ref="F2865">XLOOKUP(A2865,IMDB_Movies!I$2:I$3493,IMDB_Movies!P$2:P$3493)</f>
        <v>0</v>
      </c>
    </row>
    <row r="2866">
      <c r="A2866" s="11" t="s">
        <v>9155</v>
      </c>
      <c r="B2866" s="35">
        <f t="array" ref="B2866">XLOOKUP(A2866,IMDB_Movies!I$2:I$3493,IMDB_Movies!Q$2:Q$3493)</f>
        <v>2292073</v>
      </c>
      <c r="E2866" s="11" t="s">
        <v>9155</v>
      </c>
      <c r="F2866" s="36">
        <f t="array" ref="F2866">XLOOKUP(A2866,IMDB_Movies!I$2:I$3493,IMDB_Movies!P$2:P$3493)</f>
        <v>0</v>
      </c>
    </row>
    <row r="2867">
      <c r="A2867" s="11" t="s">
        <v>9157</v>
      </c>
      <c r="B2867" s="35">
        <f t="array" ref="B2867">XLOOKUP(A2867,IMDB_Movies!I$2:I$3493,IMDB_Movies!Q$2:Q$3493)</f>
        <v>0</v>
      </c>
      <c r="E2867" s="11" t="s">
        <v>9157</v>
      </c>
      <c r="F2867" s="36">
        <f t="array" ref="F2867">XLOOKUP(A2867,IMDB_Movies!I$2:I$3493,IMDB_Movies!P$2:P$3493)</f>
        <v>45523073</v>
      </c>
    </row>
    <row r="2868">
      <c r="A2868" s="11" t="s">
        <v>9159</v>
      </c>
      <c r="B2868" s="35">
        <f t="array" ref="B2868">XLOOKUP(A2868,IMDB_Movies!I$2:I$3493,IMDB_Movies!Q$2:Q$3493)</f>
        <v>0</v>
      </c>
      <c r="E2868" s="11" t="s">
        <v>9159</v>
      </c>
      <c r="F2868" s="36">
        <f t="array" ref="F2868">XLOOKUP(A2868,IMDB_Movies!I$2:I$3493,IMDB_Movies!P$2:P$3493)</f>
        <v>84713132</v>
      </c>
    </row>
    <row r="2869">
      <c r="A2869" s="11" t="s">
        <v>9161</v>
      </c>
      <c r="B2869" s="35">
        <f t="array" ref="B2869">XLOOKUP(A2869,IMDB_Movies!I$2:I$3493,IMDB_Movies!Q$2:Q$3493)</f>
        <v>28437251</v>
      </c>
      <c r="E2869" s="11" t="s">
        <v>9161</v>
      </c>
      <c r="F2869" s="36">
        <f t="array" ref="F2869">XLOOKUP(A2869,IMDB_Movies!I$2:I$3493,IMDB_Movies!P$2:P$3493)</f>
        <v>0</v>
      </c>
    </row>
    <row r="2870">
      <c r="A2870" s="11" t="s">
        <v>9163</v>
      </c>
      <c r="B2870" s="35">
        <f t="array" ref="B2870">XLOOKUP(A2870,IMDB_Movies!I$2:I$3493,IMDB_Movies!Q$2:Q$3493)</f>
        <v>0</v>
      </c>
      <c r="E2870" s="11" t="s">
        <v>9163</v>
      </c>
      <c r="F2870" s="36">
        <f t="array" ref="F2870">XLOOKUP(A2870,IMDB_Movies!I$2:I$3493,IMDB_Movies!P$2:P$3493)</f>
        <v>12318875</v>
      </c>
    </row>
    <row r="2871">
      <c r="A2871" s="32" t="s">
        <v>9166</v>
      </c>
      <c r="B2871" s="35">
        <f t="array" ref="B2871">XLOOKUP(A2871,IMDB_Movies!I$2:I$3493,IMDB_Movies!Q$2:Q$3493)</f>
        <v>2247069</v>
      </c>
      <c r="E2871" s="32" t="s">
        <v>9166</v>
      </c>
      <c r="F2871" s="36">
        <f t="array" ref="F2871">XLOOKUP(A2871,IMDB_Movies!I$2:I$3493,IMDB_Movies!P$2:P$3493)</f>
        <v>0</v>
      </c>
    </row>
    <row r="2872">
      <c r="A2872" s="20" t="s">
        <v>9168</v>
      </c>
      <c r="B2872" s="35">
        <f t="array" ref="B2872">XLOOKUP(A2872,IMDB_Movies!I$2:I$3493,IMDB_Movies!Q$2:Q$3493)</f>
        <v>0</v>
      </c>
      <c r="E2872" s="20" t="s">
        <v>9168</v>
      </c>
      <c r="F2872" s="36">
        <f t="array" ref="F2872">XLOOKUP(A2872,IMDB_Movies!I$2:I$3493,IMDB_Movies!P$2:P$3493)</f>
        <v>8175394</v>
      </c>
    </row>
    <row r="2873">
      <c r="A2873" s="24" t="s">
        <v>9170</v>
      </c>
      <c r="B2873" s="35">
        <f t="array" ref="B2873">XLOOKUP(A2873,IMDB_Movies!I$2:I$3493,IMDB_Movies!Q$2:Q$3493)</f>
        <v>10241539</v>
      </c>
      <c r="E2873" s="24" t="s">
        <v>9170</v>
      </c>
      <c r="F2873" s="36">
        <f t="array" ref="F2873">XLOOKUP(A2873,IMDB_Movies!I$2:I$3493,IMDB_Movies!P$2:P$3493)</f>
        <v>0</v>
      </c>
    </row>
    <row r="2874">
      <c r="A2874" s="20" t="s">
        <v>9173</v>
      </c>
      <c r="B2874" s="35">
        <f t="array" ref="B2874">XLOOKUP(A2874,IMDB_Movies!I$2:I$3493,IMDB_Movies!Q$2:Q$3493)</f>
        <v>6429473</v>
      </c>
      <c r="E2874" s="20" t="s">
        <v>9173</v>
      </c>
      <c r="F2874" s="36">
        <f t="array" ref="F2874">XLOOKUP(A2874,IMDB_Movies!I$2:I$3493,IMDB_Movies!P$2:P$3493)</f>
        <v>0</v>
      </c>
    </row>
    <row r="2875">
      <c r="A2875" s="11" t="s">
        <v>9175</v>
      </c>
      <c r="B2875" s="35">
        <f t="array" ref="B2875">XLOOKUP(A2875,IMDB_Movies!I$2:I$3493,IMDB_Movies!Q$2:Q$3493)</f>
        <v>0</v>
      </c>
      <c r="E2875" s="11" t="s">
        <v>9175</v>
      </c>
      <c r="F2875" s="36">
        <f t="array" ref="F2875">XLOOKUP(A2875,IMDB_Movies!I$2:I$3493,IMDB_Movies!P$2:P$3493)</f>
        <v>33914986</v>
      </c>
    </row>
    <row r="2876">
      <c r="A2876" s="20" t="s">
        <v>9178</v>
      </c>
      <c r="B2876" s="35">
        <f t="array" ref="B2876">XLOOKUP(A2876,IMDB_Movies!I$2:I$3493,IMDB_Movies!Q$2:Q$3493)</f>
        <v>10260951</v>
      </c>
      <c r="E2876" s="20" t="s">
        <v>9178</v>
      </c>
      <c r="F2876" s="36">
        <f t="array" ref="F2876">XLOOKUP(A2876,IMDB_Movies!I$2:I$3493,IMDB_Movies!P$2:P$3493)</f>
        <v>0</v>
      </c>
    </row>
    <row r="2877">
      <c r="A2877" s="11" t="s">
        <v>9181</v>
      </c>
      <c r="B2877" s="35">
        <f t="array" ref="B2877">XLOOKUP(A2877,IMDB_Movies!I$2:I$3493,IMDB_Movies!Q$2:Q$3493)</f>
        <v>0</v>
      </c>
      <c r="E2877" s="11" t="s">
        <v>9181</v>
      </c>
      <c r="F2877" s="36">
        <f t="array" ref="F2877">XLOOKUP(A2877,IMDB_Movies!I$2:I$3493,IMDB_Movies!P$2:P$3493)</f>
        <v>65234139</v>
      </c>
    </row>
    <row r="2878">
      <c r="A2878" s="11" t="s">
        <v>9184</v>
      </c>
      <c r="B2878" s="35">
        <f t="array" ref="B2878">XLOOKUP(A2878,IMDB_Movies!I$2:I$3493,IMDB_Movies!Q$2:Q$3493)</f>
        <v>0</v>
      </c>
      <c r="E2878" s="11" t="s">
        <v>9184</v>
      </c>
      <c r="F2878" s="36">
        <f t="array" ref="F2878">XLOOKUP(A2878,IMDB_Movies!I$2:I$3493,IMDB_Movies!P$2:P$3493)</f>
        <v>47115211</v>
      </c>
    </row>
    <row r="2879">
      <c r="A2879" s="11" t="s">
        <v>9186</v>
      </c>
      <c r="B2879" s="35">
        <f t="array" ref="B2879">XLOOKUP(A2879,IMDB_Movies!I$2:I$3493,IMDB_Movies!Q$2:Q$3493)</f>
        <v>0</v>
      </c>
      <c r="E2879" s="11" t="s">
        <v>9186</v>
      </c>
      <c r="F2879" s="36">
        <f t="array" ref="F2879">XLOOKUP(A2879,IMDB_Movies!I$2:I$3493,IMDB_Movies!P$2:P$3493)</f>
        <v>23825798</v>
      </c>
    </row>
    <row r="2880">
      <c r="A2880" s="11" t="s">
        <v>9188</v>
      </c>
      <c r="B2880" s="35">
        <f t="array" ref="B2880">XLOOKUP(A2880,IMDB_Movies!I$2:I$3493,IMDB_Movies!Q$2:Q$3493)</f>
        <v>8337682</v>
      </c>
      <c r="E2880" s="11" t="s">
        <v>9188</v>
      </c>
      <c r="F2880" s="36">
        <f t="array" ref="F2880">XLOOKUP(A2880,IMDB_Movies!I$2:I$3493,IMDB_Movies!P$2:P$3493)</f>
        <v>0</v>
      </c>
    </row>
    <row r="2881">
      <c r="A2881" s="11" t="s">
        <v>9192</v>
      </c>
      <c r="B2881" s="35">
        <f t="array" ref="B2881">XLOOKUP(A2881,IMDB_Movies!I$2:I$3493,IMDB_Movies!Q$2:Q$3493)</f>
        <v>0</v>
      </c>
      <c r="E2881" s="11" t="s">
        <v>9192</v>
      </c>
      <c r="F2881" s="36">
        <f t="array" ref="F2881">XLOOKUP(A2881,IMDB_Movies!I$2:I$3493,IMDB_Movies!P$2:P$3493)</f>
        <v>802119</v>
      </c>
    </row>
    <row r="2882">
      <c r="A2882" s="11" t="s">
        <v>9195</v>
      </c>
      <c r="B2882" s="35">
        <f t="array" ref="B2882">XLOOKUP(A2882,IMDB_Movies!I$2:I$3493,IMDB_Movies!Q$2:Q$3493)</f>
        <v>9252415</v>
      </c>
      <c r="E2882" s="11" t="s">
        <v>9195</v>
      </c>
      <c r="F2882" s="36">
        <f t="array" ref="F2882">XLOOKUP(A2882,IMDB_Movies!I$2:I$3493,IMDB_Movies!P$2:P$3493)</f>
        <v>0</v>
      </c>
    </row>
    <row r="2883">
      <c r="A2883" s="20" t="s">
        <v>9197</v>
      </c>
      <c r="B2883" s="35">
        <f t="array" ref="B2883">XLOOKUP(A2883,IMDB_Movies!I$2:I$3493,IMDB_Movies!Q$2:Q$3493)</f>
        <v>6782889</v>
      </c>
      <c r="E2883" s="20" t="s">
        <v>9197</v>
      </c>
      <c r="F2883" s="36">
        <f t="array" ref="F2883">XLOOKUP(A2883,IMDB_Movies!I$2:I$3493,IMDB_Movies!P$2:P$3493)</f>
        <v>0</v>
      </c>
    </row>
    <row r="2884">
      <c r="A2884" s="24" t="s">
        <v>9199</v>
      </c>
      <c r="B2884" s="35">
        <f t="array" ref="B2884">XLOOKUP(A2884,IMDB_Movies!I$2:I$3493,IMDB_Movies!Q$2:Q$3493)</f>
        <v>0</v>
      </c>
      <c r="E2884" s="24" t="s">
        <v>9199</v>
      </c>
      <c r="F2884" s="36">
        <f t="array" ref="F2884">XLOOKUP(A2884,IMDB_Movies!I$2:I$3493,IMDB_Movies!P$2:P$3493)</f>
        <v>5677801</v>
      </c>
    </row>
    <row r="2885">
      <c r="A2885" s="11" t="s">
        <v>9201</v>
      </c>
      <c r="B2885" s="35">
        <f t="array" ref="B2885">XLOOKUP(A2885,IMDB_Movies!I$2:I$3493,IMDB_Movies!Q$2:Q$3493)</f>
        <v>16400000</v>
      </c>
      <c r="E2885" s="11" t="s">
        <v>9201</v>
      </c>
      <c r="F2885" s="36">
        <f t="array" ref="F2885">XLOOKUP(A2885,IMDB_Movies!I$2:I$3493,IMDB_Movies!P$2:P$3493)</f>
        <v>0</v>
      </c>
    </row>
    <row r="2886">
      <c r="A2886" s="11" t="s">
        <v>9204</v>
      </c>
      <c r="B2886" s="35">
        <f t="array" ref="B2886">XLOOKUP(A2886,IMDB_Movies!I$2:I$3493,IMDB_Movies!Q$2:Q$3493)</f>
        <v>0</v>
      </c>
      <c r="E2886" s="11" t="s">
        <v>9204</v>
      </c>
      <c r="F2886" s="36">
        <f t="array" ref="F2886">XLOOKUP(A2886,IMDB_Movies!I$2:I$3493,IMDB_Movies!P$2:P$3493)</f>
        <v>35006147</v>
      </c>
    </row>
    <row r="2887">
      <c r="A2887" s="28" t="s">
        <v>9207</v>
      </c>
      <c r="B2887" s="35">
        <f t="array" ref="B2887">XLOOKUP(A2887,IMDB_Movies!I$2:I$3493,IMDB_Movies!Q$2:Q$3493)</f>
        <v>3219004</v>
      </c>
      <c r="E2887" s="28" t="s">
        <v>9207</v>
      </c>
      <c r="F2887" s="36">
        <f t="array" ref="F2887">XLOOKUP(A2887,IMDB_Movies!I$2:I$3493,IMDB_Movies!P$2:P$3493)</f>
        <v>0</v>
      </c>
    </row>
    <row r="2888">
      <c r="A2888" s="20" t="s">
        <v>9209</v>
      </c>
      <c r="B2888" s="35">
        <f t="array" ref="B2888">XLOOKUP(A2888,IMDB_Movies!I$2:I$3493,IMDB_Movies!Q$2:Q$3493)</f>
        <v>9382401</v>
      </c>
      <c r="E2888" s="20" t="s">
        <v>9209</v>
      </c>
      <c r="F2888" s="36">
        <f t="array" ref="F2888">XLOOKUP(A2888,IMDB_Movies!I$2:I$3493,IMDB_Movies!P$2:P$3493)</f>
        <v>0</v>
      </c>
    </row>
    <row r="2889">
      <c r="A2889" s="20" t="s">
        <v>9213</v>
      </c>
      <c r="B2889" s="35">
        <f t="array" ref="B2889">XLOOKUP(A2889,IMDB_Movies!I$2:I$3493,IMDB_Movies!Q$2:Q$3493)</f>
        <v>33711680</v>
      </c>
      <c r="E2889" s="20" t="s">
        <v>9213</v>
      </c>
      <c r="F2889" s="36">
        <f t="array" ref="F2889">XLOOKUP(A2889,IMDB_Movies!I$2:I$3493,IMDB_Movies!P$2:P$3493)</f>
        <v>0</v>
      </c>
    </row>
    <row r="2890">
      <c r="A2890" s="20" t="s">
        <v>9217</v>
      </c>
      <c r="B2890" s="35">
        <f t="array" ref="B2890">XLOOKUP(A2890,IMDB_Movies!I$2:I$3493,IMDB_Movies!Q$2:Q$3493)</f>
        <v>1141064</v>
      </c>
      <c r="E2890" s="20" t="s">
        <v>9217</v>
      </c>
      <c r="F2890" s="36">
        <f t="array" ref="F2890">XLOOKUP(A2890,IMDB_Movies!I$2:I$3493,IMDB_Movies!P$2:P$3493)</f>
        <v>0</v>
      </c>
    </row>
    <row r="2891">
      <c r="A2891" s="11" t="s">
        <v>9219</v>
      </c>
      <c r="B2891" s="35">
        <f t="array" ref="B2891">XLOOKUP(A2891,IMDB_Movies!I$2:I$3493,IMDB_Movies!Q$2:Q$3493)</f>
        <v>0</v>
      </c>
      <c r="E2891" s="11" t="s">
        <v>9219</v>
      </c>
      <c r="F2891" s="36">
        <f t="array" ref="F2891">XLOOKUP(A2891,IMDB_Movies!I$2:I$3493,IMDB_Movies!P$2:P$3493)</f>
        <v>8792641</v>
      </c>
    </row>
    <row r="2892">
      <c r="A2892" s="24" t="s">
        <v>9221</v>
      </c>
      <c r="B2892" s="35">
        <f t="array" ref="B2892">XLOOKUP(A2892,IMDB_Movies!I$2:I$3493,IMDB_Movies!Q$2:Q$3493)</f>
        <v>16601608</v>
      </c>
      <c r="E2892" s="24" t="s">
        <v>9221</v>
      </c>
      <c r="F2892" s="36">
        <f t="array" ref="F2892">XLOOKUP(A2892,IMDB_Movies!I$2:I$3493,IMDB_Movies!P$2:P$3493)</f>
        <v>0</v>
      </c>
    </row>
    <row r="2893">
      <c r="A2893" s="28" t="s">
        <v>9223</v>
      </c>
      <c r="B2893" s="35">
        <f t="array" ref="B2893">XLOOKUP(A2893,IMDB_Movies!I$2:I$3493,IMDB_Movies!Q$2:Q$3493)</f>
        <v>0</v>
      </c>
      <c r="E2893" s="28" t="s">
        <v>9223</v>
      </c>
      <c r="F2893" s="36">
        <f t="array" ref="F2893">XLOOKUP(A2893,IMDB_Movies!I$2:I$3493,IMDB_Movies!P$2:P$3493)</f>
        <v>13648142</v>
      </c>
    </row>
    <row r="2894">
      <c r="A2894" s="24" t="s">
        <v>9225</v>
      </c>
      <c r="B2894" s="35">
        <f t="array" ref="B2894">XLOOKUP(A2894,IMDB_Movies!I$2:I$3493,IMDB_Movies!Q$2:Q$3493)</f>
        <v>34226481</v>
      </c>
      <c r="E2894" s="24" t="s">
        <v>9225</v>
      </c>
      <c r="F2894" s="36">
        <f t="array" ref="F2894">XLOOKUP(A2894,IMDB_Movies!I$2:I$3493,IMDB_Movies!P$2:P$3493)</f>
        <v>0</v>
      </c>
    </row>
    <row r="2895">
      <c r="A2895" s="11" t="s">
        <v>9227</v>
      </c>
      <c r="B2895" s="35">
        <f t="array" ref="B2895">XLOOKUP(A2895,IMDB_Movies!I$2:I$3493,IMDB_Movies!Q$2:Q$3493)</f>
        <v>0</v>
      </c>
      <c r="E2895" s="11" t="s">
        <v>9227</v>
      </c>
      <c r="F2895" s="36">
        <f t="array" ref="F2895">XLOOKUP(A2895,IMDB_Movies!I$2:I$3493,IMDB_Movies!P$2:P$3493)</f>
        <v>20887263</v>
      </c>
    </row>
    <row r="2896">
      <c r="A2896" s="20" t="s">
        <v>9231</v>
      </c>
      <c r="B2896" s="35">
        <f t="array" ref="B2896">XLOOKUP(A2896,IMDB_Movies!I$2:I$3493,IMDB_Movies!Q$2:Q$3493)</f>
        <v>5149694</v>
      </c>
      <c r="E2896" s="20" t="s">
        <v>9231</v>
      </c>
      <c r="F2896" s="36">
        <f t="array" ref="F2896">XLOOKUP(A2896,IMDB_Movies!I$2:I$3493,IMDB_Movies!P$2:P$3493)</f>
        <v>0</v>
      </c>
    </row>
    <row r="2897">
      <c r="A2897" s="28" t="s">
        <v>9233</v>
      </c>
      <c r="B2897" s="35">
        <f t="array" ref="B2897">XLOOKUP(A2897,IMDB_Movies!I$2:I$3493,IMDB_Movies!Q$2:Q$3493)</f>
        <v>0</v>
      </c>
      <c r="E2897" s="28" t="s">
        <v>9233</v>
      </c>
      <c r="F2897" s="36">
        <f t="array" ref="F2897">XLOOKUP(A2897,IMDB_Movies!I$2:I$3493,IMDB_Movies!P$2:P$3493)</f>
        <v>212103873</v>
      </c>
    </row>
    <row r="2898">
      <c r="A2898" s="20" t="s">
        <v>9237</v>
      </c>
      <c r="B2898" s="35">
        <f t="array" ref="B2898">XLOOKUP(A2898,IMDB_Movies!I$2:I$3493,IMDB_Movies!Q$2:Q$3493)</f>
        <v>6666177</v>
      </c>
      <c r="E2898" s="20" t="s">
        <v>9237</v>
      </c>
      <c r="F2898" s="36">
        <f t="array" ref="F2898">XLOOKUP(A2898,IMDB_Movies!I$2:I$3493,IMDB_Movies!P$2:P$3493)</f>
        <v>0</v>
      </c>
    </row>
    <row r="2899">
      <c r="A2899" s="11" t="s">
        <v>9239</v>
      </c>
      <c r="B2899" s="35">
        <f t="array" ref="B2899">XLOOKUP(A2899,IMDB_Movies!I$2:I$3493,IMDB_Movies!Q$2:Q$3493)</f>
        <v>4330587</v>
      </c>
      <c r="E2899" s="11" t="s">
        <v>9239</v>
      </c>
      <c r="F2899" s="36">
        <f t="array" ref="F2899">XLOOKUP(A2899,IMDB_Movies!I$2:I$3493,IMDB_Movies!P$2:P$3493)</f>
        <v>0</v>
      </c>
    </row>
    <row r="2900">
      <c r="A2900" s="11" t="s">
        <v>9242</v>
      </c>
      <c r="B2900" s="35">
        <f t="array" ref="B2900">XLOOKUP(A2900,IMDB_Movies!I$2:I$3493,IMDB_Movies!Q$2:Q$3493)</f>
        <v>0</v>
      </c>
      <c r="E2900" s="11" t="s">
        <v>9242</v>
      </c>
      <c r="F2900" s="36">
        <f t="array" ref="F2900">XLOOKUP(A2900,IMDB_Movies!I$2:I$3493,IMDB_Movies!P$2:P$3493)</f>
        <v>2401264</v>
      </c>
    </row>
    <row r="2901">
      <c r="A2901" s="11" t="s">
        <v>9244</v>
      </c>
      <c r="B2901" s="35">
        <f t="array" ref="B2901">XLOOKUP(A2901,IMDB_Movies!I$2:I$3493,IMDB_Movies!Q$2:Q$3493)</f>
        <v>11352310</v>
      </c>
      <c r="E2901" s="11" t="s">
        <v>9244</v>
      </c>
      <c r="F2901" s="36">
        <f t="array" ref="F2901">XLOOKUP(A2901,IMDB_Movies!I$2:I$3493,IMDB_Movies!P$2:P$3493)</f>
        <v>0</v>
      </c>
    </row>
    <row r="2902">
      <c r="A2902" s="28" t="s">
        <v>9247</v>
      </c>
      <c r="B2902" s="35">
        <f t="array" ref="B2902">XLOOKUP(A2902,IMDB_Movies!I$2:I$3493,IMDB_Movies!Q$2:Q$3493)</f>
        <v>0</v>
      </c>
      <c r="E2902" s="28" t="s">
        <v>9247</v>
      </c>
      <c r="F2902" s="36">
        <f t="array" ref="F2902">XLOOKUP(A2902,IMDB_Movies!I$2:I$3493,IMDB_Movies!P$2:P$3493)</f>
        <v>52282182</v>
      </c>
    </row>
    <row r="2903">
      <c r="A2903" s="11" t="s">
        <v>9249</v>
      </c>
      <c r="B2903" s="35">
        <f t="array" ref="B2903">XLOOKUP(A2903,IMDB_Movies!I$2:I$3493,IMDB_Movies!Q$2:Q$3493)</f>
        <v>18287436</v>
      </c>
      <c r="E2903" s="11" t="s">
        <v>9249</v>
      </c>
      <c r="F2903" s="36">
        <f t="array" ref="F2903">XLOOKUP(A2903,IMDB_Movies!I$2:I$3493,IMDB_Movies!P$2:P$3493)</f>
        <v>0</v>
      </c>
    </row>
    <row r="2904">
      <c r="A2904" s="11" t="s">
        <v>9253</v>
      </c>
      <c r="B2904" s="35">
        <f t="array" ref="B2904">XLOOKUP(A2904,IMDB_Movies!I$2:I$3493,IMDB_Movies!Q$2:Q$3493)</f>
        <v>0</v>
      </c>
      <c r="E2904" s="11" t="s">
        <v>9253</v>
      </c>
      <c r="F2904" s="36">
        <f t="array" ref="F2904">XLOOKUP(A2904,IMDB_Movies!I$2:I$3493,IMDB_Movies!P$2:P$3493)</f>
        <v>7036404</v>
      </c>
    </row>
    <row r="2905">
      <c r="A2905" s="24" t="s">
        <v>9255</v>
      </c>
      <c r="B2905" s="35">
        <f t="array" ref="B2905">XLOOKUP(A2905,IMDB_Movies!I$2:I$3493,IMDB_Movies!Q$2:Q$3493)</f>
        <v>32098491</v>
      </c>
      <c r="E2905" s="24" t="s">
        <v>9255</v>
      </c>
      <c r="F2905" s="36">
        <f t="array" ref="F2905">XLOOKUP(A2905,IMDB_Movies!I$2:I$3493,IMDB_Movies!P$2:P$3493)</f>
        <v>0</v>
      </c>
    </row>
    <row r="2906">
      <c r="A2906" s="11" t="s">
        <v>9259</v>
      </c>
      <c r="B2906" s="35">
        <f t="array" ref="B2906">XLOOKUP(A2906,IMDB_Movies!I$2:I$3493,IMDB_Movies!Q$2:Q$3493)</f>
        <v>0</v>
      </c>
      <c r="E2906" s="11" t="s">
        <v>9259</v>
      </c>
      <c r="F2906" s="36">
        <f t="array" ref="F2906">XLOOKUP(A2906,IMDB_Movies!I$2:I$3493,IMDB_Movies!P$2:P$3493)</f>
        <v>86600000</v>
      </c>
    </row>
    <row r="2907">
      <c r="A2907" s="24" t="s">
        <v>9261</v>
      </c>
      <c r="B2907" s="35">
        <f t="array" ref="B2907">XLOOKUP(A2907,IMDB_Movies!I$2:I$3493,IMDB_Movies!Q$2:Q$3493)</f>
        <v>24282247</v>
      </c>
      <c r="E2907" s="24" t="s">
        <v>9261</v>
      </c>
      <c r="F2907" s="36">
        <f t="array" ref="F2907">XLOOKUP(A2907,IMDB_Movies!I$2:I$3493,IMDB_Movies!P$2:P$3493)</f>
        <v>0</v>
      </c>
    </row>
    <row r="2908">
      <c r="A2908" s="11" t="s">
        <v>9263</v>
      </c>
      <c r="B2908" s="35">
        <f t="array" ref="B2908">XLOOKUP(A2908,IMDB_Movies!I$2:I$3493,IMDB_Movies!Q$2:Q$3493)</f>
        <v>10120004</v>
      </c>
      <c r="E2908" s="11" t="s">
        <v>9263</v>
      </c>
      <c r="F2908" s="36">
        <f t="array" ref="F2908">XLOOKUP(A2908,IMDB_Movies!I$2:I$3493,IMDB_Movies!P$2:P$3493)</f>
        <v>0</v>
      </c>
    </row>
    <row r="2909">
      <c r="A2909" s="11" t="s">
        <v>9267</v>
      </c>
      <c r="B2909" s="35">
        <f t="array" ref="B2909">XLOOKUP(A2909,IMDB_Movies!I$2:I$3493,IMDB_Movies!Q$2:Q$3493)</f>
        <v>3380827</v>
      </c>
      <c r="E2909" s="11" t="s">
        <v>9267</v>
      </c>
      <c r="F2909" s="36">
        <f t="array" ref="F2909">XLOOKUP(A2909,IMDB_Movies!I$2:I$3493,IMDB_Movies!P$2:P$3493)</f>
        <v>0</v>
      </c>
    </row>
    <row r="2910">
      <c r="A2910" s="16" t="s">
        <v>9270</v>
      </c>
      <c r="B2910" s="35">
        <f t="array" ref="B2910">XLOOKUP(A2910,IMDB_Movies!I$2:I$3493,IMDB_Movies!Q$2:Q$3493)</f>
        <v>0</v>
      </c>
      <c r="E2910" s="16" t="s">
        <v>9270</v>
      </c>
      <c r="F2910" s="36">
        <f t="array" ref="F2910">XLOOKUP(A2910,IMDB_Movies!I$2:I$3493,IMDB_Movies!P$2:P$3493)</f>
        <v>272158751</v>
      </c>
    </row>
    <row r="2911">
      <c r="A2911" s="11" t="s">
        <v>9273</v>
      </c>
      <c r="B2911" s="35">
        <f t="array" ref="B2911">XLOOKUP(A2911,IMDB_Movies!I$2:I$3493,IMDB_Movies!Q$2:Q$3493)</f>
        <v>0</v>
      </c>
      <c r="E2911" s="11" t="s">
        <v>9273</v>
      </c>
      <c r="F2911" s="36">
        <f t="array" ref="F2911">XLOOKUP(A2911,IMDB_Movies!I$2:I$3493,IMDB_Movies!P$2:P$3493)</f>
        <v>49138076</v>
      </c>
    </row>
    <row r="2912">
      <c r="A2912" s="24" t="s">
        <v>9275</v>
      </c>
      <c r="B2912" s="35">
        <f t="array" ref="B2912">XLOOKUP(A2912,IMDB_Movies!I$2:I$3493,IMDB_Movies!Q$2:Q$3493)</f>
        <v>0</v>
      </c>
      <c r="E2912" s="24" t="s">
        <v>9275</v>
      </c>
      <c r="F2912" s="36">
        <f t="array" ref="F2912">XLOOKUP(A2912,IMDB_Movies!I$2:I$3493,IMDB_Movies!P$2:P$3493)</f>
        <v>137031035</v>
      </c>
    </row>
    <row r="2913">
      <c r="A2913" s="20" t="s">
        <v>9278</v>
      </c>
      <c r="B2913" s="35">
        <f t="array" ref="B2913">XLOOKUP(A2913,IMDB_Movies!I$2:I$3493,IMDB_Movies!Q$2:Q$3493)</f>
        <v>603965</v>
      </c>
      <c r="E2913" s="20" t="s">
        <v>9278</v>
      </c>
      <c r="F2913" s="36">
        <f t="array" ref="F2913">XLOOKUP(A2913,IMDB_Movies!I$2:I$3493,IMDB_Movies!P$2:P$3493)</f>
        <v>0</v>
      </c>
    </row>
    <row r="2914">
      <c r="A2914" s="11" t="s">
        <v>9281</v>
      </c>
      <c r="B2914" s="35">
        <f t="array" ref="B2914">XLOOKUP(A2914,IMDB_Movies!I$2:I$3493,IMDB_Movies!Q$2:Q$3493)</f>
        <v>0</v>
      </c>
      <c r="E2914" s="11" t="s">
        <v>9281</v>
      </c>
      <c r="F2914" s="36">
        <f t="array" ref="F2914">XLOOKUP(A2914,IMDB_Movies!I$2:I$3493,IMDB_Movies!P$2:P$3493)</f>
        <v>10684949</v>
      </c>
    </row>
    <row r="2915">
      <c r="A2915" s="20" t="s">
        <v>9283</v>
      </c>
      <c r="B2915" s="35">
        <f t="array" ref="B2915">XLOOKUP(A2915,IMDB_Movies!I$2:I$3493,IMDB_Movies!Q$2:Q$3493)</f>
        <v>0</v>
      </c>
      <c r="E2915" s="20" t="s">
        <v>9283</v>
      </c>
      <c r="F2915" s="36">
        <f t="array" ref="F2915">XLOOKUP(A2915,IMDB_Movies!I$2:I$3493,IMDB_Movies!P$2:P$3493)</f>
        <v>35168022</v>
      </c>
    </row>
    <row r="2916">
      <c r="A2916" s="11" t="s">
        <v>9286</v>
      </c>
      <c r="B2916" s="35">
        <f t="array" ref="B2916">XLOOKUP(A2916,IMDB_Movies!I$2:I$3493,IMDB_Movies!Q$2:Q$3493)</f>
        <v>21001676</v>
      </c>
      <c r="E2916" s="11" t="s">
        <v>9286</v>
      </c>
      <c r="F2916" s="36">
        <f t="array" ref="F2916">XLOOKUP(A2916,IMDB_Movies!I$2:I$3493,IMDB_Movies!P$2:P$3493)</f>
        <v>0</v>
      </c>
    </row>
    <row r="2917">
      <c r="A2917" s="24" t="s">
        <v>9288</v>
      </c>
      <c r="B2917" s="35">
        <f t="array" ref="B2917">XLOOKUP(A2917,IMDB_Movies!I$2:I$3493,IMDB_Movies!Q$2:Q$3493)</f>
        <v>0</v>
      </c>
      <c r="E2917" s="24" t="s">
        <v>9288</v>
      </c>
      <c r="F2917" s="36">
        <f t="array" ref="F2917">XLOOKUP(A2917,IMDB_Movies!I$2:I$3493,IMDB_Movies!P$2:P$3493)</f>
        <v>2960089</v>
      </c>
    </row>
    <row r="2918">
      <c r="A2918" s="20" t="s">
        <v>9291</v>
      </c>
      <c r="B2918" s="35">
        <f t="array" ref="B2918">XLOOKUP(A2918,IMDB_Movies!I$2:I$3493,IMDB_Movies!Q$2:Q$3493)</f>
        <v>0</v>
      </c>
      <c r="E2918" s="20" t="s">
        <v>9291</v>
      </c>
      <c r="F2918" s="36">
        <f t="array" ref="F2918">XLOOKUP(A2918,IMDB_Movies!I$2:I$3493,IMDB_Movies!P$2:P$3493)</f>
        <v>57487711</v>
      </c>
    </row>
    <row r="2919">
      <c r="A2919" s="20" t="s">
        <v>9294</v>
      </c>
      <c r="B2919" s="35">
        <f t="array" ref="B2919">XLOOKUP(A2919,IMDB_Movies!I$2:I$3493,IMDB_Movies!Q$2:Q$3493)</f>
        <v>10144863</v>
      </c>
      <c r="E2919" s="20" t="s">
        <v>9294</v>
      </c>
      <c r="F2919" s="36">
        <f t="array" ref="F2919">XLOOKUP(A2919,IMDB_Movies!I$2:I$3493,IMDB_Movies!P$2:P$3493)</f>
        <v>0</v>
      </c>
    </row>
    <row r="2920">
      <c r="A2920" s="20" t="s">
        <v>9297</v>
      </c>
      <c r="B2920" s="35">
        <f t="array" ref="B2920">XLOOKUP(A2920,IMDB_Movies!I$2:I$3493,IMDB_Movies!Q$2:Q$3493)</f>
        <v>3437941</v>
      </c>
      <c r="E2920" s="20" t="s">
        <v>9297</v>
      </c>
      <c r="F2920" s="36">
        <f t="array" ref="F2920">XLOOKUP(A2920,IMDB_Movies!I$2:I$3493,IMDB_Movies!P$2:P$3493)</f>
        <v>0</v>
      </c>
    </row>
    <row r="2921">
      <c r="A2921" s="32" t="s">
        <v>9299</v>
      </c>
      <c r="B2921" s="35">
        <f t="array" ref="B2921">XLOOKUP(A2921,IMDB_Movies!I$2:I$3493,IMDB_Movies!Q$2:Q$3493)</f>
        <v>3922954</v>
      </c>
      <c r="E2921" s="32" t="s">
        <v>9299</v>
      </c>
      <c r="F2921" s="36">
        <f t="array" ref="F2921">XLOOKUP(A2921,IMDB_Movies!I$2:I$3493,IMDB_Movies!P$2:P$3493)</f>
        <v>0</v>
      </c>
    </row>
    <row r="2922">
      <c r="A2922" s="20" t="s">
        <v>9301</v>
      </c>
      <c r="B2922" s="35">
        <f t="array" ref="B2922">XLOOKUP(A2922,IMDB_Movies!I$2:I$3493,IMDB_Movies!Q$2:Q$3493)</f>
        <v>0</v>
      </c>
      <c r="E2922" s="20" t="s">
        <v>9301</v>
      </c>
      <c r="F2922" s="36">
        <f t="array" ref="F2922">XLOOKUP(A2922,IMDB_Movies!I$2:I$3493,IMDB_Movies!P$2:P$3493)</f>
        <v>10090181</v>
      </c>
    </row>
    <row r="2923">
      <c r="A2923" s="11" t="s">
        <v>9303</v>
      </c>
      <c r="B2923" s="35">
        <f t="array" ref="B2923">XLOOKUP(A2923,IMDB_Movies!I$2:I$3493,IMDB_Movies!Q$2:Q$3493)</f>
        <v>6814219</v>
      </c>
      <c r="E2923" s="11" t="s">
        <v>9303</v>
      </c>
      <c r="F2923" s="36">
        <f t="array" ref="F2923">XLOOKUP(A2923,IMDB_Movies!I$2:I$3493,IMDB_Movies!P$2:P$3493)</f>
        <v>0</v>
      </c>
    </row>
    <row r="2924">
      <c r="A2924" s="20" t="s">
        <v>9307</v>
      </c>
      <c r="B2924" s="35">
        <f t="array" ref="B2924">XLOOKUP(A2924,IMDB_Movies!I$2:I$3493,IMDB_Movies!Q$2:Q$3493)</f>
        <v>3786587</v>
      </c>
      <c r="E2924" s="20" t="s">
        <v>9307</v>
      </c>
      <c r="F2924" s="36">
        <f t="array" ref="F2924">XLOOKUP(A2924,IMDB_Movies!I$2:I$3493,IMDB_Movies!P$2:P$3493)</f>
        <v>0</v>
      </c>
    </row>
    <row r="2925">
      <c r="A2925" s="20" t="s">
        <v>9309</v>
      </c>
      <c r="B2925" s="35">
        <f t="array" ref="B2925">XLOOKUP(A2925,IMDB_Movies!I$2:I$3493,IMDB_Movies!Q$2:Q$3493)</f>
        <v>43997807</v>
      </c>
      <c r="E2925" s="20" t="s">
        <v>9309</v>
      </c>
      <c r="F2925" s="36">
        <f t="array" ref="F2925">XLOOKUP(A2925,IMDB_Movies!I$2:I$3493,IMDB_Movies!P$2:P$3493)</f>
        <v>0</v>
      </c>
    </row>
    <row r="2926">
      <c r="A2926" s="11" t="s">
        <v>9311</v>
      </c>
      <c r="B2926" s="35">
        <f t="array" ref="B2926">XLOOKUP(A2926,IMDB_Movies!I$2:I$3493,IMDB_Movies!Q$2:Q$3493)</f>
        <v>36709023</v>
      </c>
      <c r="E2926" s="11" t="s">
        <v>9311</v>
      </c>
      <c r="F2926" s="36">
        <f t="array" ref="F2926">XLOOKUP(A2926,IMDB_Movies!I$2:I$3493,IMDB_Movies!P$2:P$3493)</f>
        <v>0</v>
      </c>
    </row>
    <row r="2927">
      <c r="A2927" s="28" t="s">
        <v>9313</v>
      </c>
      <c r="B2927" s="35">
        <f t="array" ref="B2927">XLOOKUP(A2927,IMDB_Movies!I$2:I$3493,IMDB_Movies!Q$2:Q$3493)</f>
        <v>0</v>
      </c>
      <c r="E2927" s="28" t="s">
        <v>9313</v>
      </c>
      <c r="F2927" s="36">
        <f t="array" ref="F2927">XLOOKUP(A2927,IMDB_Movies!I$2:I$3493,IMDB_Movies!P$2:P$3493)</f>
        <v>16959436</v>
      </c>
    </row>
    <row r="2928">
      <c r="A2928" s="11" t="s">
        <v>9316</v>
      </c>
      <c r="B2928" s="35">
        <f t="array" ref="B2928">XLOOKUP(A2928,IMDB_Movies!I$2:I$3493,IMDB_Movies!Q$2:Q$3493)</f>
        <v>11701351</v>
      </c>
      <c r="E2928" s="11" t="s">
        <v>9316</v>
      </c>
      <c r="F2928" s="36">
        <f t="array" ref="F2928">XLOOKUP(A2928,IMDB_Movies!I$2:I$3493,IMDB_Movies!P$2:P$3493)</f>
        <v>0</v>
      </c>
    </row>
    <row r="2929">
      <c r="A2929" s="11" t="s">
        <v>9318</v>
      </c>
      <c r="B2929" s="35">
        <f t="array" ref="B2929">XLOOKUP(A2929,IMDB_Movies!I$2:I$3493,IMDB_Movies!Q$2:Q$3493)</f>
        <v>0</v>
      </c>
      <c r="E2929" s="11" t="s">
        <v>9318</v>
      </c>
      <c r="F2929" s="36">
        <f t="array" ref="F2929">XLOOKUP(A2929,IMDB_Movies!I$2:I$3493,IMDB_Movies!P$2:P$3493)</f>
        <v>360866</v>
      </c>
    </row>
    <row r="2930">
      <c r="A2930" s="32" t="s">
        <v>9320</v>
      </c>
      <c r="B2930" s="35">
        <f t="array" ref="B2930">XLOOKUP(A2930,IMDB_Movies!I$2:I$3493,IMDB_Movies!Q$2:Q$3493)</f>
        <v>0</v>
      </c>
      <c r="E2930" s="32" t="s">
        <v>9320</v>
      </c>
      <c r="F2930" s="36">
        <f t="array" ref="F2930">XLOOKUP(A2930,IMDB_Movies!I$2:I$3493,IMDB_Movies!P$2:P$3493)</f>
        <v>11536376</v>
      </c>
    </row>
    <row r="2931">
      <c r="A2931" s="20" t="s">
        <v>9323</v>
      </c>
      <c r="B2931" s="35">
        <f t="array" ref="B2931">XLOOKUP(A2931,IMDB_Movies!I$2:I$3493,IMDB_Movies!Q$2:Q$3493)</f>
        <v>0</v>
      </c>
      <c r="E2931" s="20" t="s">
        <v>9323</v>
      </c>
      <c r="F2931" s="36">
        <f t="array" ref="F2931">XLOOKUP(A2931,IMDB_Movies!I$2:I$3493,IMDB_Movies!P$2:P$3493)</f>
        <v>744858</v>
      </c>
    </row>
    <row r="2932">
      <c r="A2932" s="16" t="s">
        <v>9326</v>
      </c>
      <c r="B2932" s="35">
        <f t="array" ref="B2932">XLOOKUP(A2932,IMDB_Movies!I$2:I$3493,IMDB_Movies!Q$2:Q$3493)</f>
        <v>5246069</v>
      </c>
      <c r="E2932" s="16" t="s">
        <v>9326</v>
      </c>
      <c r="F2932" s="36">
        <f t="array" ref="F2932">XLOOKUP(A2932,IMDB_Movies!I$2:I$3493,IMDB_Movies!P$2:P$3493)</f>
        <v>0</v>
      </c>
    </row>
    <row r="2933">
      <c r="A2933" s="20" t="s">
        <v>9328</v>
      </c>
      <c r="B2933" s="35">
        <f t="array" ref="B2933">XLOOKUP(A2933,IMDB_Movies!I$2:I$3493,IMDB_Movies!Q$2:Q$3493)</f>
        <v>0</v>
      </c>
      <c r="E2933" s="20" t="s">
        <v>9328</v>
      </c>
      <c r="F2933" s="36">
        <f t="array" ref="F2933">XLOOKUP(A2933,IMDB_Movies!I$2:I$3493,IMDB_Movies!P$2:P$3493)</f>
        <v>19219708</v>
      </c>
    </row>
    <row r="2934">
      <c r="A2934" s="24" t="s">
        <v>9331</v>
      </c>
      <c r="B2934" s="35">
        <f t="array" ref="B2934">XLOOKUP(A2934,IMDB_Movies!I$2:I$3493,IMDB_Movies!Q$2:Q$3493)</f>
        <v>0</v>
      </c>
      <c r="E2934" s="24" t="s">
        <v>9331</v>
      </c>
      <c r="F2934" s="36">
        <f t="array" ref="F2934">XLOOKUP(A2934,IMDB_Movies!I$2:I$3493,IMDB_Movies!P$2:P$3493)</f>
        <v>75300000</v>
      </c>
    </row>
    <row r="2935">
      <c r="A2935" s="11" t="s">
        <v>9333</v>
      </c>
      <c r="B2935" s="35">
        <f t="array" ref="B2935">XLOOKUP(A2935,IMDB_Movies!I$2:I$3493,IMDB_Movies!Q$2:Q$3493)</f>
        <v>77810499</v>
      </c>
      <c r="E2935" s="11" t="s">
        <v>9333</v>
      </c>
      <c r="F2935" s="36">
        <f t="array" ref="F2935">XLOOKUP(A2935,IMDB_Movies!I$2:I$3493,IMDB_Movies!P$2:P$3493)</f>
        <v>0</v>
      </c>
    </row>
    <row r="2936">
      <c r="A2936" s="20" t="s">
        <v>9335</v>
      </c>
      <c r="B2936" s="35">
        <f t="array" ref="B2936">XLOOKUP(A2936,IMDB_Movies!I$2:I$3493,IMDB_Movies!Q$2:Q$3493)</f>
        <v>7981305</v>
      </c>
      <c r="E2936" s="20" t="s">
        <v>9335</v>
      </c>
      <c r="F2936" s="36">
        <f t="array" ref="F2936">XLOOKUP(A2936,IMDB_Movies!I$2:I$3493,IMDB_Movies!P$2:P$3493)</f>
        <v>0</v>
      </c>
    </row>
    <row r="2937">
      <c r="A2937" s="20" t="s">
        <v>9338</v>
      </c>
      <c r="B2937" s="35">
        <f t="array" ref="B2937">XLOOKUP(A2937,IMDB_Movies!I$2:I$3493,IMDB_Movies!Q$2:Q$3493)</f>
        <v>6958197</v>
      </c>
      <c r="E2937" s="20" t="s">
        <v>9338</v>
      </c>
      <c r="F2937" s="36">
        <f t="array" ref="F2937">XLOOKUP(A2937,IMDB_Movies!I$2:I$3493,IMDB_Movies!P$2:P$3493)</f>
        <v>0</v>
      </c>
    </row>
    <row r="2938">
      <c r="A2938" s="11" t="s">
        <v>9341</v>
      </c>
      <c r="B2938" s="35">
        <f t="array" ref="B2938">XLOOKUP(A2938,IMDB_Movies!I$2:I$3493,IMDB_Movies!Q$2:Q$3493)</f>
        <v>36142013</v>
      </c>
      <c r="E2938" s="11" t="s">
        <v>9341</v>
      </c>
      <c r="F2938" s="36">
        <f t="array" ref="F2938">XLOOKUP(A2938,IMDB_Movies!I$2:I$3493,IMDB_Movies!P$2:P$3493)</f>
        <v>0</v>
      </c>
    </row>
    <row r="2939">
      <c r="A2939" s="11" t="s">
        <v>9343</v>
      </c>
      <c r="B2939" s="35">
        <f t="array" ref="B2939">XLOOKUP(A2939,IMDB_Movies!I$2:I$3493,IMDB_Movies!Q$2:Q$3493)</f>
        <v>0</v>
      </c>
      <c r="E2939" s="11" t="s">
        <v>9343</v>
      </c>
      <c r="F2939" s="36">
        <f t="array" ref="F2939">XLOOKUP(A2939,IMDB_Movies!I$2:I$3493,IMDB_Movies!P$2:P$3493)</f>
        <v>11112916</v>
      </c>
    </row>
    <row r="2940">
      <c r="A2940" s="11" t="s">
        <v>9347</v>
      </c>
      <c r="B2940" s="35">
        <f t="array" ref="B2940">XLOOKUP(A2940,IMDB_Movies!I$2:I$3493,IMDB_Movies!Q$2:Q$3493)</f>
        <v>0</v>
      </c>
      <c r="E2940" s="11" t="s">
        <v>9347</v>
      </c>
      <c r="F2940" s="36">
        <f t="array" ref="F2940">XLOOKUP(A2940,IMDB_Movies!I$2:I$3493,IMDB_Movies!P$2:P$3493)</f>
        <v>250263</v>
      </c>
    </row>
    <row r="2941">
      <c r="A2941" s="11" t="s">
        <v>9349</v>
      </c>
      <c r="B2941" s="35">
        <f t="array" ref="B2941">XLOOKUP(A2941,IMDB_Movies!I$2:I$3493,IMDB_Movies!Q$2:Q$3493)</f>
        <v>0</v>
      </c>
      <c r="E2941" s="11" t="s">
        <v>9349</v>
      </c>
      <c r="F2941" s="36">
        <f t="array" ref="F2941">XLOOKUP(A2941,IMDB_Movies!I$2:I$3493,IMDB_Movies!P$2:P$3493)</f>
        <v>99455175</v>
      </c>
    </row>
    <row r="2942">
      <c r="A2942" s="11" t="s">
        <v>9351</v>
      </c>
      <c r="B2942" s="35">
        <f t="array" ref="B2942">XLOOKUP(A2942,IMDB_Movies!I$2:I$3493,IMDB_Movies!Q$2:Q$3493)</f>
        <v>0</v>
      </c>
      <c r="E2942" s="11" t="s">
        <v>9351</v>
      </c>
      <c r="F2942" s="36">
        <f t="array" ref="F2942">XLOOKUP(A2942,IMDB_Movies!I$2:I$3493,IMDB_Movies!P$2:P$3493)</f>
        <v>8000000</v>
      </c>
    </row>
    <row r="2943">
      <c r="A2943" s="32" t="s">
        <v>9354</v>
      </c>
      <c r="B2943" s="35">
        <f t="array" ref="B2943">XLOOKUP(A2943,IMDB_Movies!I$2:I$3493,IMDB_Movies!Q$2:Q$3493)</f>
        <v>0</v>
      </c>
      <c r="E2943" s="32" t="s">
        <v>9354</v>
      </c>
      <c r="F2943" s="36">
        <f t="array" ref="F2943">XLOOKUP(A2943,IMDB_Movies!I$2:I$3493,IMDB_Movies!P$2:P$3493)</f>
        <v>2481242</v>
      </c>
    </row>
    <row r="2944">
      <c r="A2944" s="11" t="s">
        <v>9357</v>
      </c>
      <c r="B2944" s="35">
        <f t="array" ref="B2944">XLOOKUP(A2944,IMDB_Movies!I$2:I$3493,IMDB_Movies!Q$2:Q$3493)</f>
        <v>3462394</v>
      </c>
      <c r="E2944" s="11" t="s">
        <v>9357</v>
      </c>
      <c r="F2944" s="36">
        <f t="array" ref="F2944">XLOOKUP(A2944,IMDB_Movies!I$2:I$3493,IMDB_Movies!P$2:P$3493)</f>
        <v>0</v>
      </c>
    </row>
    <row r="2945">
      <c r="A2945" s="28" t="s">
        <v>9360</v>
      </c>
      <c r="B2945" s="35">
        <f t="array" ref="B2945">XLOOKUP(A2945,IMDB_Movies!I$2:I$3493,IMDB_Movies!Q$2:Q$3493)</f>
        <v>0</v>
      </c>
      <c r="E2945" s="28" t="s">
        <v>9360</v>
      </c>
      <c r="F2945" s="36">
        <f t="array" ref="F2945">XLOOKUP(A2945,IMDB_Movies!I$2:I$3493,IMDB_Movies!P$2:P$3493)</f>
        <v>9141959</v>
      </c>
    </row>
    <row r="2946">
      <c r="A2946" s="11" t="s">
        <v>9364</v>
      </c>
      <c r="B2946" s="35">
        <f t="array" ref="B2946">XLOOKUP(A2946,IMDB_Movies!I$2:I$3493,IMDB_Movies!Q$2:Q$3493)</f>
        <v>6608826</v>
      </c>
      <c r="E2946" s="11" t="s">
        <v>9364</v>
      </c>
      <c r="F2946" s="36">
        <f t="array" ref="F2946">XLOOKUP(A2946,IMDB_Movies!I$2:I$3493,IMDB_Movies!P$2:P$3493)</f>
        <v>0</v>
      </c>
    </row>
    <row r="2947">
      <c r="A2947" s="11" t="s">
        <v>9367</v>
      </c>
      <c r="B2947" s="35">
        <f t="array" ref="B2947">XLOOKUP(A2947,IMDB_Movies!I$2:I$3493,IMDB_Movies!Q$2:Q$3493)</f>
        <v>1576479</v>
      </c>
      <c r="E2947" s="11" t="s">
        <v>9367</v>
      </c>
      <c r="F2947" s="36">
        <f t="array" ref="F2947">XLOOKUP(A2947,IMDB_Movies!I$2:I$3493,IMDB_Movies!P$2:P$3493)</f>
        <v>0</v>
      </c>
    </row>
    <row r="2948">
      <c r="A2948" s="28" t="s">
        <v>9370</v>
      </c>
      <c r="B2948" s="35">
        <f t="array" ref="B2948">XLOOKUP(A2948,IMDB_Movies!I$2:I$3493,IMDB_Movies!Q$2:Q$3493)</f>
        <v>10220716</v>
      </c>
      <c r="E2948" s="28" t="s">
        <v>9370</v>
      </c>
      <c r="F2948" s="36">
        <f t="array" ref="F2948">XLOOKUP(A2948,IMDB_Movies!I$2:I$3493,IMDB_Movies!P$2:P$3493)</f>
        <v>0</v>
      </c>
    </row>
    <row r="2949">
      <c r="A2949" s="20" t="s">
        <v>9372</v>
      </c>
      <c r="B2949" s="35">
        <f t="array" ref="B2949">XLOOKUP(A2949,IMDB_Movies!I$2:I$3493,IMDB_Movies!Q$2:Q$3493)</f>
        <v>3401692</v>
      </c>
      <c r="E2949" s="20" t="s">
        <v>9372</v>
      </c>
      <c r="F2949" s="36">
        <f t="array" ref="F2949">XLOOKUP(A2949,IMDB_Movies!I$2:I$3493,IMDB_Movies!P$2:P$3493)</f>
        <v>0</v>
      </c>
    </row>
    <row r="2950">
      <c r="A2950" s="28" t="s">
        <v>9375</v>
      </c>
      <c r="B2950" s="35">
        <f t="array" ref="B2950">XLOOKUP(A2950,IMDB_Movies!I$2:I$3493,IMDB_Movies!Q$2:Q$3493)</f>
        <v>0</v>
      </c>
      <c r="E2950" s="28" t="s">
        <v>9375</v>
      </c>
      <c r="F2950" s="36">
        <f t="array" ref="F2950">XLOOKUP(A2950,IMDB_Movies!I$2:I$3493,IMDB_Movies!P$2:P$3493)</f>
        <v>1178893</v>
      </c>
    </row>
    <row r="2951">
      <c r="A2951" s="11" t="s">
        <v>9379</v>
      </c>
      <c r="B2951" s="35">
        <f t="array" ref="B2951">XLOOKUP(A2951,IMDB_Movies!I$2:I$3493,IMDB_Movies!Q$2:Q$3493)</f>
        <v>23399089</v>
      </c>
      <c r="E2951" s="11" t="s">
        <v>9379</v>
      </c>
      <c r="F2951" s="36">
        <f t="array" ref="F2951">XLOOKUP(A2951,IMDB_Movies!I$2:I$3493,IMDB_Movies!P$2:P$3493)</f>
        <v>0</v>
      </c>
    </row>
    <row r="2952">
      <c r="A2952" s="11" t="s">
        <v>9382</v>
      </c>
      <c r="B2952" s="35">
        <f t="array" ref="B2952">XLOOKUP(A2952,IMDB_Movies!I$2:I$3493,IMDB_Movies!Q$2:Q$3493)</f>
        <v>8743723</v>
      </c>
      <c r="E2952" s="11" t="s">
        <v>9382</v>
      </c>
      <c r="F2952" s="36">
        <f t="array" ref="F2952">XLOOKUP(A2952,IMDB_Movies!I$2:I$3493,IMDB_Movies!P$2:P$3493)</f>
        <v>0</v>
      </c>
    </row>
    <row r="2953">
      <c r="A2953" s="24" t="s">
        <v>9384</v>
      </c>
      <c r="B2953" s="35">
        <f t="array" ref="B2953">XLOOKUP(A2953,IMDB_Movies!I$2:I$3493,IMDB_Movies!Q$2:Q$3493)</f>
        <v>1107418</v>
      </c>
      <c r="E2953" s="24" t="s">
        <v>9384</v>
      </c>
      <c r="F2953" s="36">
        <f t="array" ref="F2953">XLOOKUP(A2953,IMDB_Movies!I$2:I$3493,IMDB_Movies!P$2:P$3493)</f>
        <v>0</v>
      </c>
    </row>
    <row r="2954">
      <c r="A2954" s="24" t="s">
        <v>9386</v>
      </c>
      <c r="B2954" s="35">
        <f t="array" ref="B2954">XLOOKUP(A2954,IMDB_Movies!I$2:I$3493,IMDB_Movies!Q$2:Q$3493)</f>
        <v>8102818</v>
      </c>
      <c r="E2954" s="24" t="s">
        <v>9386</v>
      </c>
      <c r="F2954" s="36">
        <f t="array" ref="F2954">XLOOKUP(A2954,IMDB_Movies!I$2:I$3493,IMDB_Movies!P$2:P$3493)</f>
        <v>0</v>
      </c>
    </row>
    <row r="2955">
      <c r="A2955" s="28" t="s">
        <v>9390</v>
      </c>
      <c r="B2955" s="35">
        <f t="array" ref="B2955">XLOOKUP(A2955,IMDB_Movies!I$2:I$3493,IMDB_Movies!Q$2:Q$3493)</f>
        <v>18011004</v>
      </c>
      <c r="E2955" s="28" t="s">
        <v>9390</v>
      </c>
      <c r="F2955" s="36">
        <f t="array" ref="F2955">XLOOKUP(A2955,IMDB_Movies!I$2:I$3493,IMDB_Movies!P$2:P$3493)</f>
        <v>0</v>
      </c>
    </row>
    <row r="2956">
      <c r="A2956" s="11" t="s">
        <v>9392</v>
      </c>
      <c r="B2956" s="35">
        <f t="array" ref="B2956">XLOOKUP(A2956,IMDB_Movies!I$2:I$3493,IMDB_Movies!Q$2:Q$3493)</f>
        <v>14290615</v>
      </c>
      <c r="E2956" s="11" t="s">
        <v>9392</v>
      </c>
      <c r="F2956" s="36">
        <f t="array" ref="F2956">XLOOKUP(A2956,IMDB_Movies!I$2:I$3493,IMDB_Movies!P$2:P$3493)</f>
        <v>0</v>
      </c>
    </row>
    <row r="2957">
      <c r="A2957" s="11" t="s">
        <v>9394</v>
      </c>
      <c r="B2957" s="35">
        <f t="array" ref="B2957">XLOOKUP(A2957,IMDB_Movies!I$2:I$3493,IMDB_Movies!Q$2:Q$3493)</f>
        <v>0</v>
      </c>
      <c r="E2957" s="11" t="s">
        <v>9394</v>
      </c>
      <c r="F2957" s="36">
        <f t="array" ref="F2957">XLOOKUP(A2957,IMDB_Movies!I$2:I$3493,IMDB_Movies!P$2:P$3493)</f>
        <v>173377893</v>
      </c>
    </row>
    <row r="2958">
      <c r="A2958" s="11" t="s">
        <v>9396</v>
      </c>
      <c r="B2958" s="35">
        <f t="array" ref="B2958">XLOOKUP(A2958,IMDB_Movies!I$2:I$3493,IMDB_Movies!Q$2:Q$3493)</f>
        <v>0</v>
      </c>
      <c r="E2958" s="11" t="s">
        <v>9396</v>
      </c>
      <c r="F2958" s="36">
        <f t="array" ref="F2958">XLOOKUP(A2958,IMDB_Movies!I$2:I$3493,IMDB_Movies!P$2:P$3493)</f>
        <v>56435493</v>
      </c>
    </row>
    <row r="2959">
      <c r="A2959" s="11" t="s">
        <v>9398</v>
      </c>
      <c r="B2959" s="35">
        <f t="array" ref="B2959">XLOOKUP(A2959,IMDB_Movies!I$2:I$3493,IMDB_Movies!Q$2:Q$3493)</f>
        <v>31483987</v>
      </c>
      <c r="E2959" s="11" t="s">
        <v>9398</v>
      </c>
      <c r="F2959" s="36">
        <f t="array" ref="F2959">XLOOKUP(A2959,IMDB_Movies!I$2:I$3493,IMDB_Movies!P$2:P$3493)</f>
        <v>0</v>
      </c>
    </row>
    <row r="2960">
      <c r="A2960" s="24" t="s">
        <v>9403</v>
      </c>
      <c r="B2960" s="35">
        <f t="array" ref="B2960">XLOOKUP(A2960,IMDB_Movies!I$2:I$3493,IMDB_Movies!Q$2:Q$3493)</f>
        <v>11491577</v>
      </c>
      <c r="E2960" s="24" t="s">
        <v>9403</v>
      </c>
      <c r="F2960" s="36">
        <f t="array" ref="F2960">XLOOKUP(A2960,IMDB_Movies!I$2:I$3493,IMDB_Movies!P$2:P$3493)</f>
        <v>0</v>
      </c>
    </row>
    <row r="2961">
      <c r="A2961" s="24" t="s">
        <v>9405</v>
      </c>
      <c r="B2961" s="35">
        <f t="array" ref="B2961">XLOOKUP(A2961,IMDB_Movies!I$2:I$3493,IMDB_Movies!Q$2:Q$3493)</f>
        <v>0</v>
      </c>
      <c r="E2961" s="24" t="s">
        <v>9405</v>
      </c>
      <c r="F2961" s="36">
        <f t="array" ref="F2961">XLOOKUP(A2961,IMDB_Movies!I$2:I$3493,IMDB_Movies!P$2:P$3493)</f>
        <v>104007640</v>
      </c>
    </row>
    <row r="2962">
      <c r="A2962" s="24" t="s">
        <v>9408</v>
      </c>
      <c r="B2962" s="35">
        <f t="array" ref="B2962">XLOOKUP(A2962,IMDB_Movies!I$2:I$3493,IMDB_Movies!Q$2:Q$3493)</f>
        <v>9708035</v>
      </c>
      <c r="E2962" s="24" t="s">
        <v>9408</v>
      </c>
      <c r="F2962" s="36">
        <f t="array" ref="F2962">XLOOKUP(A2962,IMDB_Movies!I$2:I$3493,IMDB_Movies!P$2:P$3493)</f>
        <v>0</v>
      </c>
    </row>
    <row r="2963">
      <c r="A2963" s="24" t="s">
        <v>9410</v>
      </c>
      <c r="B2963" s="35">
        <f t="array" ref="B2963">XLOOKUP(A2963,IMDB_Movies!I$2:I$3493,IMDB_Movies!Q$2:Q$3493)</f>
        <v>0</v>
      </c>
      <c r="E2963" s="24" t="s">
        <v>9410</v>
      </c>
      <c r="F2963" s="36">
        <f t="array" ref="F2963">XLOOKUP(A2963,IMDB_Movies!I$2:I$3493,IMDB_Movies!P$2:P$3493)</f>
        <v>75213377</v>
      </c>
    </row>
    <row r="2964">
      <c r="A2964" s="11" t="s">
        <v>9413</v>
      </c>
      <c r="B2964" s="35">
        <f t="array" ref="B2964">XLOOKUP(A2964,IMDB_Movies!I$2:I$3493,IMDB_Movies!Q$2:Q$3493)</f>
        <v>7913655</v>
      </c>
      <c r="E2964" s="11" t="s">
        <v>9413</v>
      </c>
      <c r="F2964" s="36">
        <f t="array" ref="F2964">XLOOKUP(A2964,IMDB_Movies!I$2:I$3493,IMDB_Movies!P$2:P$3493)</f>
        <v>0</v>
      </c>
    </row>
    <row r="2965">
      <c r="A2965" s="11" t="s">
        <v>9415</v>
      </c>
      <c r="B2965" s="35">
        <f t="array" ref="B2965">XLOOKUP(A2965,IMDB_Movies!I$2:I$3493,IMDB_Movies!Q$2:Q$3493)</f>
        <v>0</v>
      </c>
      <c r="E2965" s="11" t="s">
        <v>9415</v>
      </c>
      <c r="F2965" s="36">
        <f t="array" ref="F2965">XLOOKUP(A2965,IMDB_Movies!I$2:I$3493,IMDB_Movies!P$2:P$3493)</f>
        <v>23338891</v>
      </c>
    </row>
    <row r="2966">
      <c r="A2966" s="24" t="s">
        <v>9418</v>
      </c>
      <c r="B2966" s="35">
        <f t="array" ref="B2966">XLOOKUP(A2966,IMDB_Movies!I$2:I$3493,IMDB_Movies!Q$2:Q$3493)</f>
        <v>0</v>
      </c>
      <c r="E2966" s="24" t="s">
        <v>9418</v>
      </c>
      <c r="F2966" s="36">
        <f t="array" ref="F2966">XLOOKUP(A2966,IMDB_Movies!I$2:I$3493,IMDB_Movies!P$2:P$3493)</f>
        <v>40950721</v>
      </c>
    </row>
    <row r="2967">
      <c r="A2967" s="24" t="s">
        <v>9420</v>
      </c>
      <c r="B2967" s="35">
        <f t="array" ref="B2967">XLOOKUP(A2967,IMDB_Movies!I$2:I$3493,IMDB_Movies!Q$2:Q$3493)</f>
        <v>0</v>
      </c>
      <c r="E2967" s="24" t="s">
        <v>9420</v>
      </c>
      <c r="F2967" s="36">
        <f t="array" ref="F2967">XLOOKUP(A2967,IMDB_Movies!I$2:I$3493,IMDB_Movies!P$2:P$3493)</f>
        <v>1920333</v>
      </c>
    </row>
    <row r="2968">
      <c r="A2968" s="11" t="s">
        <v>9422</v>
      </c>
      <c r="B2968" s="35">
        <f t="array" ref="B2968">XLOOKUP(A2968,IMDB_Movies!I$2:I$3493,IMDB_Movies!Q$2:Q$3493)</f>
        <v>0</v>
      </c>
      <c r="E2968" s="11" t="s">
        <v>9422</v>
      </c>
      <c r="F2968" s="36">
        <f t="array" ref="F2968">XLOOKUP(A2968,IMDB_Movies!I$2:I$3493,IMDB_Movies!P$2:P$3493)</f>
        <v>78500000</v>
      </c>
    </row>
    <row r="2969">
      <c r="A2969" s="24" t="s">
        <v>9424</v>
      </c>
      <c r="B2969" s="35">
        <f t="array" ref="B2969">XLOOKUP(A2969,IMDB_Movies!I$2:I$3493,IMDB_Movies!Q$2:Q$3493)</f>
        <v>0</v>
      </c>
      <c r="E2969" s="24" t="s">
        <v>9424</v>
      </c>
      <c r="F2969" s="36">
        <f t="array" ref="F2969">XLOOKUP(A2969,IMDB_Movies!I$2:I$3493,IMDB_Movies!P$2:P$3493)</f>
        <v>12057340</v>
      </c>
    </row>
    <row r="2970">
      <c r="A2970" s="20" t="s">
        <v>9428</v>
      </c>
      <c r="B2970" s="35">
        <f t="array" ref="B2970">XLOOKUP(A2970,IMDB_Movies!I$2:I$3493,IMDB_Movies!Q$2:Q$3493)</f>
        <v>0</v>
      </c>
      <c r="E2970" s="20" t="s">
        <v>9428</v>
      </c>
      <c r="F2970" s="36">
        <f t="array" ref="F2970">XLOOKUP(A2970,IMDB_Movies!I$2:I$3493,IMDB_Movies!P$2:P$3493)</f>
        <v>1157157</v>
      </c>
    </row>
    <row r="2971">
      <c r="A2971" s="32" t="s">
        <v>9430</v>
      </c>
      <c r="B2971" s="35">
        <f t="array" ref="B2971">XLOOKUP(A2971,IMDB_Movies!I$2:I$3493,IMDB_Movies!Q$2:Q$3493)</f>
        <v>0</v>
      </c>
      <c r="E2971" s="32" t="s">
        <v>9430</v>
      </c>
      <c r="F2971" s="36">
        <f t="array" ref="F2971">XLOOKUP(A2971,IMDB_Movies!I$2:I$3493,IMDB_Movies!P$2:P$3493)</f>
        <v>3099680</v>
      </c>
    </row>
    <row r="2972">
      <c r="A2972" s="11" t="s">
        <v>9432</v>
      </c>
      <c r="B2972" s="35">
        <f t="array" ref="B2972">XLOOKUP(A2972,IMDB_Movies!I$2:I$3493,IMDB_Movies!Q$2:Q$3493)</f>
        <v>0</v>
      </c>
      <c r="E2972" s="11" t="s">
        <v>9432</v>
      </c>
      <c r="F2972" s="36">
        <f t="array" ref="F2972">XLOOKUP(A2972,IMDB_Movies!I$2:I$3493,IMDB_Movies!P$2:P$3493)</f>
        <v>154436380</v>
      </c>
    </row>
    <row r="2973">
      <c r="A2973" s="16" t="s">
        <v>9435</v>
      </c>
      <c r="B2973" s="35">
        <f t="array" ref="B2973">XLOOKUP(A2973,IMDB_Movies!I$2:I$3493,IMDB_Movies!Q$2:Q$3493)</f>
        <v>0</v>
      </c>
      <c r="E2973" s="16" t="s">
        <v>9435</v>
      </c>
      <c r="F2973" s="36">
        <f t="array" ref="F2973">XLOOKUP(A2973,IMDB_Movies!I$2:I$3493,IMDB_Movies!P$2:P$3493)</f>
        <v>25188667</v>
      </c>
    </row>
    <row r="2974">
      <c r="A2974" s="11" t="s">
        <v>9437</v>
      </c>
      <c r="B2974" s="35">
        <f t="array" ref="B2974">XLOOKUP(A2974,IMDB_Movies!I$2:I$3493,IMDB_Movies!Q$2:Q$3493)</f>
        <v>3802134</v>
      </c>
      <c r="E2974" s="11" t="s">
        <v>9437</v>
      </c>
      <c r="F2974" s="36">
        <f t="array" ref="F2974">XLOOKUP(A2974,IMDB_Movies!I$2:I$3493,IMDB_Movies!P$2:P$3493)</f>
        <v>0</v>
      </c>
    </row>
    <row r="2975">
      <c r="A2975" s="20" t="s">
        <v>9441</v>
      </c>
      <c r="B2975" s="35">
        <f t="array" ref="B2975">XLOOKUP(A2975,IMDB_Movies!I$2:I$3493,IMDB_Movies!Q$2:Q$3493)</f>
        <v>0</v>
      </c>
      <c r="E2975" s="20" t="s">
        <v>9441</v>
      </c>
      <c r="F2975" s="36">
        <f t="array" ref="F2975">XLOOKUP(A2975,IMDB_Movies!I$2:I$3493,IMDB_Movies!P$2:P$3493)</f>
        <v>90900000</v>
      </c>
    </row>
    <row r="2976">
      <c r="A2976" s="11" t="s">
        <v>9444</v>
      </c>
      <c r="B2976" s="35">
        <f t="array" ref="B2976">XLOOKUP(A2976,IMDB_Movies!I$2:I$3493,IMDB_Movies!Q$2:Q$3493)</f>
        <v>0</v>
      </c>
      <c r="E2976" s="11" t="s">
        <v>9444</v>
      </c>
      <c r="F2976" s="36">
        <f t="array" ref="F2976">XLOOKUP(A2976,IMDB_Movies!I$2:I$3493,IMDB_Movies!P$2:P$3493)</f>
        <v>28025000</v>
      </c>
    </row>
    <row r="2977">
      <c r="A2977" s="24" t="s">
        <v>9447</v>
      </c>
      <c r="B2977" s="35">
        <f t="array" ref="B2977">XLOOKUP(A2977,IMDB_Movies!I$2:I$3493,IMDB_Movies!Q$2:Q$3493)</f>
        <v>0</v>
      </c>
      <c r="E2977" s="24" t="s">
        <v>9447</v>
      </c>
      <c r="F2977" s="36">
        <f t="array" ref="F2977">XLOOKUP(A2977,IMDB_Movies!I$2:I$3493,IMDB_Movies!P$2:P$3493)</f>
        <v>21601713</v>
      </c>
    </row>
    <row r="2978">
      <c r="A2978" s="24" t="s">
        <v>9449</v>
      </c>
      <c r="B2978" s="35">
        <f t="array" ref="B2978">XLOOKUP(A2978,IMDB_Movies!I$2:I$3493,IMDB_Movies!Q$2:Q$3493)</f>
        <v>11849597</v>
      </c>
      <c r="E2978" s="24" t="s">
        <v>9449</v>
      </c>
      <c r="F2978" s="36">
        <f t="array" ref="F2978">XLOOKUP(A2978,IMDB_Movies!I$2:I$3493,IMDB_Movies!P$2:P$3493)</f>
        <v>0</v>
      </c>
    </row>
    <row r="2979">
      <c r="A2979" s="32" t="s">
        <v>9453</v>
      </c>
      <c r="B2979" s="35">
        <f t="array" ref="B2979">XLOOKUP(A2979,IMDB_Movies!I$2:I$3493,IMDB_Movies!Q$2:Q$3493)</f>
        <v>14386444</v>
      </c>
      <c r="E2979" s="32" t="s">
        <v>9453</v>
      </c>
      <c r="F2979" s="36">
        <f t="array" ref="F2979">XLOOKUP(A2979,IMDB_Movies!I$2:I$3493,IMDB_Movies!P$2:P$3493)</f>
        <v>0</v>
      </c>
    </row>
    <row r="2980">
      <c r="A2980" s="28" t="s">
        <v>9457</v>
      </c>
      <c r="B2980" s="35">
        <f t="array" ref="B2980">XLOOKUP(A2980,IMDB_Movies!I$2:I$3493,IMDB_Movies!Q$2:Q$3493)</f>
        <v>43926768</v>
      </c>
      <c r="E2980" s="28" t="s">
        <v>9457</v>
      </c>
      <c r="F2980" s="36">
        <f t="array" ref="F2980">XLOOKUP(A2980,IMDB_Movies!I$2:I$3493,IMDB_Movies!P$2:P$3493)</f>
        <v>0</v>
      </c>
    </row>
    <row r="2981">
      <c r="A2981" s="11" t="s">
        <v>9459</v>
      </c>
      <c r="B2981" s="35">
        <f t="array" ref="B2981">XLOOKUP(A2981,IMDB_Movies!I$2:I$3493,IMDB_Movies!Q$2:Q$3493)</f>
        <v>0</v>
      </c>
      <c r="E2981" s="11" t="s">
        <v>9459</v>
      </c>
      <c r="F2981" s="36">
        <f t="array" ref="F2981">XLOOKUP(A2981,IMDB_Movies!I$2:I$3493,IMDB_Movies!P$2:P$3493)</f>
        <v>15339117</v>
      </c>
    </row>
    <row r="2982">
      <c r="A2982" s="20" t="s">
        <v>9461</v>
      </c>
      <c r="B2982" s="35">
        <f t="array" ref="B2982">XLOOKUP(A2982,IMDB_Movies!I$2:I$3493,IMDB_Movies!Q$2:Q$3493)</f>
        <v>7714482</v>
      </c>
      <c r="E2982" s="20" t="s">
        <v>9461</v>
      </c>
      <c r="F2982" s="36">
        <f t="array" ref="F2982">XLOOKUP(A2982,IMDB_Movies!I$2:I$3493,IMDB_Movies!P$2:P$3493)</f>
        <v>0</v>
      </c>
    </row>
    <row r="2983">
      <c r="A2983" s="11" t="s">
        <v>9465</v>
      </c>
      <c r="B2983" s="35">
        <f t="array" ref="B2983">XLOOKUP(A2983,IMDB_Movies!I$2:I$3493,IMDB_Movies!Q$2:Q$3493)</f>
        <v>0</v>
      </c>
      <c r="E2983" s="11" t="s">
        <v>9465</v>
      </c>
      <c r="F2983" s="36">
        <f t="array" ref="F2983">XLOOKUP(A2983,IMDB_Movies!I$2:I$3493,IMDB_Movies!P$2:P$3493)</f>
        <v>39156435</v>
      </c>
    </row>
    <row r="2984">
      <c r="A2984" s="24" t="s">
        <v>9467</v>
      </c>
      <c r="B2984" s="35">
        <f t="array" ref="B2984">XLOOKUP(A2984,IMDB_Movies!I$2:I$3493,IMDB_Movies!Q$2:Q$3493)</f>
        <v>0</v>
      </c>
      <c r="E2984" s="24" t="s">
        <v>9467</v>
      </c>
      <c r="F2984" s="36">
        <f t="array" ref="F2984">XLOOKUP(A2984,IMDB_Movies!I$2:I$3493,IMDB_Movies!P$2:P$3493)</f>
        <v>30775468</v>
      </c>
    </row>
    <row r="2985">
      <c r="A2985" s="11" t="s">
        <v>9469</v>
      </c>
      <c r="B2985" s="35">
        <f t="array" ref="B2985">XLOOKUP(A2985,IMDB_Movies!I$2:I$3493,IMDB_Movies!Q$2:Q$3493)</f>
        <v>7352460</v>
      </c>
      <c r="E2985" s="11" t="s">
        <v>9469</v>
      </c>
      <c r="F2985" s="36">
        <f t="array" ref="F2985">XLOOKUP(A2985,IMDB_Movies!I$2:I$3493,IMDB_Movies!P$2:P$3493)</f>
        <v>0</v>
      </c>
    </row>
    <row r="2986">
      <c r="A2986" s="11" t="s">
        <v>9472</v>
      </c>
      <c r="B2986" s="35">
        <f t="array" ref="B2986">XLOOKUP(A2986,IMDB_Movies!I$2:I$3493,IMDB_Movies!Q$2:Q$3493)</f>
        <v>0</v>
      </c>
      <c r="E2986" s="11" t="s">
        <v>9472</v>
      </c>
      <c r="F2986" s="36">
        <f t="array" ref="F2986">XLOOKUP(A2986,IMDB_Movies!I$2:I$3493,IMDB_Movies!P$2:P$3493)</f>
        <v>2921130</v>
      </c>
    </row>
    <row r="2987">
      <c r="A2987" s="24" t="s">
        <v>9475</v>
      </c>
      <c r="B2987" s="35">
        <f t="array" ref="B2987">XLOOKUP(A2987,IMDB_Movies!I$2:I$3493,IMDB_Movies!Q$2:Q$3493)</f>
        <v>0</v>
      </c>
      <c r="E2987" s="24" t="s">
        <v>9475</v>
      </c>
      <c r="F2987" s="36">
        <f t="array" ref="F2987">XLOOKUP(A2987,IMDB_Movies!I$2:I$3493,IMDB_Movies!P$2:P$3493)</f>
        <v>27317535</v>
      </c>
    </row>
    <row r="2988">
      <c r="A2988" s="11" t="s">
        <v>9478</v>
      </c>
      <c r="B2988" s="35">
        <f t="array" ref="B2988">XLOOKUP(A2988,IMDB_Movies!I$2:I$3493,IMDB_Movies!Q$2:Q$3493)</f>
        <v>0</v>
      </c>
      <c r="E2988" s="11" t="s">
        <v>9478</v>
      </c>
      <c r="F2988" s="36">
        <f t="array" ref="F2988">XLOOKUP(A2988,IMDB_Movies!I$2:I$3493,IMDB_Movies!P$2:P$3493)</f>
        <v>19500000</v>
      </c>
    </row>
    <row r="2989">
      <c r="A2989" s="11" t="s">
        <v>9480</v>
      </c>
      <c r="B2989" s="35">
        <f t="array" ref="B2989">XLOOKUP(A2989,IMDB_Movies!I$2:I$3493,IMDB_Movies!Q$2:Q$3493)</f>
        <v>0</v>
      </c>
      <c r="E2989" s="11" t="s">
        <v>9480</v>
      </c>
      <c r="F2989" s="36">
        <f t="array" ref="F2989">XLOOKUP(A2989,IMDB_Movies!I$2:I$3493,IMDB_Movies!P$2:P$3493)</f>
        <v>44631572</v>
      </c>
    </row>
    <row r="2990">
      <c r="A2990" s="20" t="s">
        <v>9484</v>
      </c>
      <c r="B2990" s="35">
        <f t="array" ref="B2990">XLOOKUP(A2990,IMDB_Movies!I$2:I$3493,IMDB_Movies!Q$2:Q$3493)</f>
        <v>9976725</v>
      </c>
      <c r="E2990" s="20" t="s">
        <v>9484</v>
      </c>
      <c r="F2990" s="36">
        <f t="array" ref="F2990">XLOOKUP(A2990,IMDB_Movies!I$2:I$3493,IMDB_Movies!P$2:P$3493)</f>
        <v>0</v>
      </c>
    </row>
    <row r="2991">
      <c r="A2991" s="11" t="s">
        <v>9487</v>
      </c>
      <c r="B2991" s="35">
        <f t="array" ref="B2991">XLOOKUP(A2991,IMDB_Movies!I$2:I$3493,IMDB_Movies!Q$2:Q$3493)</f>
        <v>0</v>
      </c>
      <c r="E2991" s="11" t="s">
        <v>9487</v>
      </c>
      <c r="F2991" s="36">
        <f t="array" ref="F2991">XLOOKUP(A2991,IMDB_Movies!I$2:I$3493,IMDB_Movies!P$2:P$3493)</f>
        <v>95014030</v>
      </c>
    </row>
    <row r="2992">
      <c r="A2992" s="11" t="s">
        <v>9489</v>
      </c>
      <c r="B2992" s="35">
        <f t="array" ref="B2992">XLOOKUP(A2992,IMDB_Movies!I$2:I$3493,IMDB_Movies!Q$2:Q$3493)</f>
        <v>5884138</v>
      </c>
      <c r="E2992" s="11" t="s">
        <v>9489</v>
      </c>
      <c r="F2992" s="36">
        <f t="array" ref="F2992">XLOOKUP(A2992,IMDB_Movies!I$2:I$3493,IMDB_Movies!P$2:P$3493)</f>
        <v>0</v>
      </c>
    </row>
    <row r="2993">
      <c r="A2993" s="20" t="s">
        <v>9491</v>
      </c>
      <c r="B2993" s="35">
        <f t="array" ref="B2993">XLOOKUP(A2993,IMDB_Movies!I$2:I$3493,IMDB_Movies!Q$2:Q$3493)</f>
        <v>0</v>
      </c>
      <c r="E2993" s="20" t="s">
        <v>9491</v>
      </c>
      <c r="F2993" s="36">
        <f t="array" ref="F2993">XLOOKUP(A2993,IMDB_Movies!I$2:I$3493,IMDB_Movies!P$2:P$3493)</f>
        <v>47570368</v>
      </c>
    </row>
    <row r="2994">
      <c r="A2994" s="20" t="s">
        <v>9495</v>
      </c>
      <c r="B2994" s="35">
        <f t="array" ref="B2994">XLOOKUP(A2994,IMDB_Movies!I$2:I$3493,IMDB_Movies!Q$2:Q$3493)</f>
        <v>4475146</v>
      </c>
      <c r="E2994" s="20" t="s">
        <v>9495</v>
      </c>
      <c r="F2994" s="36">
        <f t="array" ref="F2994">XLOOKUP(A2994,IMDB_Movies!I$2:I$3493,IMDB_Movies!P$2:P$3493)</f>
        <v>0</v>
      </c>
    </row>
    <row r="2995">
      <c r="A2995" s="28" t="s">
        <v>9497</v>
      </c>
      <c r="B2995" s="35">
        <f t="array" ref="B2995">XLOOKUP(A2995,IMDB_Movies!I$2:I$3493,IMDB_Movies!Q$2:Q$3493)</f>
        <v>0</v>
      </c>
      <c r="E2995" s="28" t="s">
        <v>9497</v>
      </c>
      <c r="F2995" s="36">
        <f t="array" ref="F2995">XLOOKUP(A2995,IMDB_Movies!I$2:I$3493,IMDB_Movies!P$2:P$3493)</f>
        <v>4305922</v>
      </c>
    </row>
    <row r="2996">
      <c r="A2996" s="32" t="s">
        <v>9500</v>
      </c>
      <c r="B2996" s="35">
        <f t="array" ref="B2996">XLOOKUP(A2996,IMDB_Movies!I$2:I$3493,IMDB_Movies!Q$2:Q$3493)</f>
        <v>0</v>
      </c>
      <c r="E2996" s="32" t="s">
        <v>9500</v>
      </c>
      <c r="F2996" s="36">
        <f t="array" ref="F2996">XLOOKUP(A2996,IMDB_Movies!I$2:I$3493,IMDB_Movies!P$2:P$3493)</f>
        <v>5434867</v>
      </c>
    </row>
    <row r="2997">
      <c r="A2997" s="11" t="s">
        <v>9504</v>
      </c>
      <c r="B2997" s="35">
        <f t="array" ref="B2997">XLOOKUP(A2997,IMDB_Movies!I$2:I$3493,IMDB_Movies!Q$2:Q$3493)</f>
        <v>826515</v>
      </c>
      <c r="E2997" s="11" t="s">
        <v>9504</v>
      </c>
      <c r="F2997" s="36">
        <f t="array" ref="F2997">XLOOKUP(A2997,IMDB_Movies!I$2:I$3493,IMDB_Movies!P$2:P$3493)</f>
        <v>0</v>
      </c>
    </row>
    <row r="2998">
      <c r="A2998" s="24" t="s">
        <v>9506</v>
      </c>
      <c r="B2998" s="35">
        <f t="array" ref="B2998">XLOOKUP(A2998,IMDB_Movies!I$2:I$3493,IMDB_Movies!Q$2:Q$3493)</f>
        <v>0</v>
      </c>
      <c r="E2998" s="24" t="s">
        <v>9506</v>
      </c>
      <c r="F2998" s="36">
        <f t="array" ref="F2998">XLOOKUP(A2998,IMDB_Movies!I$2:I$3493,IMDB_Movies!P$2:P$3493)</f>
        <v>142645693</v>
      </c>
    </row>
    <row r="2999">
      <c r="A2999" s="20" t="s">
        <v>9509</v>
      </c>
      <c r="B2999" s="35">
        <f t="array" ref="B2999">XLOOKUP(A2999,IMDB_Movies!I$2:I$3493,IMDB_Movies!Q$2:Q$3493)</f>
        <v>0</v>
      </c>
      <c r="E2999" s="20" t="s">
        <v>9509</v>
      </c>
      <c r="F2999" s="36">
        <f t="array" ref="F2999">XLOOKUP(A2999,IMDB_Movies!I$2:I$3493,IMDB_Movies!P$2:P$3493)</f>
        <v>2817771</v>
      </c>
    </row>
    <row r="3000">
      <c r="A3000" s="24" t="s">
        <v>9511</v>
      </c>
      <c r="B3000" s="35">
        <f t="array" ref="B3000">XLOOKUP(A3000,IMDB_Movies!I$2:I$3493,IMDB_Movies!Q$2:Q$3493)</f>
        <v>13236409</v>
      </c>
      <c r="E3000" s="24" t="s">
        <v>9511</v>
      </c>
      <c r="F3000" s="36">
        <f t="array" ref="F3000">XLOOKUP(A3000,IMDB_Movies!I$2:I$3493,IMDB_Movies!P$2:P$3493)</f>
        <v>0</v>
      </c>
    </row>
    <row r="3001">
      <c r="A3001" s="11" t="s">
        <v>9513</v>
      </c>
      <c r="B3001" s="35">
        <f t="array" ref="B3001">XLOOKUP(A3001,IMDB_Movies!I$2:I$3493,IMDB_Movies!Q$2:Q$3493)</f>
        <v>0</v>
      </c>
      <c r="E3001" s="11" t="s">
        <v>9513</v>
      </c>
      <c r="F3001" s="36">
        <f t="array" ref="F3001">XLOOKUP(A3001,IMDB_Movies!I$2:I$3493,IMDB_Movies!P$2:P$3493)</f>
        <v>5687294</v>
      </c>
    </row>
    <row r="3002">
      <c r="A3002" s="24" t="s">
        <v>9515</v>
      </c>
      <c r="B3002" s="35">
        <f t="array" ref="B3002">XLOOKUP(A3002,IMDB_Movies!I$2:I$3493,IMDB_Movies!Q$2:Q$3493)</f>
        <v>0</v>
      </c>
      <c r="E3002" s="24" t="s">
        <v>9515</v>
      </c>
      <c r="F3002" s="36">
        <f t="array" ref="F3002">XLOOKUP(A3002,IMDB_Movies!I$2:I$3493,IMDB_Movies!P$2:P$3493)</f>
        <v>27703470</v>
      </c>
    </row>
    <row r="3003">
      <c r="A3003" s="28" t="s">
        <v>9517</v>
      </c>
      <c r="B3003" s="35">
        <f t="array" ref="B3003">XLOOKUP(A3003,IMDB_Movies!I$2:I$3493,IMDB_Movies!Q$2:Q$3493)</f>
        <v>0</v>
      </c>
      <c r="E3003" s="28" t="s">
        <v>9517</v>
      </c>
      <c r="F3003" s="36">
        <f t="array" ref="F3003">XLOOKUP(A3003,IMDB_Movies!I$2:I$3493,IMDB_Movies!P$2:P$3493)</f>
        <v>21788807</v>
      </c>
    </row>
    <row r="3004">
      <c r="A3004" s="16" t="s">
        <v>9519</v>
      </c>
      <c r="B3004" s="35">
        <f t="array" ref="B3004">XLOOKUP(A3004,IMDB_Movies!I$2:I$3493,IMDB_Movies!Q$2:Q$3493)</f>
        <v>29643614</v>
      </c>
      <c r="E3004" s="16" t="s">
        <v>9519</v>
      </c>
      <c r="F3004" s="36">
        <f t="array" ref="F3004">XLOOKUP(A3004,IMDB_Movies!I$2:I$3493,IMDB_Movies!P$2:P$3493)</f>
        <v>0</v>
      </c>
    </row>
    <row r="3005">
      <c r="A3005" s="28" t="s">
        <v>9522</v>
      </c>
      <c r="B3005" s="35">
        <f t="array" ref="B3005">XLOOKUP(A3005,IMDB_Movies!I$2:I$3493,IMDB_Movies!Q$2:Q$3493)</f>
        <v>0</v>
      </c>
      <c r="E3005" s="28" t="s">
        <v>9522</v>
      </c>
      <c r="F3005" s="36">
        <f t="array" ref="F3005">XLOOKUP(A3005,IMDB_Movies!I$2:I$3493,IMDB_Movies!P$2:P$3493)</f>
        <v>21300107</v>
      </c>
    </row>
    <row r="3006">
      <c r="A3006" s="32" t="s">
        <v>9524</v>
      </c>
      <c r="B3006" s="35">
        <f t="array" ref="B3006">XLOOKUP(A3006,IMDB_Movies!I$2:I$3493,IMDB_Movies!Q$2:Q$3493)</f>
        <v>0</v>
      </c>
      <c r="E3006" s="32" t="s">
        <v>9524</v>
      </c>
      <c r="F3006" s="36">
        <f t="array" ref="F3006">XLOOKUP(A3006,IMDB_Movies!I$2:I$3493,IMDB_Movies!P$2:P$3493)</f>
        <v>15764085</v>
      </c>
    </row>
    <row r="3007">
      <c r="A3007" s="11" t="s">
        <v>9527</v>
      </c>
      <c r="B3007" s="35">
        <f t="array" ref="B3007">XLOOKUP(A3007,IMDB_Movies!I$2:I$3493,IMDB_Movies!Q$2:Q$3493)</f>
        <v>6435852</v>
      </c>
      <c r="E3007" s="11" t="s">
        <v>9527</v>
      </c>
      <c r="F3007" s="36">
        <f t="array" ref="F3007">XLOOKUP(A3007,IMDB_Movies!I$2:I$3493,IMDB_Movies!P$2:P$3493)</f>
        <v>0</v>
      </c>
    </row>
    <row r="3008">
      <c r="A3008" s="11" t="s">
        <v>9529</v>
      </c>
      <c r="B3008" s="35">
        <f t="array" ref="B3008">XLOOKUP(A3008,IMDB_Movies!I$2:I$3493,IMDB_Movies!Q$2:Q$3493)</f>
        <v>0</v>
      </c>
      <c r="E3008" s="11" t="s">
        <v>9529</v>
      </c>
      <c r="F3008" s="36">
        <f t="array" ref="F3008">XLOOKUP(A3008,IMDB_Movies!I$2:I$3493,IMDB_Movies!P$2:P$3493)</f>
        <v>35200000</v>
      </c>
    </row>
    <row r="3009">
      <c r="A3009" s="32" t="s">
        <v>9531</v>
      </c>
      <c r="B3009" s="35">
        <f t="array" ref="B3009">XLOOKUP(A3009,IMDB_Movies!I$2:I$3493,IMDB_Movies!Q$2:Q$3493)</f>
        <v>33853591</v>
      </c>
      <c r="E3009" s="32" t="s">
        <v>9531</v>
      </c>
      <c r="F3009" s="36">
        <f t="array" ref="F3009">XLOOKUP(A3009,IMDB_Movies!I$2:I$3493,IMDB_Movies!P$2:P$3493)</f>
        <v>0</v>
      </c>
    </row>
    <row r="3010">
      <c r="A3010" s="32" t="s">
        <v>9534</v>
      </c>
      <c r="B3010" s="35">
        <f t="array" ref="B3010">XLOOKUP(A3010,IMDB_Movies!I$2:I$3493,IMDB_Movies!Q$2:Q$3493)</f>
        <v>0</v>
      </c>
      <c r="E3010" s="32" t="s">
        <v>9534</v>
      </c>
      <c r="F3010" s="36">
        <f t="array" ref="F3010">XLOOKUP(A3010,IMDB_Movies!I$2:I$3493,IMDB_Movies!P$2:P$3493)</f>
        <v>13337608</v>
      </c>
    </row>
    <row r="3011">
      <c r="A3011" s="11" t="s">
        <v>9536</v>
      </c>
      <c r="B3011" s="35">
        <f t="array" ref="B3011">XLOOKUP(A3011,IMDB_Movies!I$2:I$3493,IMDB_Movies!Q$2:Q$3493)</f>
        <v>2055787</v>
      </c>
      <c r="E3011" s="11" t="s">
        <v>9536</v>
      </c>
      <c r="F3011" s="36">
        <f t="array" ref="F3011">XLOOKUP(A3011,IMDB_Movies!I$2:I$3493,IMDB_Movies!P$2:P$3493)</f>
        <v>0</v>
      </c>
    </row>
    <row r="3012">
      <c r="A3012" s="16" t="s">
        <v>9539</v>
      </c>
      <c r="B3012" s="35">
        <f t="array" ref="B3012">XLOOKUP(A3012,IMDB_Movies!I$2:I$3493,IMDB_Movies!Q$2:Q$3493)</f>
        <v>2778191</v>
      </c>
      <c r="E3012" s="16" t="s">
        <v>9539</v>
      </c>
      <c r="F3012" s="36">
        <f t="array" ref="F3012">XLOOKUP(A3012,IMDB_Movies!I$2:I$3493,IMDB_Movies!P$2:P$3493)</f>
        <v>0</v>
      </c>
    </row>
    <row r="3013">
      <c r="A3013" s="24" t="s">
        <v>9542</v>
      </c>
      <c r="B3013" s="35">
        <f t="array" ref="B3013">XLOOKUP(A3013,IMDB_Movies!I$2:I$3493,IMDB_Movies!Q$2:Q$3493)</f>
        <v>1642524</v>
      </c>
      <c r="E3013" s="24" t="s">
        <v>9542</v>
      </c>
      <c r="F3013" s="36">
        <f t="array" ref="F3013">XLOOKUP(A3013,IMDB_Movies!I$2:I$3493,IMDB_Movies!P$2:P$3493)</f>
        <v>0</v>
      </c>
    </row>
    <row r="3014">
      <c r="A3014" s="20" t="s">
        <v>9545</v>
      </c>
      <c r="B3014" s="35">
        <f t="array" ref="B3014">XLOOKUP(A3014,IMDB_Movies!I$2:I$3493,IMDB_Movies!Q$2:Q$3493)</f>
        <v>0</v>
      </c>
      <c r="E3014" s="20" t="s">
        <v>9545</v>
      </c>
      <c r="F3014" s="36">
        <f t="array" ref="F3014">XLOOKUP(A3014,IMDB_Movies!I$2:I$3493,IMDB_Movies!P$2:P$3493)</f>
        <v>56448821</v>
      </c>
    </row>
    <row r="3015">
      <c r="A3015" s="11" t="s">
        <v>9547</v>
      </c>
      <c r="B3015" s="35">
        <f t="array" ref="B3015">XLOOKUP(A3015,IMDB_Movies!I$2:I$3493,IMDB_Movies!Q$2:Q$3493)</f>
        <v>0</v>
      </c>
      <c r="E3015" s="11" t="s">
        <v>9547</v>
      </c>
      <c r="F3015" s="36">
        <f t="array" ref="F3015">XLOOKUP(A3015,IMDB_Movies!I$2:I$3493,IMDB_Movies!P$2:P$3493)</f>
        <v>11017403</v>
      </c>
    </row>
    <row r="3016">
      <c r="A3016" s="16" t="s">
        <v>9550</v>
      </c>
      <c r="B3016" s="35">
        <f t="array" ref="B3016">XLOOKUP(A3016,IMDB_Movies!I$2:I$3493,IMDB_Movies!Q$2:Q$3493)</f>
        <v>24222577</v>
      </c>
      <c r="E3016" s="16" t="s">
        <v>9550</v>
      </c>
      <c r="F3016" s="36">
        <f t="array" ref="F3016">XLOOKUP(A3016,IMDB_Movies!I$2:I$3493,IMDB_Movies!P$2:P$3493)</f>
        <v>0</v>
      </c>
    </row>
    <row r="3017">
      <c r="A3017" s="11" t="s">
        <v>9552</v>
      </c>
      <c r="B3017" s="35">
        <f t="array" ref="B3017">XLOOKUP(A3017,IMDB_Movies!I$2:I$3493,IMDB_Movies!Q$2:Q$3493)</f>
        <v>8930592</v>
      </c>
      <c r="E3017" s="11" t="s">
        <v>9552</v>
      </c>
      <c r="F3017" s="36">
        <f t="array" ref="F3017">XLOOKUP(A3017,IMDB_Movies!I$2:I$3493,IMDB_Movies!P$2:P$3493)</f>
        <v>0</v>
      </c>
    </row>
    <row r="3018">
      <c r="A3018" s="24" t="s">
        <v>9555</v>
      </c>
      <c r="B3018" s="35">
        <f t="array" ref="B3018">XLOOKUP(A3018,IMDB_Movies!I$2:I$3493,IMDB_Movies!Q$2:Q$3493)</f>
        <v>0</v>
      </c>
      <c r="E3018" s="24" t="s">
        <v>9555</v>
      </c>
      <c r="F3018" s="36">
        <f t="array" ref="F3018">XLOOKUP(A3018,IMDB_Movies!I$2:I$3493,IMDB_Movies!P$2:P$3493)</f>
        <v>20984230</v>
      </c>
    </row>
    <row r="3019">
      <c r="A3019" s="11" t="s">
        <v>9558</v>
      </c>
      <c r="B3019" s="35">
        <f t="array" ref="B3019">XLOOKUP(A3019,IMDB_Movies!I$2:I$3493,IMDB_Movies!Q$2:Q$3493)</f>
        <v>2308300</v>
      </c>
      <c r="E3019" s="11" t="s">
        <v>9558</v>
      </c>
      <c r="F3019" s="36">
        <f t="array" ref="F3019">XLOOKUP(A3019,IMDB_Movies!I$2:I$3493,IMDB_Movies!P$2:P$3493)</f>
        <v>0</v>
      </c>
    </row>
    <row r="3020">
      <c r="A3020" s="28" t="s">
        <v>9561</v>
      </c>
      <c r="B3020" s="35">
        <f t="array" ref="B3020">XLOOKUP(A3020,IMDB_Movies!I$2:I$3493,IMDB_Movies!Q$2:Q$3493)</f>
        <v>4115185</v>
      </c>
      <c r="E3020" s="28" t="s">
        <v>9561</v>
      </c>
      <c r="F3020" s="36">
        <f t="array" ref="F3020">XLOOKUP(A3020,IMDB_Movies!I$2:I$3493,IMDB_Movies!P$2:P$3493)</f>
        <v>0</v>
      </c>
    </row>
    <row r="3021">
      <c r="A3021" s="32" t="s">
        <v>9564</v>
      </c>
      <c r="B3021" s="35">
        <f t="array" ref="B3021">XLOOKUP(A3021,IMDB_Movies!I$2:I$3493,IMDB_Movies!Q$2:Q$3493)</f>
        <v>0</v>
      </c>
      <c r="E3021" s="32" t="s">
        <v>9564</v>
      </c>
      <c r="F3021" s="36">
        <f t="array" ref="F3021">XLOOKUP(A3021,IMDB_Movies!I$2:I$3493,IMDB_Movies!P$2:P$3493)</f>
        <v>51504069</v>
      </c>
    </row>
    <row r="3022">
      <c r="A3022" s="11" t="s">
        <v>9566</v>
      </c>
      <c r="B3022" s="35">
        <f t="array" ref="B3022">XLOOKUP(A3022,IMDB_Movies!I$2:I$3493,IMDB_Movies!Q$2:Q$3493)</f>
        <v>0</v>
      </c>
      <c r="E3022" s="11" t="s">
        <v>9566</v>
      </c>
      <c r="F3022" s="36">
        <f t="array" ref="F3022">XLOOKUP(A3022,IMDB_Movies!I$2:I$3493,IMDB_Movies!P$2:P$3493)</f>
        <v>161589580</v>
      </c>
    </row>
    <row r="3023">
      <c r="A3023" s="11" t="s">
        <v>9568</v>
      </c>
      <c r="B3023" s="35">
        <f t="array" ref="B3023">XLOOKUP(A3023,IMDB_Movies!I$2:I$3493,IMDB_Movies!Q$2:Q$3493)</f>
        <v>0</v>
      </c>
      <c r="E3023" s="11" t="s">
        <v>9568</v>
      </c>
      <c r="F3023" s="36">
        <f t="array" ref="F3023">XLOOKUP(A3023,IMDB_Movies!I$2:I$3493,IMDB_Movies!P$2:P$3493)</f>
        <v>11838002</v>
      </c>
    </row>
    <row r="3024">
      <c r="A3024" s="24" t="s">
        <v>9572</v>
      </c>
      <c r="B3024" s="35">
        <f t="array" ref="B3024">XLOOKUP(A3024,IMDB_Movies!I$2:I$3493,IMDB_Movies!Q$2:Q$3493)</f>
        <v>2566866</v>
      </c>
      <c r="E3024" s="24" t="s">
        <v>9572</v>
      </c>
      <c r="F3024" s="36">
        <f t="array" ref="F3024">XLOOKUP(A3024,IMDB_Movies!I$2:I$3493,IMDB_Movies!P$2:P$3493)</f>
        <v>0</v>
      </c>
    </row>
    <row r="3025">
      <c r="A3025" s="11" t="s">
        <v>9576</v>
      </c>
      <c r="B3025" s="35">
        <f t="array" ref="B3025">XLOOKUP(A3025,IMDB_Movies!I$2:I$3493,IMDB_Movies!Q$2:Q$3493)</f>
        <v>0</v>
      </c>
      <c r="E3025" s="11" t="s">
        <v>9576</v>
      </c>
      <c r="F3025" s="36">
        <f t="array" ref="F3025">XLOOKUP(A3025,IMDB_Movies!I$2:I$3493,IMDB_Movies!P$2:P$3493)</f>
        <v>24800000</v>
      </c>
    </row>
    <row r="3026">
      <c r="A3026" s="24" t="s">
        <v>9579</v>
      </c>
      <c r="B3026" s="35">
        <f t="array" ref="B3026">XLOOKUP(A3026,IMDB_Movies!I$2:I$3493,IMDB_Movies!Q$2:Q$3493)</f>
        <v>28979512</v>
      </c>
      <c r="E3026" s="24" t="s">
        <v>9579</v>
      </c>
      <c r="F3026" s="36">
        <f t="array" ref="F3026">XLOOKUP(A3026,IMDB_Movies!I$2:I$3493,IMDB_Movies!P$2:P$3493)</f>
        <v>0</v>
      </c>
    </row>
    <row r="3027">
      <c r="A3027" s="32" t="s">
        <v>9581</v>
      </c>
      <c r="B3027" s="35">
        <f t="array" ref="B3027">XLOOKUP(A3027,IMDB_Movies!I$2:I$3493,IMDB_Movies!Q$2:Q$3493)</f>
        <v>30410125</v>
      </c>
      <c r="E3027" s="32" t="s">
        <v>9581</v>
      </c>
      <c r="F3027" s="36">
        <f t="array" ref="F3027">XLOOKUP(A3027,IMDB_Movies!I$2:I$3493,IMDB_Movies!P$2:P$3493)</f>
        <v>0</v>
      </c>
    </row>
    <row r="3028">
      <c r="A3028" s="24" t="s">
        <v>9584</v>
      </c>
      <c r="B3028" s="35">
        <f t="array" ref="B3028">XLOOKUP(A3028,IMDB_Movies!I$2:I$3493,IMDB_Movies!Q$2:Q$3493)</f>
        <v>13436643</v>
      </c>
      <c r="E3028" s="24" t="s">
        <v>9584</v>
      </c>
      <c r="F3028" s="36">
        <f t="array" ref="F3028">XLOOKUP(A3028,IMDB_Movies!I$2:I$3493,IMDB_Movies!P$2:P$3493)</f>
        <v>0</v>
      </c>
    </row>
    <row r="3029">
      <c r="A3029" s="20" t="s">
        <v>9586</v>
      </c>
      <c r="B3029" s="35">
        <f t="array" ref="B3029">XLOOKUP(A3029,IMDB_Movies!I$2:I$3493,IMDB_Movies!Q$2:Q$3493)</f>
        <v>0</v>
      </c>
      <c r="E3029" s="20" t="s">
        <v>9586</v>
      </c>
      <c r="F3029" s="36">
        <f t="array" ref="F3029">XLOOKUP(A3029,IMDB_Movies!I$2:I$3493,IMDB_Movies!P$2:P$3493)</f>
        <v>41182182</v>
      </c>
    </row>
    <row r="3030">
      <c r="A3030" s="28" t="s">
        <v>9590</v>
      </c>
      <c r="B3030" s="35">
        <f t="array" ref="B3030">XLOOKUP(A3030,IMDB_Movies!I$2:I$3493,IMDB_Movies!Q$2:Q$3493)</f>
        <v>2561892</v>
      </c>
      <c r="E3030" s="28" t="s">
        <v>9590</v>
      </c>
      <c r="F3030" s="36">
        <f t="array" ref="F3030">XLOOKUP(A3030,IMDB_Movies!I$2:I$3493,IMDB_Movies!P$2:P$3493)</f>
        <v>0</v>
      </c>
    </row>
    <row r="3031">
      <c r="A3031" s="11" t="s">
        <v>9592</v>
      </c>
      <c r="B3031" s="35">
        <f t="array" ref="B3031">XLOOKUP(A3031,IMDB_Movies!I$2:I$3493,IMDB_Movies!Q$2:Q$3493)</f>
        <v>0</v>
      </c>
      <c r="E3031" s="11" t="s">
        <v>9592</v>
      </c>
      <c r="F3031" s="36">
        <f t="array" ref="F3031">XLOOKUP(A3031,IMDB_Movies!I$2:I$3493,IMDB_Movies!P$2:P$3493)</f>
        <v>53200012</v>
      </c>
    </row>
    <row r="3032">
      <c r="A3032" s="24" t="s">
        <v>9595</v>
      </c>
      <c r="B3032" s="35">
        <f t="array" ref="B3032">XLOOKUP(A3032,IMDB_Movies!I$2:I$3493,IMDB_Movies!Q$2:Q$3493)</f>
        <v>0</v>
      </c>
      <c r="E3032" s="24" t="s">
        <v>9595</v>
      </c>
      <c r="F3032" s="36">
        <f t="array" ref="F3032">XLOOKUP(A3032,IMDB_Movies!I$2:I$3493,IMDB_Movies!P$2:P$3493)</f>
        <v>12768000</v>
      </c>
    </row>
    <row r="3033">
      <c r="A3033" s="20" t="s">
        <v>9598</v>
      </c>
      <c r="B3033" s="35">
        <f t="array" ref="B3033">XLOOKUP(A3033,IMDB_Movies!I$2:I$3493,IMDB_Movies!Q$2:Q$3493)</f>
        <v>7953834</v>
      </c>
      <c r="E3033" s="20" t="s">
        <v>9598</v>
      </c>
      <c r="F3033" s="36">
        <f t="array" ref="F3033">XLOOKUP(A3033,IMDB_Movies!I$2:I$3493,IMDB_Movies!P$2:P$3493)</f>
        <v>0</v>
      </c>
    </row>
    <row r="3034">
      <c r="A3034" s="20" t="s">
        <v>9600</v>
      </c>
      <c r="B3034" s="35">
        <f t="array" ref="B3034">XLOOKUP(A3034,IMDB_Movies!I$2:I$3493,IMDB_Movies!Q$2:Q$3493)</f>
        <v>85995841</v>
      </c>
      <c r="E3034" s="20" t="s">
        <v>9600</v>
      </c>
      <c r="F3034" s="36">
        <f t="array" ref="F3034">XLOOKUP(A3034,IMDB_Movies!I$2:I$3493,IMDB_Movies!P$2:P$3493)</f>
        <v>0</v>
      </c>
    </row>
    <row r="3035">
      <c r="A3035" s="11" t="s">
        <v>9604</v>
      </c>
      <c r="B3035" s="35">
        <f t="array" ref="B3035">XLOOKUP(A3035,IMDB_Movies!I$2:I$3493,IMDB_Movies!Q$2:Q$3493)</f>
        <v>0</v>
      </c>
      <c r="E3035" s="11" t="s">
        <v>9604</v>
      </c>
      <c r="F3035" s="36">
        <f t="array" ref="F3035">XLOOKUP(A3035,IMDB_Movies!I$2:I$3493,IMDB_Movies!P$2:P$3493)</f>
        <v>5993605</v>
      </c>
    </row>
    <row r="3036">
      <c r="A3036" s="11" t="s">
        <v>9607</v>
      </c>
      <c r="B3036" s="35">
        <f t="array" ref="B3036">XLOOKUP(A3036,IMDB_Movies!I$2:I$3493,IMDB_Movies!Q$2:Q$3493)</f>
        <v>8216000</v>
      </c>
      <c r="E3036" s="11" t="s">
        <v>9607</v>
      </c>
      <c r="F3036" s="36">
        <f t="array" ref="F3036">XLOOKUP(A3036,IMDB_Movies!I$2:I$3493,IMDB_Movies!P$2:P$3493)</f>
        <v>0</v>
      </c>
    </row>
    <row r="3037">
      <c r="A3037" s="11" t="s">
        <v>9610</v>
      </c>
      <c r="B3037" s="35">
        <f t="array" ref="B3037">XLOOKUP(A3037,IMDB_Movies!I$2:I$3493,IMDB_Movies!Q$2:Q$3493)</f>
        <v>1950865</v>
      </c>
      <c r="E3037" s="11" t="s">
        <v>9610</v>
      </c>
      <c r="F3037" s="36">
        <f t="array" ref="F3037">XLOOKUP(A3037,IMDB_Movies!I$2:I$3493,IMDB_Movies!P$2:P$3493)</f>
        <v>0</v>
      </c>
    </row>
    <row r="3038">
      <c r="A3038" s="11" t="s">
        <v>9613</v>
      </c>
      <c r="B3038" s="35">
        <f t="array" ref="B3038">XLOOKUP(A3038,IMDB_Movies!I$2:I$3493,IMDB_Movies!Q$2:Q$3493)</f>
        <v>0</v>
      </c>
      <c r="E3038" s="11" t="s">
        <v>9613</v>
      </c>
      <c r="F3038" s="36">
        <f t="array" ref="F3038">XLOOKUP(A3038,IMDB_Movies!I$2:I$3493,IMDB_Movies!P$2:P$3493)</f>
        <v>6022940</v>
      </c>
    </row>
    <row r="3039">
      <c r="A3039" s="11" t="s">
        <v>9615</v>
      </c>
      <c r="B3039" s="35">
        <f t="array" ref="B3039">XLOOKUP(A3039,IMDB_Movies!I$2:I$3493,IMDB_Movies!Q$2:Q$3493)</f>
        <v>29449288</v>
      </c>
      <c r="E3039" s="11" t="s">
        <v>9615</v>
      </c>
      <c r="F3039" s="36">
        <f t="array" ref="F3039">XLOOKUP(A3039,IMDB_Movies!I$2:I$3493,IMDB_Movies!P$2:P$3493)</f>
        <v>0</v>
      </c>
    </row>
    <row r="3040">
      <c r="A3040" s="20" t="s">
        <v>9617</v>
      </c>
      <c r="B3040" s="35">
        <f t="array" ref="B3040">XLOOKUP(A3040,IMDB_Movies!I$2:I$3493,IMDB_Movies!Q$2:Q$3493)</f>
        <v>0</v>
      </c>
      <c r="E3040" s="20" t="s">
        <v>9617</v>
      </c>
      <c r="F3040" s="36">
        <f t="array" ref="F3040">XLOOKUP(A3040,IMDB_Movies!I$2:I$3493,IMDB_Movies!P$2:P$3493)</f>
        <v>100965237</v>
      </c>
    </row>
    <row r="3041">
      <c r="A3041" s="28" t="s">
        <v>9620</v>
      </c>
      <c r="B3041" s="35">
        <f t="array" ref="B3041">XLOOKUP(A3041,IMDB_Movies!I$2:I$3493,IMDB_Movies!Q$2:Q$3493)</f>
        <v>87000000</v>
      </c>
      <c r="E3041" s="28" t="s">
        <v>9620</v>
      </c>
      <c r="F3041" s="36">
        <f t="array" ref="F3041">XLOOKUP(A3041,IMDB_Movies!I$2:I$3493,IMDB_Movies!P$2:P$3493)</f>
        <v>0</v>
      </c>
    </row>
    <row r="3042">
      <c r="A3042" s="20" t="s">
        <v>9623</v>
      </c>
      <c r="B3042" s="35">
        <f t="array" ref="B3042">XLOOKUP(A3042,IMDB_Movies!I$2:I$3493,IMDB_Movies!Q$2:Q$3493)</f>
        <v>0</v>
      </c>
      <c r="E3042" s="20" t="s">
        <v>9623</v>
      </c>
      <c r="F3042" s="36">
        <f t="array" ref="F3042">XLOOKUP(A3042,IMDB_Movies!I$2:I$3493,IMDB_Movies!P$2:P$3493)</f>
        <v>20557989</v>
      </c>
    </row>
    <row r="3043">
      <c r="A3043" s="28" t="s">
        <v>9627</v>
      </c>
      <c r="B3043" s="35">
        <f t="array" ref="B3043">XLOOKUP(A3043,IMDB_Movies!I$2:I$3493,IMDB_Movies!Q$2:Q$3493)</f>
        <v>123471</v>
      </c>
      <c r="E3043" s="28" t="s">
        <v>9627</v>
      </c>
      <c r="F3043" s="36">
        <f t="array" ref="F3043">XLOOKUP(A3043,IMDB_Movies!I$2:I$3493,IMDB_Movies!P$2:P$3493)</f>
        <v>0</v>
      </c>
    </row>
    <row r="3044">
      <c r="A3044" s="24" t="s">
        <v>9631</v>
      </c>
      <c r="B3044" s="35">
        <f t="array" ref="B3044">XLOOKUP(A3044,IMDB_Movies!I$2:I$3493,IMDB_Movies!Q$2:Q$3493)</f>
        <v>1363170</v>
      </c>
      <c r="E3044" s="24" t="s">
        <v>9631</v>
      </c>
      <c r="F3044" s="36">
        <f t="array" ref="F3044">XLOOKUP(A3044,IMDB_Movies!I$2:I$3493,IMDB_Movies!P$2:P$3493)</f>
        <v>0</v>
      </c>
    </row>
    <row r="3045">
      <c r="A3045" s="28" t="s">
        <v>9633</v>
      </c>
      <c r="B3045" s="35">
        <f t="array" ref="B3045">XLOOKUP(A3045,IMDB_Movies!I$2:I$3493,IMDB_Movies!Q$2:Q$3493)</f>
        <v>6758303</v>
      </c>
      <c r="E3045" s="28" t="s">
        <v>9633</v>
      </c>
      <c r="F3045" s="36">
        <f t="array" ref="F3045">XLOOKUP(A3045,IMDB_Movies!I$2:I$3493,IMDB_Movies!P$2:P$3493)</f>
        <v>0</v>
      </c>
    </row>
    <row r="3046">
      <c r="A3046" s="11" t="s">
        <v>9636</v>
      </c>
      <c r="B3046" s="35">
        <f t="array" ref="B3046">XLOOKUP(A3046,IMDB_Movies!I$2:I$3493,IMDB_Movies!Q$2:Q$3493)</f>
        <v>32156953</v>
      </c>
      <c r="E3046" s="11" t="s">
        <v>9636</v>
      </c>
      <c r="F3046" s="36">
        <f t="array" ref="F3046">XLOOKUP(A3046,IMDB_Movies!I$2:I$3493,IMDB_Movies!P$2:P$3493)</f>
        <v>0</v>
      </c>
    </row>
    <row r="3047">
      <c r="A3047" s="16" t="s">
        <v>9639</v>
      </c>
      <c r="B3047" s="35">
        <f t="array" ref="B3047">XLOOKUP(A3047,IMDB_Movies!I$2:I$3493,IMDB_Movies!Q$2:Q$3493)</f>
        <v>18236870</v>
      </c>
      <c r="E3047" s="16" t="s">
        <v>9639</v>
      </c>
      <c r="F3047" s="36">
        <f t="array" ref="F3047">XLOOKUP(A3047,IMDB_Movies!I$2:I$3493,IMDB_Movies!P$2:P$3493)</f>
        <v>0</v>
      </c>
    </row>
    <row r="3048">
      <c r="A3048" s="20" t="s">
        <v>9642</v>
      </c>
      <c r="B3048" s="35">
        <f t="array" ref="B3048">XLOOKUP(A3048,IMDB_Movies!I$2:I$3493,IMDB_Movies!Q$2:Q$3493)</f>
        <v>22332053</v>
      </c>
      <c r="E3048" s="20" t="s">
        <v>9642</v>
      </c>
      <c r="F3048" s="36">
        <f t="array" ref="F3048">XLOOKUP(A3048,IMDB_Movies!I$2:I$3493,IMDB_Movies!P$2:P$3493)</f>
        <v>0</v>
      </c>
    </row>
    <row r="3049">
      <c r="A3049" s="24" t="s">
        <v>9644</v>
      </c>
      <c r="B3049" s="35">
        <f t="array" ref="B3049">XLOOKUP(A3049,IMDB_Movies!I$2:I$3493,IMDB_Movies!Q$2:Q$3493)</f>
        <v>0</v>
      </c>
      <c r="E3049" s="24" t="s">
        <v>9644</v>
      </c>
      <c r="F3049" s="36">
        <f t="array" ref="F3049">XLOOKUP(A3049,IMDB_Movies!I$2:I$3493,IMDB_Movies!P$2:P$3493)</f>
        <v>8854588</v>
      </c>
    </row>
    <row r="3050">
      <c r="A3050" s="24" t="s">
        <v>9648</v>
      </c>
      <c r="B3050" s="35">
        <f t="array" ref="B3050">XLOOKUP(A3050,IMDB_Movies!I$2:I$3493,IMDB_Movies!Q$2:Q$3493)</f>
        <v>0</v>
      </c>
      <c r="E3050" s="24" t="s">
        <v>9648</v>
      </c>
      <c r="F3050" s="36">
        <f t="array" ref="F3050">XLOOKUP(A3050,IMDB_Movies!I$2:I$3493,IMDB_Movies!P$2:P$3493)</f>
        <v>31022333</v>
      </c>
    </row>
    <row r="3051">
      <c r="A3051" s="11" t="s">
        <v>9652</v>
      </c>
      <c r="B3051" s="35">
        <f t="array" ref="B3051">XLOOKUP(A3051,IMDB_Movies!I$2:I$3493,IMDB_Movies!Q$2:Q$3493)</f>
        <v>0</v>
      </c>
      <c r="E3051" s="11" t="s">
        <v>9652</v>
      </c>
      <c r="F3051" s="36">
        <f t="array" ref="F3051">XLOOKUP(A3051,IMDB_Movies!I$2:I$3493,IMDB_Movies!P$2:P$3493)</f>
        <v>42706877</v>
      </c>
    </row>
    <row r="3052">
      <c r="A3052" s="24" t="s">
        <v>9654</v>
      </c>
      <c r="B3052" s="35">
        <f t="array" ref="B3052">XLOOKUP(A3052,IMDB_Movies!I$2:I$3493,IMDB_Movies!Q$2:Q$3493)</f>
        <v>14250866</v>
      </c>
      <c r="E3052" s="24" t="s">
        <v>9654</v>
      </c>
      <c r="F3052" s="36">
        <f t="array" ref="F3052">XLOOKUP(A3052,IMDB_Movies!I$2:I$3493,IMDB_Movies!P$2:P$3493)</f>
        <v>0</v>
      </c>
    </row>
    <row r="3053">
      <c r="A3053" s="11" t="s">
        <v>9656</v>
      </c>
      <c r="B3053" s="35">
        <f t="array" ref="B3053">XLOOKUP(A3053,IMDB_Movies!I$2:I$3493,IMDB_Movies!Q$2:Q$3493)</f>
        <v>0</v>
      </c>
      <c r="E3053" s="11" t="s">
        <v>9656</v>
      </c>
      <c r="F3053" s="36">
        <f t="array" ref="F3053">XLOOKUP(A3053,IMDB_Movies!I$2:I$3493,IMDB_Movies!P$2:P$3493)</f>
        <v>12071069</v>
      </c>
    </row>
    <row r="3054">
      <c r="A3054" s="20" t="s">
        <v>9660</v>
      </c>
      <c r="B3054" s="35">
        <f t="array" ref="B3054">XLOOKUP(A3054,IMDB_Movies!I$2:I$3493,IMDB_Movies!Q$2:Q$3493)</f>
        <v>5127357</v>
      </c>
      <c r="E3054" s="20" t="s">
        <v>9660</v>
      </c>
      <c r="F3054" s="36">
        <f t="array" ref="F3054">XLOOKUP(A3054,IMDB_Movies!I$2:I$3493,IMDB_Movies!P$2:P$3493)</f>
        <v>0</v>
      </c>
    </row>
    <row r="3055">
      <c r="A3055" s="28" t="s">
        <v>9663</v>
      </c>
      <c r="B3055" s="35">
        <f t="array" ref="B3055">XLOOKUP(A3055,IMDB_Movies!I$2:I$3493,IMDB_Movies!Q$2:Q$3493)</f>
        <v>0</v>
      </c>
      <c r="E3055" s="28" t="s">
        <v>9663</v>
      </c>
      <c r="F3055" s="36">
        <f t="array" ref="F3055">XLOOKUP(A3055,IMDB_Movies!I$2:I$3493,IMDB_Movies!P$2:P$3493)</f>
        <v>5433940</v>
      </c>
    </row>
    <row r="3056">
      <c r="A3056" s="28" t="s">
        <v>9666</v>
      </c>
      <c r="B3056" s="35">
        <f t="array" ref="B3056">XLOOKUP(A3056,IMDB_Movies!I$2:I$3493,IMDB_Movies!Q$2:Q$3493)</f>
        <v>0</v>
      </c>
      <c r="E3056" s="28" t="s">
        <v>9666</v>
      </c>
      <c r="F3056" s="36">
        <f t="array" ref="F3056">XLOOKUP(A3056,IMDB_Movies!I$2:I$3493,IMDB_Movies!P$2:P$3493)</f>
        <v>1560950</v>
      </c>
    </row>
    <row r="3057">
      <c r="A3057" s="11" t="s">
        <v>9668</v>
      </c>
      <c r="B3057" s="35">
        <f t="array" ref="B3057">XLOOKUP(A3057,IMDB_Movies!I$2:I$3493,IMDB_Movies!Q$2:Q$3493)</f>
        <v>0</v>
      </c>
      <c r="E3057" s="11" t="s">
        <v>9668</v>
      </c>
      <c r="F3057" s="36">
        <f t="array" ref="F3057">XLOOKUP(A3057,IMDB_Movies!I$2:I$3493,IMDB_Movies!P$2:P$3493)</f>
        <v>24360014</v>
      </c>
    </row>
    <row r="3058">
      <c r="A3058" s="11" t="s">
        <v>9670</v>
      </c>
      <c r="B3058" s="35">
        <f t="array" ref="B3058">XLOOKUP(A3058,IMDB_Movies!I$2:I$3493,IMDB_Movies!Q$2:Q$3493)</f>
        <v>43122835</v>
      </c>
      <c r="E3058" s="11" t="s">
        <v>9670</v>
      </c>
      <c r="F3058" s="36">
        <f t="array" ref="F3058">XLOOKUP(A3058,IMDB_Movies!I$2:I$3493,IMDB_Movies!P$2:P$3493)</f>
        <v>0</v>
      </c>
    </row>
    <row r="3059">
      <c r="A3059" s="16" t="s">
        <v>9672</v>
      </c>
      <c r="B3059" s="35">
        <f t="array" ref="B3059">XLOOKUP(A3059,IMDB_Movies!I$2:I$3493,IMDB_Movies!Q$2:Q$3493)</f>
        <v>9708376</v>
      </c>
      <c r="E3059" s="16" t="s">
        <v>9672</v>
      </c>
      <c r="F3059" s="36">
        <f t="array" ref="F3059">XLOOKUP(A3059,IMDB_Movies!I$2:I$3493,IMDB_Movies!P$2:P$3493)</f>
        <v>0</v>
      </c>
    </row>
    <row r="3060">
      <c r="A3060" s="20" t="s">
        <v>9674</v>
      </c>
      <c r="B3060" s="35">
        <f t="array" ref="B3060">XLOOKUP(A3060,IMDB_Movies!I$2:I$3493,IMDB_Movies!Q$2:Q$3493)</f>
        <v>0</v>
      </c>
      <c r="E3060" s="20" t="s">
        <v>9674</v>
      </c>
      <c r="F3060" s="36">
        <f t="array" ref="F3060">XLOOKUP(A3060,IMDB_Movies!I$2:I$3493,IMDB_Movies!P$2:P$3493)</f>
        <v>23028109</v>
      </c>
    </row>
    <row r="3061">
      <c r="A3061" s="16" t="s">
        <v>9676</v>
      </c>
      <c r="B3061" s="35">
        <f t="array" ref="B3061">XLOOKUP(A3061,IMDB_Movies!I$2:I$3493,IMDB_Movies!Q$2:Q$3493)</f>
        <v>0</v>
      </c>
      <c r="E3061" s="16" t="s">
        <v>9676</v>
      </c>
      <c r="F3061" s="36">
        <f t="array" ref="F3061">XLOOKUP(A3061,IMDB_Movies!I$2:I$3493,IMDB_Movies!P$2:P$3493)</f>
        <v>824921</v>
      </c>
    </row>
    <row r="3062">
      <c r="A3062" s="11" t="s">
        <v>9681</v>
      </c>
      <c r="B3062" s="35">
        <f t="array" ref="B3062">XLOOKUP(A3062,IMDB_Movies!I$2:I$3493,IMDB_Movies!Q$2:Q$3493)</f>
        <v>0</v>
      </c>
      <c r="E3062" s="11" t="s">
        <v>9681</v>
      </c>
      <c r="F3062" s="36">
        <f t="array" ref="F3062">XLOOKUP(A3062,IMDB_Movies!I$2:I$3493,IMDB_Movies!P$2:P$3493)</f>
        <v>14201636</v>
      </c>
    </row>
    <row r="3063">
      <c r="A3063" s="11" t="s">
        <v>9685</v>
      </c>
      <c r="B3063" s="35">
        <f t="array" ref="B3063">XLOOKUP(A3063,IMDB_Movies!I$2:I$3493,IMDB_Movies!Q$2:Q$3493)</f>
        <v>3855482</v>
      </c>
      <c r="E3063" s="11" t="s">
        <v>9685</v>
      </c>
      <c r="F3063" s="36">
        <f t="array" ref="F3063">XLOOKUP(A3063,IMDB_Movies!I$2:I$3493,IMDB_Movies!P$2:P$3493)</f>
        <v>0</v>
      </c>
    </row>
    <row r="3064">
      <c r="A3064" s="24" t="s">
        <v>9688</v>
      </c>
      <c r="B3064" s="35">
        <f t="array" ref="B3064">XLOOKUP(A3064,IMDB_Movies!I$2:I$3493,IMDB_Movies!Q$2:Q$3493)</f>
        <v>50180506</v>
      </c>
      <c r="E3064" s="24" t="s">
        <v>9688</v>
      </c>
      <c r="F3064" s="36">
        <f t="array" ref="F3064">XLOOKUP(A3064,IMDB_Movies!I$2:I$3493,IMDB_Movies!P$2:P$3493)</f>
        <v>0</v>
      </c>
    </row>
    <row r="3065">
      <c r="A3065" s="20" t="s">
        <v>9690</v>
      </c>
      <c r="B3065" s="35">
        <f t="array" ref="B3065">XLOOKUP(A3065,IMDB_Movies!I$2:I$3493,IMDB_Movies!Q$2:Q$3493)</f>
        <v>0</v>
      </c>
      <c r="E3065" s="20" t="s">
        <v>9690</v>
      </c>
      <c r="F3065" s="36">
        <f t="array" ref="F3065">XLOOKUP(A3065,IMDB_Movies!I$2:I$3493,IMDB_Movies!P$2:P$3493)</f>
        <v>23874933</v>
      </c>
    </row>
    <row r="3066">
      <c r="A3066" s="11" t="s">
        <v>9692</v>
      </c>
      <c r="B3066" s="35">
        <f t="array" ref="B3066">XLOOKUP(A3066,IMDB_Movies!I$2:I$3493,IMDB_Movies!Q$2:Q$3493)</f>
        <v>0</v>
      </c>
      <c r="E3066" s="11" t="s">
        <v>9692</v>
      </c>
      <c r="F3066" s="36">
        <f t="array" ref="F3066">XLOOKUP(A3066,IMDB_Movies!I$2:I$3493,IMDB_Movies!P$2:P$3493)</f>
        <v>15990505</v>
      </c>
    </row>
    <row r="3067">
      <c r="A3067" s="16" t="s">
        <v>9695</v>
      </c>
      <c r="B3067" s="35">
        <f t="array" ref="B3067">XLOOKUP(A3067,IMDB_Movies!I$2:I$3493,IMDB_Movies!Q$2:Q$3493)</f>
        <v>0</v>
      </c>
      <c r="E3067" s="16" t="s">
        <v>9695</v>
      </c>
      <c r="F3067" s="36">
        <f t="array" ref="F3067">XLOOKUP(A3067,IMDB_Movies!I$2:I$3493,IMDB_Movies!P$2:P$3493)</f>
        <v>34218429</v>
      </c>
    </row>
    <row r="3068">
      <c r="A3068" s="24" t="s">
        <v>9697</v>
      </c>
      <c r="B3068" s="35">
        <f t="array" ref="B3068">XLOOKUP(A3068,IMDB_Movies!I$2:I$3493,IMDB_Movies!Q$2:Q$3493)</f>
        <v>0</v>
      </c>
      <c r="E3068" s="24" t="s">
        <v>9697</v>
      </c>
      <c r="F3068" s="36">
        <f t="array" ref="F3068">XLOOKUP(A3068,IMDB_Movies!I$2:I$3493,IMDB_Movies!P$2:P$3493)</f>
        <v>21867960</v>
      </c>
    </row>
    <row r="3069">
      <c r="A3069" s="28" t="s">
        <v>9700</v>
      </c>
      <c r="B3069" s="35">
        <f t="array" ref="B3069">XLOOKUP(A3069,IMDB_Movies!I$2:I$3493,IMDB_Movies!Q$2:Q$3493)</f>
        <v>0</v>
      </c>
      <c r="E3069" s="28" t="s">
        <v>9700</v>
      </c>
      <c r="F3069" s="36">
        <f t="array" ref="F3069">XLOOKUP(A3069,IMDB_Movies!I$2:I$3493,IMDB_Movies!P$2:P$3493)</f>
        <v>10859889</v>
      </c>
    </row>
    <row r="3070">
      <c r="A3070" s="11" t="s">
        <v>9704</v>
      </c>
      <c r="B3070" s="35">
        <f t="array" ref="B3070">XLOOKUP(A3070,IMDB_Movies!I$2:I$3493,IMDB_Movies!Q$2:Q$3493)</f>
        <v>1891482</v>
      </c>
      <c r="E3070" s="11" t="s">
        <v>9704</v>
      </c>
      <c r="F3070" s="36">
        <f t="array" ref="F3070">XLOOKUP(A3070,IMDB_Movies!I$2:I$3493,IMDB_Movies!P$2:P$3493)</f>
        <v>0</v>
      </c>
    </row>
    <row r="3071">
      <c r="A3071" s="16" t="s">
        <v>9707</v>
      </c>
      <c r="B3071" s="35">
        <f t="array" ref="B3071">XLOOKUP(A3071,IMDB_Movies!I$2:I$3493,IMDB_Movies!Q$2:Q$3493)</f>
        <v>17872563</v>
      </c>
      <c r="E3071" s="16" t="s">
        <v>9707</v>
      </c>
      <c r="F3071" s="36">
        <f t="array" ref="F3071">XLOOKUP(A3071,IMDB_Movies!I$2:I$3493,IMDB_Movies!P$2:P$3493)</f>
        <v>0</v>
      </c>
    </row>
    <row r="3072">
      <c r="A3072" s="11" t="s">
        <v>9711</v>
      </c>
      <c r="B3072" s="35">
        <f t="array" ref="B3072">XLOOKUP(A3072,IMDB_Movies!I$2:I$3493,IMDB_Movies!Q$2:Q$3493)</f>
        <v>0</v>
      </c>
      <c r="E3072" s="11" t="s">
        <v>9711</v>
      </c>
      <c r="F3072" s="36">
        <f t="array" ref="F3072">XLOOKUP(A3072,IMDB_Movies!I$2:I$3493,IMDB_Movies!P$2:P$3493)</f>
        <v>1142507</v>
      </c>
    </row>
    <row r="3073">
      <c r="A3073" s="11" t="s">
        <v>9714</v>
      </c>
      <c r="B3073" s="35">
        <f t="array" ref="B3073">XLOOKUP(A3073,IMDB_Movies!I$2:I$3493,IMDB_Movies!Q$2:Q$3493)</f>
        <v>0</v>
      </c>
      <c r="E3073" s="11" t="s">
        <v>9714</v>
      </c>
      <c r="F3073" s="36">
        <f t="array" ref="F3073">XLOOKUP(A3073,IMDB_Movies!I$2:I$3493,IMDB_Movies!P$2:P$3493)</f>
        <v>14052167</v>
      </c>
    </row>
    <row r="3074">
      <c r="A3074" s="11" t="s">
        <v>9717</v>
      </c>
      <c r="B3074" s="35">
        <f t="array" ref="B3074">XLOOKUP(A3074,IMDB_Movies!I$2:I$3493,IMDB_Movies!Q$2:Q$3493)</f>
        <v>60918</v>
      </c>
      <c r="E3074" s="11" t="s">
        <v>9717</v>
      </c>
      <c r="F3074" s="36">
        <f t="array" ref="F3074">XLOOKUP(A3074,IMDB_Movies!I$2:I$3493,IMDB_Movies!P$2:P$3493)</f>
        <v>0</v>
      </c>
    </row>
    <row r="3075">
      <c r="A3075" s="16" t="s">
        <v>9720</v>
      </c>
      <c r="B3075" s="35">
        <f t="array" ref="B3075">XLOOKUP(A3075,IMDB_Movies!I$2:I$3493,IMDB_Movies!Q$2:Q$3493)</f>
        <v>0</v>
      </c>
      <c r="E3075" s="16" t="s">
        <v>9720</v>
      </c>
      <c r="F3075" s="36">
        <f t="array" ref="F3075">XLOOKUP(A3075,IMDB_Movies!I$2:I$3493,IMDB_Movies!P$2:P$3493)</f>
        <v>22487293</v>
      </c>
    </row>
    <row r="3076">
      <c r="A3076" s="24" t="s">
        <v>9722</v>
      </c>
      <c r="B3076" s="35">
        <f t="array" ref="B3076">XLOOKUP(A3076,IMDB_Movies!I$2:I$3493,IMDB_Movies!Q$2:Q$3493)</f>
        <v>0</v>
      </c>
      <c r="E3076" s="24" t="s">
        <v>9722</v>
      </c>
      <c r="F3076" s="36">
        <f t="array" ref="F3076">XLOOKUP(A3076,IMDB_Movies!I$2:I$3493,IMDB_Movies!P$2:P$3493)</f>
        <v>20063926</v>
      </c>
    </row>
    <row r="3077">
      <c r="A3077" s="20" t="s">
        <v>9725</v>
      </c>
      <c r="B3077" s="35">
        <f t="array" ref="B3077">XLOOKUP(A3077,IMDB_Movies!I$2:I$3493,IMDB_Movies!Q$2:Q$3493)</f>
        <v>28834579</v>
      </c>
      <c r="E3077" s="20" t="s">
        <v>9725</v>
      </c>
      <c r="F3077" s="36">
        <f t="array" ref="F3077">XLOOKUP(A3077,IMDB_Movies!I$2:I$3493,IMDB_Movies!P$2:P$3493)</f>
        <v>0</v>
      </c>
    </row>
    <row r="3078">
      <c r="A3078" s="28" t="s">
        <v>9728</v>
      </c>
      <c r="B3078" s="35">
        <f t="array" ref="B3078">XLOOKUP(A3078,IMDB_Movies!I$2:I$3493,IMDB_Movies!Q$2:Q$3493)</f>
        <v>0</v>
      </c>
      <c r="E3078" s="28" t="s">
        <v>9728</v>
      </c>
      <c r="F3078" s="36">
        <f t="array" ref="F3078">XLOOKUP(A3078,IMDB_Movies!I$2:I$3493,IMDB_Movies!P$2:P$3493)</f>
        <v>1679969</v>
      </c>
    </row>
    <row r="3079">
      <c r="A3079" s="20" t="s">
        <v>9731</v>
      </c>
      <c r="B3079" s="35">
        <f t="array" ref="B3079">XLOOKUP(A3079,IMDB_Movies!I$2:I$3493,IMDB_Movies!Q$2:Q$3493)</f>
        <v>0</v>
      </c>
      <c r="E3079" s="20" t="s">
        <v>9731</v>
      </c>
      <c r="F3079" s="36">
        <f t="array" ref="F3079">XLOOKUP(A3079,IMDB_Movies!I$2:I$3493,IMDB_Movies!P$2:P$3493)</f>
        <v>21045445</v>
      </c>
    </row>
    <row r="3080">
      <c r="A3080" s="24" t="s">
        <v>9734</v>
      </c>
      <c r="B3080" s="35">
        <f t="array" ref="B3080">XLOOKUP(A3080,IMDB_Movies!I$2:I$3493,IMDB_Movies!Q$2:Q$3493)</f>
        <v>0</v>
      </c>
      <c r="E3080" s="24" t="s">
        <v>9734</v>
      </c>
      <c r="F3080" s="36">
        <f t="array" ref="F3080">XLOOKUP(A3080,IMDB_Movies!I$2:I$3493,IMDB_Movies!P$2:P$3493)</f>
        <v>28400000</v>
      </c>
    </row>
    <row r="3081">
      <c r="A3081" s="20" t="s">
        <v>9737</v>
      </c>
      <c r="B3081" s="35">
        <f t="array" ref="B3081">XLOOKUP(A3081,IMDB_Movies!I$2:I$3493,IMDB_Movies!Q$2:Q$3493)</f>
        <v>0</v>
      </c>
      <c r="E3081" s="20" t="s">
        <v>9737</v>
      </c>
      <c r="F3081" s="36">
        <f t="array" ref="F3081">XLOOKUP(A3081,IMDB_Movies!I$2:I$3493,IMDB_Movies!P$2:P$3493)</f>
        <v>74120000</v>
      </c>
    </row>
    <row r="3082">
      <c r="A3082" s="11" t="s">
        <v>9741</v>
      </c>
      <c r="B3082" s="35">
        <f t="array" ref="B3082">XLOOKUP(A3082,IMDB_Movies!I$2:I$3493,IMDB_Movies!Q$2:Q$3493)</f>
        <v>3853598</v>
      </c>
      <c r="E3082" s="11" t="s">
        <v>9741</v>
      </c>
      <c r="F3082" s="36">
        <f t="array" ref="F3082">XLOOKUP(A3082,IMDB_Movies!I$2:I$3493,IMDB_Movies!P$2:P$3493)</f>
        <v>0</v>
      </c>
    </row>
    <row r="3083">
      <c r="A3083" s="20" t="s">
        <v>9745</v>
      </c>
      <c r="B3083" s="35">
        <f t="array" ref="B3083">XLOOKUP(A3083,IMDB_Movies!I$2:I$3493,IMDB_Movies!Q$2:Q$3493)</f>
        <v>0</v>
      </c>
      <c r="E3083" s="20" t="s">
        <v>9745</v>
      </c>
      <c r="F3083" s="36">
        <f t="array" ref="F3083">XLOOKUP(A3083,IMDB_Movies!I$2:I$3493,IMDB_Movies!P$2:P$3493)</f>
        <v>4719300</v>
      </c>
    </row>
    <row r="3084">
      <c r="A3084" s="20" t="s">
        <v>9747</v>
      </c>
      <c r="B3084" s="35">
        <f t="array" ref="B3084">XLOOKUP(A3084,IMDB_Movies!I$2:I$3493,IMDB_Movies!Q$2:Q$3493)</f>
        <v>0</v>
      </c>
      <c r="E3084" s="20" t="s">
        <v>9747</v>
      </c>
      <c r="F3084" s="36">
        <f t="array" ref="F3084">XLOOKUP(A3084,IMDB_Movies!I$2:I$3493,IMDB_Movies!P$2:P$3493)</f>
        <v>8074715</v>
      </c>
    </row>
    <row r="3085">
      <c r="A3085" s="11" t="s">
        <v>9749</v>
      </c>
      <c r="B3085" s="35">
        <f t="array" ref="B3085">XLOOKUP(A3085,IMDB_Movies!I$2:I$3493,IMDB_Movies!Q$2:Q$3493)</f>
        <v>818710</v>
      </c>
      <c r="E3085" s="11" t="s">
        <v>9749</v>
      </c>
      <c r="F3085" s="36">
        <f t="array" ref="F3085">XLOOKUP(A3085,IMDB_Movies!I$2:I$3493,IMDB_Movies!P$2:P$3493)</f>
        <v>0</v>
      </c>
    </row>
    <row r="3086">
      <c r="A3086" s="24" t="s">
        <v>9751</v>
      </c>
      <c r="B3086" s="35">
        <f t="array" ref="B3086">XLOOKUP(A3086,IMDB_Movies!I$2:I$3493,IMDB_Movies!Q$2:Q$3493)</f>
        <v>0</v>
      </c>
      <c r="E3086" s="24" t="s">
        <v>9751</v>
      </c>
      <c r="F3086" s="36">
        <f t="array" ref="F3086">XLOOKUP(A3086,IMDB_Movies!I$2:I$3493,IMDB_Movies!P$2:P$3493)</f>
        <v>2814185</v>
      </c>
    </row>
    <row r="3087">
      <c r="A3087" s="24" t="s">
        <v>9753</v>
      </c>
      <c r="B3087" s="35">
        <f t="array" ref="B3087">XLOOKUP(A3087,IMDB_Movies!I$2:I$3493,IMDB_Movies!Q$2:Q$3493)</f>
        <v>0</v>
      </c>
      <c r="E3087" s="24" t="s">
        <v>9753</v>
      </c>
      <c r="F3087" s="36">
        <f t="array" ref="F3087">XLOOKUP(A3087,IMDB_Movies!I$2:I$3493,IMDB_Movies!P$2:P$3493)</f>
        <v>3156970</v>
      </c>
    </row>
    <row r="3088">
      <c r="A3088" s="20" t="s">
        <v>9756</v>
      </c>
      <c r="B3088" s="35">
        <f t="array" ref="B3088">XLOOKUP(A3088,IMDB_Movies!I$2:I$3493,IMDB_Movies!Q$2:Q$3493)</f>
        <v>4202093</v>
      </c>
      <c r="E3088" s="20" t="s">
        <v>9756</v>
      </c>
      <c r="F3088" s="36">
        <f t="array" ref="F3088">XLOOKUP(A3088,IMDB_Movies!I$2:I$3493,IMDB_Movies!P$2:P$3493)</f>
        <v>0</v>
      </c>
    </row>
    <row r="3089">
      <c r="A3089" s="16" t="s">
        <v>9758</v>
      </c>
      <c r="B3089" s="35">
        <f t="array" ref="B3089">XLOOKUP(A3089,IMDB_Movies!I$2:I$3493,IMDB_Movies!Q$2:Q$3493)</f>
        <v>0</v>
      </c>
      <c r="E3089" s="16" t="s">
        <v>9758</v>
      </c>
      <c r="F3089" s="36">
        <f t="array" ref="F3089">XLOOKUP(A3089,IMDB_Movies!I$2:I$3493,IMDB_Movies!P$2:P$3493)</f>
        <v>59400000</v>
      </c>
    </row>
    <row r="3090">
      <c r="A3090" s="11" t="s">
        <v>9760</v>
      </c>
      <c r="B3090" s="35">
        <f t="array" ref="B3090">XLOOKUP(A3090,IMDB_Movies!I$2:I$3493,IMDB_Movies!Q$2:Q$3493)</f>
        <v>28342760</v>
      </c>
      <c r="E3090" s="11" t="s">
        <v>9760</v>
      </c>
      <c r="F3090" s="36">
        <f t="array" ref="F3090">XLOOKUP(A3090,IMDB_Movies!I$2:I$3493,IMDB_Movies!P$2:P$3493)</f>
        <v>0</v>
      </c>
    </row>
    <row r="3091">
      <c r="A3091" s="20" t="s">
        <v>9763</v>
      </c>
      <c r="B3091" s="35">
        <f t="array" ref="B3091">XLOOKUP(A3091,IMDB_Movies!I$2:I$3493,IMDB_Movies!Q$2:Q$3493)</f>
        <v>24995244</v>
      </c>
      <c r="E3091" s="20" t="s">
        <v>9763</v>
      </c>
      <c r="F3091" s="36">
        <f t="array" ref="F3091">XLOOKUP(A3091,IMDB_Movies!I$2:I$3493,IMDB_Movies!P$2:P$3493)</f>
        <v>0</v>
      </c>
    </row>
    <row r="3092">
      <c r="A3092" s="16" t="s">
        <v>9765</v>
      </c>
      <c r="B3092" s="35">
        <f t="array" ref="B3092">XLOOKUP(A3092,IMDB_Movies!I$2:I$3493,IMDB_Movies!Q$2:Q$3493)</f>
        <v>0</v>
      </c>
      <c r="E3092" s="16" t="s">
        <v>9765</v>
      </c>
      <c r="F3092" s="36">
        <f t="array" ref="F3092">XLOOKUP(A3092,IMDB_Movies!I$2:I$3493,IMDB_Movies!P$2:P$3493)</f>
        <v>28022524</v>
      </c>
    </row>
    <row r="3093">
      <c r="A3093" s="11" t="s">
        <v>9767</v>
      </c>
      <c r="B3093" s="35">
        <f t="array" ref="B3093">XLOOKUP(A3093,IMDB_Movies!I$2:I$3493,IMDB_Movies!Q$2:Q$3493)</f>
        <v>0</v>
      </c>
      <c r="E3093" s="11" t="s">
        <v>9767</v>
      </c>
      <c r="F3093" s="36">
        <f t="array" ref="F3093">XLOOKUP(A3093,IMDB_Movies!I$2:I$3493,IMDB_Movies!P$2:P$3493)</f>
        <v>33147445</v>
      </c>
    </row>
    <row r="3094">
      <c r="A3094" s="28" t="s">
        <v>9769</v>
      </c>
      <c r="B3094" s="35">
        <f t="array" ref="B3094">XLOOKUP(A3094,IMDB_Movies!I$2:I$3493,IMDB_Movies!Q$2:Q$3493)</f>
        <v>0</v>
      </c>
      <c r="E3094" s="28" t="s">
        <v>9769</v>
      </c>
      <c r="F3094" s="36">
        <f t="array" ref="F3094">XLOOKUP(A3094,IMDB_Movies!I$2:I$3493,IMDB_Movies!P$2:P$3493)</f>
        <v>47300000</v>
      </c>
    </row>
    <row r="3095">
      <c r="A3095" s="16" t="s">
        <v>9772</v>
      </c>
      <c r="B3095" s="35">
        <f t="array" ref="B3095">XLOOKUP(A3095,IMDB_Movies!I$2:I$3493,IMDB_Movies!Q$2:Q$3493)</f>
        <v>0</v>
      </c>
      <c r="E3095" s="16" t="s">
        <v>9772</v>
      </c>
      <c r="F3095" s="36">
        <f t="array" ref="F3095">XLOOKUP(A3095,IMDB_Movies!I$2:I$3493,IMDB_Movies!P$2:P$3493)</f>
        <v>47998368</v>
      </c>
    </row>
    <row r="3096">
      <c r="A3096" s="24" t="s">
        <v>9775</v>
      </c>
      <c r="B3096" s="35">
        <f t="array" ref="B3096">XLOOKUP(A3096,IMDB_Movies!I$2:I$3493,IMDB_Movies!Q$2:Q$3493)</f>
        <v>0</v>
      </c>
      <c r="E3096" s="24" t="s">
        <v>9775</v>
      </c>
      <c r="F3096" s="36">
        <f t="array" ref="F3096">XLOOKUP(A3096,IMDB_Movies!I$2:I$3493,IMDB_Movies!P$2:P$3493)</f>
        <v>9343976</v>
      </c>
    </row>
    <row r="3097">
      <c r="A3097" s="28" t="s">
        <v>9778</v>
      </c>
      <c r="B3097" s="35">
        <f t="array" ref="B3097">XLOOKUP(A3097,IMDB_Movies!I$2:I$3493,IMDB_Movies!Q$2:Q$3493)</f>
        <v>13000000</v>
      </c>
      <c r="E3097" s="28" t="s">
        <v>9778</v>
      </c>
      <c r="F3097" s="36">
        <f t="array" ref="F3097">XLOOKUP(A3097,IMDB_Movies!I$2:I$3493,IMDB_Movies!P$2:P$3493)</f>
        <v>0</v>
      </c>
    </row>
    <row r="3098">
      <c r="A3098" s="20" t="s">
        <v>9780</v>
      </c>
      <c r="B3098" s="35">
        <f t="array" ref="B3098">XLOOKUP(A3098,IMDB_Movies!I$2:I$3493,IMDB_Movies!Q$2:Q$3493)</f>
        <v>0</v>
      </c>
      <c r="E3098" s="20" t="s">
        <v>9780</v>
      </c>
      <c r="F3098" s="36">
        <f t="array" ref="F3098">XLOOKUP(A3098,IMDB_Movies!I$2:I$3493,IMDB_Movies!P$2:P$3493)</f>
        <v>6201559</v>
      </c>
    </row>
    <row r="3099">
      <c r="A3099" s="11" t="s">
        <v>9783</v>
      </c>
      <c r="B3099" s="35">
        <f t="array" ref="B3099">XLOOKUP(A3099,IMDB_Movies!I$2:I$3493,IMDB_Movies!Q$2:Q$3493)</f>
        <v>0</v>
      </c>
      <c r="E3099" s="11" t="s">
        <v>9783</v>
      </c>
      <c r="F3099" s="36">
        <f t="array" ref="F3099">XLOOKUP(A3099,IMDB_Movies!I$2:I$3493,IMDB_Movies!P$2:P$3493)</f>
        <v>27200000</v>
      </c>
    </row>
    <row r="3100">
      <c r="A3100" s="11" t="s">
        <v>9785</v>
      </c>
      <c r="B3100" s="35">
        <f t="array" ref="B3100">XLOOKUP(A3100,IMDB_Movies!I$2:I$3493,IMDB_Movies!Q$2:Q$3493)</f>
        <v>13723190</v>
      </c>
      <c r="E3100" s="11" t="s">
        <v>9785</v>
      </c>
      <c r="F3100" s="36">
        <f t="array" ref="F3100">XLOOKUP(A3100,IMDB_Movies!I$2:I$3493,IMDB_Movies!P$2:P$3493)</f>
        <v>0</v>
      </c>
    </row>
    <row r="3101">
      <c r="A3101" s="11" t="s">
        <v>9789</v>
      </c>
      <c r="B3101" s="35">
        <f t="array" ref="B3101">XLOOKUP(A3101,IMDB_Movies!I$2:I$3493,IMDB_Movies!Q$2:Q$3493)</f>
        <v>30517805</v>
      </c>
      <c r="E3101" s="11" t="s">
        <v>9789</v>
      </c>
      <c r="F3101" s="36">
        <f t="array" ref="F3101">XLOOKUP(A3101,IMDB_Movies!I$2:I$3493,IMDB_Movies!P$2:P$3493)</f>
        <v>0</v>
      </c>
    </row>
    <row r="3102">
      <c r="A3102" s="11" t="s">
        <v>9791</v>
      </c>
      <c r="B3102" s="35">
        <f t="array" ref="B3102">XLOOKUP(A3102,IMDB_Movies!I$2:I$3493,IMDB_Movies!Q$2:Q$3493)</f>
        <v>55263886</v>
      </c>
      <c r="E3102" s="11" t="s">
        <v>9791</v>
      </c>
      <c r="F3102" s="36">
        <f t="array" ref="F3102">XLOOKUP(A3102,IMDB_Movies!I$2:I$3493,IMDB_Movies!P$2:P$3493)</f>
        <v>0</v>
      </c>
    </row>
    <row r="3103">
      <c r="A3103" s="11" t="s">
        <v>9793</v>
      </c>
      <c r="B3103" s="35">
        <f t="array" ref="B3103">XLOOKUP(A3103,IMDB_Movies!I$2:I$3493,IMDB_Movies!Q$2:Q$3493)</f>
        <v>0</v>
      </c>
      <c r="E3103" s="11" t="s">
        <v>9793</v>
      </c>
      <c r="F3103" s="36">
        <f t="array" ref="F3103">XLOOKUP(A3103,IMDB_Movies!I$2:I$3493,IMDB_Movies!P$2:P$3493)</f>
        <v>20054909</v>
      </c>
    </row>
    <row r="3104">
      <c r="A3104" s="16" t="s">
        <v>9798</v>
      </c>
      <c r="B3104" s="35">
        <f t="array" ref="B3104">XLOOKUP(A3104,IMDB_Movies!I$2:I$3493,IMDB_Movies!Q$2:Q$3493)</f>
        <v>83832772</v>
      </c>
      <c r="E3104" s="16" t="s">
        <v>9798</v>
      </c>
      <c r="F3104" s="36">
        <f t="array" ref="F3104">XLOOKUP(A3104,IMDB_Movies!I$2:I$3493,IMDB_Movies!P$2:P$3493)</f>
        <v>0</v>
      </c>
    </row>
    <row r="3105">
      <c r="A3105" s="24" t="s">
        <v>9802</v>
      </c>
      <c r="B3105" s="35">
        <f t="array" ref="B3105">XLOOKUP(A3105,IMDB_Movies!I$2:I$3493,IMDB_Movies!Q$2:Q$3493)</f>
        <v>15430082</v>
      </c>
      <c r="E3105" s="24" t="s">
        <v>9802</v>
      </c>
      <c r="F3105" s="36">
        <f t="array" ref="F3105">XLOOKUP(A3105,IMDB_Movies!I$2:I$3493,IMDB_Movies!P$2:P$3493)</f>
        <v>0</v>
      </c>
    </row>
    <row r="3106">
      <c r="A3106" s="16" t="s">
        <v>9804</v>
      </c>
      <c r="B3106" s="35">
        <f t="array" ref="B3106">XLOOKUP(A3106,IMDB_Movies!I$2:I$3493,IMDB_Movies!Q$2:Q$3493)</f>
        <v>0</v>
      </c>
      <c r="E3106" s="16" t="s">
        <v>9804</v>
      </c>
      <c r="F3106" s="36">
        <f t="array" ref="F3106">XLOOKUP(A3106,IMDB_Movies!I$2:I$3493,IMDB_Movies!P$2:P$3493)</f>
        <v>189350219</v>
      </c>
    </row>
    <row r="3107">
      <c r="A3107" s="11" t="s">
        <v>9806</v>
      </c>
      <c r="B3107" s="35">
        <f t="array" ref="B3107">XLOOKUP(A3107,IMDB_Movies!I$2:I$3493,IMDB_Movies!Q$2:Q$3493)</f>
        <v>11011124</v>
      </c>
      <c r="E3107" s="11" t="s">
        <v>9806</v>
      </c>
      <c r="F3107" s="36">
        <f t="array" ref="F3107">XLOOKUP(A3107,IMDB_Movies!I$2:I$3493,IMDB_Movies!P$2:P$3493)</f>
        <v>0</v>
      </c>
    </row>
    <row r="3108">
      <c r="A3108" s="11" t="s">
        <v>9810</v>
      </c>
      <c r="B3108" s="35">
        <f t="array" ref="B3108">XLOOKUP(A3108,IMDB_Movies!I$2:I$3493,IMDB_Movies!Q$2:Q$3493)</f>
        <v>15218475</v>
      </c>
      <c r="E3108" s="11" t="s">
        <v>9810</v>
      </c>
      <c r="F3108" s="36">
        <f t="array" ref="F3108">XLOOKUP(A3108,IMDB_Movies!I$2:I$3493,IMDB_Movies!P$2:P$3493)</f>
        <v>0</v>
      </c>
    </row>
    <row r="3109">
      <c r="A3109" s="16" t="s">
        <v>9813</v>
      </c>
      <c r="B3109" s="35">
        <f t="array" ref="B3109">XLOOKUP(A3109,IMDB_Movies!I$2:I$3493,IMDB_Movies!Q$2:Q$3493)</f>
        <v>0</v>
      </c>
      <c r="E3109" s="16" t="s">
        <v>9813</v>
      </c>
      <c r="F3109" s="36">
        <f t="array" ref="F3109">XLOOKUP(A3109,IMDB_Movies!I$2:I$3493,IMDB_Movies!P$2:P$3493)</f>
        <v>36362352</v>
      </c>
    </row>
    <row r="3110">
      <c r="A3110" s="20" t="s">
        <v>9815</v>
      </c>
      <c r="B3110" s="35">
        <f t="array" ref="B3110">XLOOKUP(A3110,IMDB_Movies!I$2:I$3493,IMDB_Movies!Q$2:Q$3493)</f>
        <v>62406609</v>
      </c>
      <c r="E3110" s="20" t="s">
        <v>9815</v>
      </c>
      <c r="F3110" s="36">
        <f t="array" ref="F3110">XLOOKUP(A3110,IMDB_Movies!I$2:I$3493,IMDB_Movies!P$2:P$3493)</f>
        <v>0</v>
      </c>
    </row>
    <row r="3111">
      <c r="A3111" s="11" t="s">
        <v>9819</v>
      </c>
      <c r="B3111" s="35">
        <f t="array" ref="B3111">XLOOKUP(A3111,IMDB_Movies!I$2:I$3493,IMDB_Movies!Q$2:Q$3493)</f>
        <v>7997690</v>
      </c>
      <c r="E3111" s="11" t="s">
        <v>9819</v>
      </c>
      <c r="F3111" s="36">
        <f t="array" ref="F3111">XLOOKUP(A3111,IMDB_Movies!I$2:I$3493,IMDB_Movies!P$2:P$3493)</f>
        <v>0</v>
      </c>
    </row>
    <row r="3112">
      <c r="A3112" s="28" t="s">
        <v>9821</v>
      </c>
      <c r="B3112" s="35">
        <f t="array" ref="B3112">XLOOKUP(A3112,IMDB_Movies!I$2:I$3493,IMDB_Movies!Q$2:Q$3493)</f>
        <v>0</v>
      </c>
      <c r="E3112" s="28" t="s">
        <v>9821</v>
      </c>
      <c r="F3112" s="36">
        <f t="array" ref="F3112">XLOOKUP(A3112,IMDB_Movies!I$2:I$3493,IMDB_Movies!P$2:P$3493)</f>
        <v>66336103</v>
      </c>
    </row>
    <row r="3113">
      <c r="A3113" s="16" t="s">
        <v>9825</v>
      </c>
      <c r="B3113" s="35">
        <f t="array" ref="B3113">XLOOKUP(A3113,IMDB_Movies!I$2:I$3493,IMDB_Movies!Q$2:Q$3493)</f>
        <v>0</v>
      </c>
      <c r="E3113" s="16" t="s">
        <v>9825</v>
      </c>
      <c r="F3113" s="36">
        <f t="array" ref="F3113">XLOOKUP(A3113,IMDB_Movies!I$2:I$3493,IMDB_Movies!P$2:P$3493)</f>
        <v>9975979</v>
      </c>
    </row>
    <row r="3114">
      <c r="A3114" s="20" t="s">
        <v>9829</v>
      </c>
      <c r="B3114" s="35">
        <f t="array" ref="B3114">XLOOKUP(A3114,IMDB_Movies!I$2:I$3493,IMDB_Movies!Q$2:Q$3493)</f>
        <v>5973565</v>
      </c>
      <c r="E3114" s="20" t="s">
        <v>9829</v>
      </c>
      <c r="F3114" s="36">
        <f t="array" ref="F3114">XLOOKUP(A3114,IMDB_Movies!I$2:I$3493,IMDB_Movies!P$2:P$3493)</f>
        <v>0</v>
      </c>
    </row>
    <row r="3115">
      <c r="A3115" s="11" t="s">
        <v>9833</v>
      </c>
      <c r="B3115" s="35">
        <f t="array" ref="B3115">XLOOKUP(A3115,IMDB_Movies!I$2:I$3493,IMDB_Movies!Q$2:Q$3493)</f>
        <v>0</v>
      </c>
      <c r="E3115" s="11" t="s">
        <v>9833</v>
      </c>
      <c r="F3115" s="36">
        <f t="array" ref="F3115">XLOOKUP(A3115,IMDB_Movies!I$2:I$3493,IMDB_Movies!P$2:P$3493)</f>
        <v>3759147</v>
      </c>
    </row>
    <row r="3116">
      <c r="A3116" s="28" t="s">
        <v>9835</v>
      </c>
      <c r="B3116" s="35">
        <f t="array" ref="B3116">XLOOKUP(A3116,IMDB_Movies!I$2:I$3493,IMDB_Movies!Q$2:Q$3493)</f>
        <v>0</v>
      </c>
      <c r="E3116" s="28" t="s">
        <v>9835</v>
      </c>
      <c r="F3116" s="36">
        <f t="array" ref="F3116">XLOOKUP(A3116,IMDB_Movies!I$2:I$3493,IMDB_Movies!P$2:P$3493)</f>
        <v>61739919</v>
      </c>
    </row>
    <row r="3117">
      <c r="A3117" s="20" t="s">
        <v>9839</v>
      </c>
      <c r="B3117" s="35">
        <f t="array" ref="B3117">XLOOKUP(A3117,IMDB_Movies!I$2:I$3493,IMDB_Movies!Q$2:Q$3493)</f>
        <v>0</v>
      </c>
      <c r="E3117" s="20" t="s">
        <v>9839</v>
      </c>
      <c r="F3117" s="36">
        <f t="array" ref="F3117">XLOOKUP(A3117,IMDB_Movies!I$2:I$3493,IMDB_Movies!P$2:P$3493)</f>
        <v>39461335</v>
      </c>
    </row>
    <row r="3118">
      <c r="A3118" s="11" t="s">
        <v>9843</v>
      </c>
      <c r="B3118" s="35">
        <f t="array" ref="B3118">XLOOKUP(A3118,IMDB_Movies!I$2:I$3493,IMDB_Movies!Q$2:Q$3493)</f>
        <v>9511128</v>
      </c>
      <c r="E3118" s="11" t="s">
        <v>9843</v>
      </c>
      <c r="F3118" s="36">
        <f t="array" ref="F3118">XLOOKUP(A3118,IMDB_Movies!I$2:I$3493,IMDB_Movies!P$2:P$3493)</f>
        <v>0</v>
      </c>
    </row>
    <row r="3119">
      <c r="A3119" s="24" t="s">
        <v>9845</v>
      </c>
      <c r="B3119" s="35">
        <f t="array" ref="B3119">XLOOKUP(A3119,IMDB_Movies!I$2:I$3493,IMDB_Movies!Q$2:Q$3493)</f>
        <v>24832370</v>
      </c>
      <c r="E3119" s="24" t="s">
        <v>9845</v>
      </c>
      <c r="F3119" s="36">
        <f t="array" ref="F3119">XLOOKUP(A3119,IMDB_Movies!I$2:I$3493,IMDB_Movies!P$2:P$3493)</f>
        <v>0</v>
      </c>
    </row>
    <row r="3120">
      <c r="A3120" s="16" t="s">
        <v>9848</v>
      </c>
      <c r="B3120" s="35">
        <f t="array" ref="B3120">XLOOKUP(A3120,IMDB_Movies!I$2:I$3493,IMDB_Movies!Q$2:Q$3493)</f>
        <v>4797910</v>
      </c>
      <c r="E3120" s="16" t="s">
        <v>9848</v>
      </c>
      <c r="F3120" s="36">
        <f t="array" ref="F3120">XLOOKUP(A3120,IMDB_Movies!I$2:I$3493,IMDB_Movies!P$2:P$3493)</f>
        <v>0</v>
      </c>
    </row>
    <row r="3121">
      <c r="A3121" s="28" t="s">
        <v>9850</v>
      </c>
      <c r="B3121" s="35">
        <f t="array" ref="B3121">XLOOKUP(A3121,IMDB_Movies!I$2:I$3493,IMDB_Movies!Q$2:Q$3493)</f>
        <v>3987164</v>
      </c>
      <c r="E3121" s="28" t="s">
        <v>9850</v>
      </c>
      <c r="F3121" s="36">
        <f t="array" ref="F3121">XLOOKUP(A3121,IMDB_Movies!I$2:I$3493,IMDB_Movies!P$2:P$3493)</f>
        <v>0</v>
      </c>
    </row>
    <row r="3122">
      <c r="A3122" s="20" t="s">
        <v>9854</v>
      </c>
      <c r="B3122" s="35">
        <f t="array" ref="B3122">XLOOKUP(A3122,IMDB_Movies!I$2:I$3493,IMDB_Movies!Q$2:Q$3493)</f>
        <v>0</v>
      </c>
      <c r="E3122" s="20" t="s">
        <v>9854</v>
      </c>
      <c r="F3122" s="36">
        <f t="array" ref="F3122">XLOOKUP(A3122,IMDB_Movies!I$2:I$3493,IMDB_Movies!P$2:P$3493)</f>
        <v>6598492</v>
      </c>
    </row>
    <row r="3123">
      <c r="A3123" s="24" t="s">
        <v>9856</v>
      </c>
      <c r="B3123" s="35">
        <f t="array" ref="B3123">XLOOKUP(A3123,IMDB_Movies!I$2:I$3493,IMDB_Movies!Q$2:Q$3493)</f>
        <v>0</v>
      </c>
      <c r="E3123" s="24" t="s">
        <v>9856</v>
      </c>
      <c r="F3123" s="36">
        <f t="array" ref="F3123">XLOOKUP(A3123,IMDB_Movies!I$2:I$3493,IMDB_Movies!P$2:P$3493)</f>
        <v>16658108</v>
      </c>
    </row>
    <row r="3124">
      <c r="A3124" s="20" t="s">
        <v>9860</v>
      </c>
      <c r="B3124" s="35">
        <f t="array" ref="B3124">XLOOKUP(A3124,IMDB_Movies!I$2:I$3493,IMDB_Movies!Q$2:Q$3493)</f>
        <v>0</v>
      </c>
      <c r="E3124" s="20" t="s">
        <v>9860</v>
      </c>
      <c r="F3124" s="36">
        <f t="array" ref="F3124">XLOOKUP(A3124,IMDB_Movies!I$2:I$3493,IMDB_Movies!P$2:P$3493)</f>
        <v>4768918</v>
      </c>
    </row>
    <row r="3125">
      <c r="A3125" s="32" t="s">
        <v>9862</v>
      </c>
      <c r="B3125" s="35">
        <f t="array" ref="B3125">XLOOKUP(A3125,IMDB_Movies!I$2:I$3493,IMDB_Movies!Q$2:Q$3493)</f>
        <v>0</v>
      </c>
      <c r="E3125" s="32" t="s">
        <v>9862</v>
      </c>
      <c r="F3125" s="36">
        <f t="array" ref="F3125">XLOOKUP(A3125,IMDB_Movies!I$2:I$3493,IMDB_Movies!P$2:P$3493)</f>
        <v>23332128</v>
      </c>
    </row>
    <row r="3126">
      <c r="A3126" s="24" t="s">
        <v>9865</v>
      </c>
      <c r="B3126" s="35">
        <f t="array" ref="B3126">XLOOKUP(A3126,IMDB_Movies!I$2:I$3493,IMDB_Movies!Q$2:Q$3493)</f>
        <v>11945720</v>
      </c>
      <c r="E3126" s="24" t="s">
        <v>9865</v>
      </c>
      <c r="F3126" s="36">
        <f t="array" ref="F3126">XLOOKUP(A3126,IMDB_Movies!I$2:I$3493,IMDB_Movies!P$2:P$3493)</f>
        <v>0</v>
      </c>
    </row>
    <row r="3127">
      <c r="A3127" s="20" t="s">
        <v>9868</v>
      </c>
      <c r="B3127" s="35">
        <f t="array" ref="B3127">XLOOKUP(A3127,IMDB_Movies!I$2:I$3493,IMDB_Movies!Q$2:Q$3493)</f>
        <v>0</v>
      </c>
      <c r="E3127" s="20" t="s">
        <v>9868</v>
      </c>
      <c r="F3127" s="36">
        <f t="array" ref="F3127">XLOOKUP(A3127,IMDB_Movies!I$2:I$3493,IMDB_Movies!P$2:P$3493)</f>
        <v>21131483</v>
      </c>
    </row>
    <row r="3128">
      <c r="A3128" s="24" t="s">
        <v>9872</v>
      </c>
      <c r="B3128" s="35">
        <f t="array" ref="B3128">XLOOKUP(A3128,IMDB_Movies!I$2:I$3493,IMDB_Movies!Q$2:Q$3493)</f>
        <v>3260233</v>
      </c>
      <c r="E3128" s="24" t="s">
        <v>9872</v>
      </c>
      <c r="F3128" s="36">
        <f t="array" ref="F3128">XLOOKUP(A3128,IMDB_Movies!I$2:I$3493,IMDB_Movies!P$2:P$3493)</f>
        <v>0</v>
      </c>
    </row>
    <row r="3129">
      <c r="A3129" s="24" t="s">
        <v>9874</v>
      </c>
      <c r="B3129" s="35">
        <f t="array" ref="B3129">XLOOKUP(A3129,IMDB_Movies!I$2:I$3493,IMDB_Movies!Q$2:Q$3493)</f>
        <v>12587955</v>
      </c>
      <c r="E3129" s="24" t="s">
        <v>9874</v>
      </c>
      <c r="F3129" s="36">
        <f t="array" ref="F3129">XLOOKUP(A3129,IMDB_Movies!I$2:I$3493,IMDB_Movies!P$2:P$3493)</f>
        <v>0</v>
      </c>
    </row>
    <row r="3130">
      <c r="A3130" s="24" t="s">
        <v>9876</v>
      </c>
      <c r="B3130" s="35">
        <f t="array" ref="B3130">XLOOKUP(A3130,IMDB_Movies!I$2:I$3493,IMDB_Movies!Q$2:Q$3493)</f>
        <v>0</v>
      </c>
      <c r="E3130" s="24" t="s">
        <v>9876</v>
      </c>
      <c r="F3130" s="36">
        <f t="array" ref="F3130">XLOOKUP(A3130,IMDB_Movies!I$2:I$3493,IMDB_Movies!P$2:P$3493)</f>
        <v>20281096</v>
      </c>
    </row>
    <row r="3131">
      <c r="A3131" s="28" t="s">
        <v>9879</v>
      </c>
      <c r="B3131" s="35">
        <f t="array" ref="B3131">XLOOKUP(A3131,IMDB_Movies!I$2:I$3493,IMDB_Movies!Q$2:Q$3493)</f>
        <v>4059945</v>
      </c>
      <c r="E3131" s="28" t="s">
        <v>9879</v>
      </c>
      <c r="F3131" s="36">
        <f t="array" ref="F3131">XLOOKUP(A3131,IMDB_Movies!I$2:I$3493,IMDB_Movies!P$2:P$3493)</f>
        <v>0</v>
      </c>
    </row>
    <row r="3132">
      <c r="A3132" s="28" t="s">
        <v>9881</v>
      </c>
      <c r="B3132" s="35">
        <f t="array" ref="B3132">XLOOKUP(A3132,IMDB_Movies!I$2:I$3493,IMDB_Movies!Q$2:Q$3493)</f>
        <v>5964485</v>
      </c>
      <c r="E3132" s="28" t="s">
        <v>9881</v>
      </c>
      <c r="F3132" s="36">
        <f t="array" ref="F3132">XLOOKUP(A3132,IMDB_Movies!I$2:I$3493,IMDB_Movies!P$2:P$3493)</f>
        <v>0</v>
      </c>
    </row>
    <row r="3133">
      <c r="A3133" s="11" t="s">
        <v>9883</v>
      </c>
      <c r="B3133" s="35">
        <f t="array" ref="B3133">XLOOKUP(A3133,IMDB_Movies!I$2:I$3493,IMDB_Movies!Q$2:Q$3493)</f>
        <v>0</v>
      </c>
      <c r="E3133" s="11" t="s">
        <v>9883</v>
      </c>
      <c r="F3133" s="36">
        <f t="array" ref="F3133">XLOOKUP(A3133,IMDB_Movies!I$2:I$3493,IMDB_Movies!P$2:P$3493)</f>
        <v>204793</v>
      </c>
    </row>
    <row r="3134">
      <c r="A3134" s="28" t="s">
        <v>9885</v>
      </c>
      <c r="B3134" s="35">
        <f t="array" ref="B3134">XLOOKUP(A3134,IMDB_Movies!I$2:I$3493,IMDB_Movies!Q$2:Q$3493)</f>
        <v>0</v>
      </c>
      <c r="E3134" s="28" t="s">
        <v>9885</v>
      </c>
      <c r="F3134" s="36">
        <f t="array" ref="F3134">XLOOKUP(A3134,IMDB_Movies!I$2:I$3493,IMDB_Movies!P$2:P$3493)</f>
        <v>69288182</v>
      </c>
    </row>
    <row r="3135">
      <c r="A3135" s="11" t="s">
        <v>9888</v>
      </c>
      <c r="B3135" s="35">
        <f t="array" ref="B3135">XLOOKUP(A3135,IMDB_Movies!I$2:I$3493,IMDB_Movies!Q$2:Q$3493)</f>
        <v>0</v>
      </c>
      <c r="E3135" s="11" t="s">
        <v>9888</v>
      </c>
      <c r="F3135" s="36">
        <f t="array" ref="F3135">XLOOKUP(A3135,IMDB_Movies!I$2:I$3493,IMDB_Movies!P$2:P$3493)</f>
        <v>22238770</v>
      </c>
    </row>
    <row r="3136">
      <c r="A3136" s="11" t="s">
        <v>9890</v>
      </c>
      <c r="B3136" s="35">
        <f t="array" ref="B3136">XLOOKUP(A3136,IMDB_Movies!I$2:I$3493,IMDB_Movies!Q$2:Q$3493)</f>
        <v>88062505</v>
      </c>
      <c r="E3136" s="11" t="s">
        <v>9890</v>
      </c>
      <c r="F3136" s="36">
        <f t="array" ref="F3136">XLOOKUP(A3136,IMDB_Movies!I$2:I$3493,IMDB_Movies!P$2:P$3493)</f>
        <v>0</v>
      </c>
    </row>
    <row r="3137">
      <c r="A3137" s="28" t="s">
        <v>9892</v>
      </c>
      <c r="B3137" s="35">
        <f t="array" ref="B3137">XLOOKUP(A3137,IMDB_Movies!I$2:I$3493,IMDB_Movies!Q$2:Q$3493)</f>
        <v>0</v>
      </c>
      <c r="E3137" s="28" t="s">
        <v>9892</v>
      </c>
      <c r="F3137" s="36">
        <f t="array" ref="F3137">XLOOKUP(A3137,IMDB_Movies!I$2:I$3493,IMDB_Movies!P$2:P$3493)</f>
        <v>124052771</v>
      </c>
    </row>
    <row r="3138">
      <c r="A3138" s="11" t="s">
        <v>9894</v>
      </c>
      <c r="B3138" s="35">
        <f t="array" ref="B3138">XLOOKUP(A3138,IMDB_Movies!I$2:I$3493,IMDB_Movies!Q$2:Q$3493)</f>
        <v>0</v>
      </c>
      <c r="E3138" s="11" t="s">
        <v>9894</v>
      </c>
      <c r="F3138" s="36">
        <f t="array" ref="F3138">XLOOKUP(A3138,IMDB_Movies!I$2:I$3493,IMDB_Movies!P$2:P$3493)</f>
        <v>27645152</v>
      </c>
    </row>
    <row r="3139">
      <c r="A3139" s="11" t="s">
        <v>9897</v>
      </c>
      <c r="B3139" s="35">
        <f t="array" ref="B3139">XLOOKUP(A3139,IMDB_Movies!I$2:I$3493,IMDB_Movies!Q$2:Q$3493)</f>
        <v>0</v>
      </c>
      <c r="E3139" s="11" t="s">
        <v>9897</v>
      </c>
      <c r="F3139" s="36">
        <f t="array" ref="F3139">XLOOKUP(A3139,IMDB_Movies!I$2:I$3493,IMDB_Movies!P$2:P$3493)</f>
        <v>28500000</v>
      </c>
    </row>
    <row r="3140">
      <c r="A3140" s="28" t="s">
        <v>9900</v>
      </c>
      <c r="B3140" s="35">
        <f t="array" ref="B3140">XLOOKUP(A3140,IMDB_Movies!I$2:I$3493,IMDB_Movies!Q$2:Q$3493)</f>
        <v>0</v>
      </c>
      <c r="E3140" s="28" t="s">
        <v>9900</v>
      </c>
      <c r="F3140" s="36">
        <f t="array" ref="F3140">XLOOKUP(A3140,IMDB_Movies!I$2:I$3493,IMDB_Movies!P$2:P$3493)</f>
        <v>18337537</v>
      </c>
    </row>
    <row r="3141">
      <c r="A3141" s="28" t="s">
        <v>9904</v>
      </c>
      <c r="B3141" s="35">
        <f t="array" ref="B3141">XLOOKUP(A3141,IMDB_Movies!I$2:I$3493,IMDB_Movies!Q$2:Q$3493)</f>
        <v>0</v>
      </c>
      <c r="E3141" s="28" t="s">
        <v>9904</v>
      </c>
      <c r="F3141" s="36">
        <f t="array" ref="F3141">XLOOKUP(A3141,IMDB_Movies!I$2:I$3493,IMDB_Movies!P$2:P$3493)</f>
        <v>22657819</v>
      </c>
    </row>
    <row r="3142">
      <c r="A3142" s="24" t="s">
        <v>9907</v>
      </c>
      <c r="B3142" s="35">
        <f t="array" ref="B3142">XLOOKUP(A3142,IMDB_Movies!I$2:I$3493,IMDB_Movies!Q$2:Q$3493)</f>
        <v>0</v>
      </c>
      <c r="E3142" s="24" t="s">
        <v>9907</v>
      </c>
      <c r="F3142" s="36">
        <f t="array" ref="F3142">XLOOKUP(A3142,IMDB_Movies!I$2:I$3493,IMDB_Movies!P$2:P$3493)</f>
        <v>11006503</v>
      </c>
    </row>
    <row r="3143">
      <c r="A3143" s="11" t="s">
        <v>9910</v>
      </c>
      <c r="B3143" s="35">
        <f t="array" ref="B3143">XLOOKUP(A3143,IMDB_Movies!I$2:I$3493,IMDB_Movies!Q$2:Q$3493)</f>
        <v>0</v>
      </c>
      <c r="E3143" s="11" t="s">
        <v>9910</v>
      </c>
      <c r="F3143" s="36">
        <f t="array" ref="F3143">XLOOKUP(A3143,IMDB_Movies!I$2:I$3493,IMDB_Movies!P$2:P$3493)</f>
        <v>2900000</v>
      </c>
    </row>
    <row r="3144">
      <c r="A3144" s="11" t="s">
        <v>9913</v>
      </c>
      <c r="B3144" s="35">
        <f t="array" ref="B3144">XLOOKUP(A3144,IMDB_Movies!I$2:I$3493,IMDB_Movies!Q$2:Q$3493)</f>
        <v>0</v>
      </c>
      <c r="E3144" s="11" t="s">
        <v>9913</v>
      </c>
      <c r="F3144" s="36">
        <f t="array" ref="F3144">XLOOKUP(A3144,IMDB_Movies!I$2:I$3493,IMDB_Movies!P$2:P$3493)</f>
        <v>85014968</v>
      </c>
    </row>
    <row r="3145">
      <c r="A3145" s="11" t="s">
        <v>9916</v>
      </c>
      <c r="B3145" s="35">
        <f t="array" ref="B3145">XLOOKUP(A3145,IMDB_Movies!I$2:I$3493,IMDB_Movies!Q$2:Q$3493)</f>
        <v>104762</v>
      </c>
      <c r="E3145" s="11" t="s">
        <v>9916</v>
      </c>
      <c r="F3145" s="36">
        <f t="array" ref="F3145">XLOOKUP(A3145,IMDB_Movies!I$2:I$3493,IMDB_Movies!P$2:P$3493)</f>
        <v>0</v>
      </c>
    </row>
    <row r="3146">
      <c r="A3146" s="11" t="s">
        <v>9918</v>
      </c>
      <c r="B3146" s="35">
        <f t="array" ref="B3146">XLOOKUP(A3146,IMDB_Movies!I$2:I$3493,IMDB_Movies!Q$2:Q$3493)</f>
        <v>0</v>
      </c>
      <c r="E3146" s="11" t="s">
        <v>9918</v>
      </c>
      <c r="F3146" s="36">
        <f t="array" ref="F3146">XLOOKUP(A3146,IMDB_Movies!I$2:I$3493,IMDB_Movies!P$2:P$3493)</f>
        <v>3132222</v>
      </c>
    </row>
    <row r="3147">
      <c r="A3147" s="24" t="s">
        <v>9921</v>
      </c>
      <c r="B3147" s="35">
        <f t="array" ref="B3147">XLOOKUP(A3147,IMDB_Movies!I$2:I$3493,IMDB_Movies!Q$2:Q$3493)</f>
        <v>0</v>
      </c>
      <c r="E3147" s="24" t="s">
        <v>9921</v>
      </c>
      <c r="F3147" s="36">
        <f t="array" ref="F3147">XLOOKUP(A3147,IMDB_Movies!I$2:I$3493,IMDB_Movies!P$2:P$3493)</f>
        <v>17288314</v>
      </c>
    </row>
    <row r="3148">
      <c r="A3148" s="28" t="s">
        <v>9923</v>
      </c>
      <c r="B3148" s="35">
        <f t="array" ref="B3148">XLOOKUP(A3148,IMDB_Movies!I$2:I$3493,IMDB_Movies!Q$2:Q$3493)</f>
        <v>1573149</v>
      </c>
      <c r="E3148" s="28" t="s">
        <v>9923</v>
      </c>
      <c r="F3148" s="36">
        <f t="array" ref="F3148">XLOOKUP(A3148,IMDB_Movies!I$2:I$3493,IMDB_Movies!P$2:P$3493)</f>
        <v>0</v>
      </c>
    </row>
    <row r="3149">
      <c r="A3149" s="11" t="s">
        <v>9926</v>
      </c>
      <c r="B3149" s="35">
        <f t="array" ref="B3149">XLOOKUP(A3149,IMDB_Movies!I$2:I$3493,IMDB_Movies!Q$2:Q$3493)</f>
        <v>0</v>
      </c>
      <c r="E3149" s="11" t="s">
        <v>9926</v>
      </c>
      <c r="F3149" s="36">
        <f t="array" ref="F3149">XLOOKUP(A3149,IMDB_Movies!I$2:I$3493,IMDB_Movies!P$2:P$3493)</f>
        <v>6526393</v>
      </c>
    </row>
    <row r="3150">
      <c r="A3150" s="16" t="s">
        <v>9928</v>
      </c>
      <c r="B3150" s="35">
        <f t="array" ref="B3150">XLOOKUP(A3150,IMDB_Movies!I$2:I$3493,IMDB_Movies!Q$2:Q$3493)</f>
        <v>52248021</v>
      </c>
      <c r="E3150" s="16" t="s">
        <v>9928</v>
      </c>
      <c r="F3150" s="36">
        <f t="array" ref="F3150">XLOOKUP(A3150,IMDB_Movies!I$2:I$3493,IMDB_Movies!P$2:P$3493)</f>
        <v>0</v>
      </c>
    </row>
    <row r="3151">
      <c r="A3151" s="32" t="s">
        <v>9930</v>
      </c>
      <c r="B3151" s="35">
        <f t="array" ref="B3151">XLOOKUP(A3151,IMDB_Movies!I$2:I$3493,IMDB_Movies!Q$2:Q$3493)</f>
        <v>0</v>
      </c>
      <c r="E3151" s="32" t="s">
        <v>9930</v>
      </c>
      <c r="F3151" s="36">
        <f t="array" ref="F3151">XLOOKUP(A3151,IMDB_Movies!I$2:I$3493,IMDB_Movies!P$2:P$3493)</f>
        <v>53492685</v>
      </c>
    </row>
    <row r="3152">
      <c r="A3152" s="16" t="s">
        <v>9933</v>
      </c>
      <c r="B3152" s="35">
        <f t="array" ref="B3152">XLOOKUP(A3152,IMDB_Movies!I$2:I$3493,IMDB_Movies!Q$2:Q$3493)</f>
        <v>0</v>
      </c>
      <c r="E3152" s="16" t="s">
        <v>9933</v>
      </c>
      <c r="F3152" s="36">
        <f t="array" ref="F3152">XLOOKUP(A3152,IMDB_Movies!I$2:I$3493,IMDB_Movies!P$2:P$3493)</f>
        <v>12400000</v>
      </c>
    </row>
    <row r="3153">
      <c r="A3153" s="24" t="s">
        <v>9936</v>
      </c>
      <c r="B3153" s="35">
        <f t="array" ref="B3153">XLOOKUP(A3153,IMDB_Movies!I$2:I$3493,IMDB_Movies!Q$2:Q$3493)</f>
        <v>0</v>
      </c>
      <c r="E3153" s="24" t="s">
        <v>9936</v>
      </c>
      <c r="F3153" s="36">
        <f t="array" ref="F3153">XLOOKUP(A3153,IMDB_Movies!I$2:I$3493,IMDB_Movies!P$2:P$3493)</f>
        <v>45500556</v>
      </c>
    </row>
    <row r="3154">
      <c r="A3154" s="11" t="s">
        <v>9938</v>
      </c>
      <c r="B3154" s="35">
        <f t="array" ref="B3154">XLOOKUP(A3154,IMDB_Movies!I$2:I$3493,IMDB_Movies!Q$2:Q$3493)</f>
        <v>0</v>
      </c>
      <c r="E3154" s="11" t="s">
        <v>9938</v>
      </c>
      <c r="F3154" s="36">
        <f t="array" ref="F3154">XLOOKUP(A3154,IMDB_Movies!I$2:I$3493,IMDB_Movies!P$2:P$3493)</f>
        <v>191609762</v>
      </c>
    </row>
    <row r="3155">
      <c r="A3155" s="28" t="s">
        <v>9941</v>
      </c>
      <c r="B3155" s="35">
        <f t="array" ref="B3155">XLOOKUP(A3155,IMDB_Movies!I$2:I$3493,IMDB_Movies!Q$2:Q$3493)</f>
        <v>4875280</v>
      </c>
      <c r="E3155" s="28" t="s">
        <v>9941</v>
      </c>
      <c r="F3155" s="36">
        <f t="array" ref="F3155">XLOOKUP(A3155,IMDB_Movies!I$2:I$3493,IMDB_Movies!P$2:P$3493)</f>
        <v>0</v>
      </c>
    </row>
    <row r="3156">
      <c r="A3156" s="24" t="s">
        <v>9945</v>
      </c>
      <c r="B3156" s="35">
        <f t="array" ref="B3156">XLOOKUP(A3156,IMDB_Movies!I$2:I$3493,IMDB_Movies!Q$2:Q$3493)</f>
        <v>0</v>
      </c>
      <c r="E3156" s="24" t="s">
        <v>9945</v>
      </c>
      <c r="F3156" s="36">
        <f t="array" ref="F3156">XLOOKUP(A3156,IMDB_Movies!I$2:I$3493,IMDB_Movies!P$2:P$3493)</f>
        <v>88495848</v>
      </c>
    </row>
    <row r="3157">
      <c r="A3157" s="24" t="s">
        <v>9948</v>
      </c>
      <c r="B3157" s="35">
        <f t="array" ref="B3157">XLOOKUP(A3157,IMDB_Movies!I$2:I$3493,IMDB_Movies!Q$2:Q$3493)</f>
        <v>0</v>
      </c>
      <c r="E3157" s="24" t="s">
        <v>9948</v>
      </c>
      <c r="F3157" s="36">
        <f t="array" ref="F3157">XLOOKUP(A3157,IMDB_Movies!I$2:I$3493,IMDB_Movies!P$2:P$3493)</f>
        <v>5016190</v>
      </c>
    </row>
    <row r="3158">
      <c r="A3158" s="11" t="s">
        <v>9951</v>
      </c>
      <c r="B3158" s="35">
        <f t="array" ref="B3158">XLOOKUP(A3158,IMDB_Movies!I$2:I$3493,IMDB_Movies!Q$2:Q$3493)</f>
        <v>5724443</v>
      </c>
      <c r="E3158" s="11" t="s">
        <v>9951</v>
      </c>
      <c r="F3158" s="36">
        <f t="array" ref="F3158">XLOOKUP(A3158,IMDB_Movies!I$2:I$3493,IMDB_Movies!P$2:P$3493)</f>
        <v>0</v>
      </c>
    </row>
    <row r="3159">
      <c r="A3159" s="16" t="s">
        <v>9953</v>
      </c>
      <c r="B3159" s="35">
        <f t="array" ref="B3159">XLOOKUP(A3159,IMDB_Movies!I$2:I$3493,IMDB_Movies!Q$2:Q$3493)</f>
        <v>0</v>
      </c>
      <c r="E3159" s="16" t="s">
        <v>9953</v>
      </c>
      <c r="F3159" s="36">
        <f t="array" ref="F3159">XLOOKUP(A3159,IMDB_Movies!I$2:I$3493,IMDB_Movies!P$2:P$3493)</f>
        <v>12117571</v>
      </c>
    </row>
    <row r="3160">
      <c r="A3160" s="11" t="s">
        <v>9956</v>
      </c>
      <c r="B3160" s="35">
        <f t="array" ref="B3160">XLOOKUP(A3160,IMDB_Movies!I$2:I$3493,IMDB_Movies!Q$2:Q$3493)</f>
        <v>0</v>
      </c>
      <c r="E3160" s="11" t="s">
        <v>9956</v>
      </c>
      <c r="F3160" s="36">
        <f t="array" ref="F3160">XLOOKUP(A3160,IMDB_Movies!I$2:I$3493,IMDB_Movies!P$2:P$3493)</f>
        <v>14020063</v>
      </c>
    </row>
    <row r="3161">
      <c r="A3161" s="11" t="s">
        <v>9960</v>
      </c>
      <c r="B3161" s="35">
        <f t="array" ref="B3161">XLOOKUP(A3161,IMDB_Movies!I$2:I$3493,IMDB_Movies!Q$2:Q$3493)</f>
        <v>0</v>
      </c>
      <c r="E3161" s="11" t="s">
        <v>9960</v>
      </c>
      <c r="F3161" s="36">
        <f t="array" ref="F3161">XLOOKUP(A3161,IMDB_Movies!I$2:I$3493,IMDB_Movies!P$2:P$3493)</f>
        <v>15501605</v>
      </c>
    </row>
    <row r="3162">
      <c r="A3162" s="11" t="s">
        <v>9962</v>
      </c>
      <c r="B3162" s="35">
        <f t="array" ref="B3162">XLOOKUP(A3162,IMDB_Movies!I$2:I$3493,IMDB_Movies!Q$2:Q$3493)</f>
        <v>0</v>
      </c>
      <c r="E3162" s="11" t="s">
        <v>9962</v>
      </c>
      <c r="F3162" s="36">
        <f t="array" ref="F3162">XLOOKUP(A3162,IMDB_Movies!I$2:I$3493,IMDB_Movies!P$2:P$3493)</f>
        <v>13082743</v>
      </c>
    </row>
    <row r="3163">
      <c r="A3163" s="24" t="s">
        <v>9964</v>
      </c>
      <c r="B3163" s="35">
        <f t="array" ref="B3163">XLOOKUP(A3163,IMDB_Movies!I$2:I$3493,IMDB_Movies!Q$2:Q$3493)</f>
        <v>37407175</v>
      </c>
      <c r="E3163" s="24" t="s">
        <v>9964</v>
      </c>
      <c r="F3163" s="36">
        <f t="array" ref="F3163">XLOOKUP(A3163,IMDB_Movies!I$2:I$3493,IMDB_Movies!P$2:P$3493)</f>
        <v>0</v>
      </c>
    </row>
    <row r="3164">
      <c r="A3164" s="11" t="s">
        <v>9968</v>
      </c>
      <c r="B3164" s="35">
        <f t="array" ref="B3164">XLOOKUP(A3164,IMDB_Movies!I$2:I$3493,IMDB_Movies!Q$2:Q$3493)</f>
        <v>0</v>
      </c>
      <c r="E3164" s="11" t="s">
        <v>9968</v>
      </c>
      <c r="F3164" s="36">
        <f t="array" ref="F3164">XLOOKUP(A3164,IMDB_Movies!I$2:I$3493,IMDB_Movies!P$2:P$3493)</f>
        <v>1623749</v>
      </c>
    </row>
    <row r="3165">
      <c r="A3165" s="32" t="s">
        <v>9970</v>
      </c>
      <c r="B3165" s="35">
        <f t="array" ref="B3165">XLOOKUP(A3165,IMDB_Movies!I$2:I$3493,IMDB_Movies!Q$2:Q$3493)</f>
        <v>29462420</v>
      </c>
      <c r="E3165" s="32" t="s">
        <v>9970</v>
      </c>
      <c r="F3165" s="36">
        <f t="array" ref="F3165">XLOOKUP(A3165,IMDB_Movies!I$2:I$3493,IMDB_Movies!P$2:P$3493)</f>
        <v>0</v>
      </c>
    </row>
    <row r="3166">
      <c r="A3166" s="16" t="s">
        <v>9973</v>
      </c>
      <c r="B3166" s="35">
        <f t="array" ref="B3166">XLOOKUP(A3166,IMDB_Movies!I$2:I$3493,IMDB_Movies!Q$2:Q$3493)</f>
        <v>0</v>
      </c>
      <c r="E3166" s="16" t="s">
        <v>9973</v>
      </c>
      <c r="F3166" s="36">
        <f t="array" ref="F3166">XLOOKUP(A3166,IMDB_Movies!I$2:I$3493,IMDB_Movies!P$2:P$3493)</f>
        <v>68636983</v>
      </c>
    </row>
    <row r="3167">
      <c r="A3167" s="20" t="s">
        <v>9975</v>
      </c>
      <c r="B3167" s="35">
        <f t="array" ref="B3167">XLOOKUP(A3167,IMDB_Movies!I$2:I$3493,IMDB_Movies!Q$2:Q$3493)</f>
        <v>0</v>
      </c>
      <c r="E3167" s="20" t="s">
        <v>9975</v>
      </c>
      <c r="F3167" s="36">
        <f t="array" ref="F3167">XLOOKUP(A3167,IMDB_Movies!I$2:I$3493,IMDB_Movies!P$2:P$3493)</f>
        <v>71204016</v>
      </c>
    </row>
    <row r="3168">
      <c r="A3168" s="24" t="s">
        <v>9978</v>
      </c>
      <c r="B3168" s="35">
        <f t="array" ref="B3168">XLOOKUP(A3168,IMDB_Movies!I$2:I$3493,IMDB_Movies!Q$2:Q$3493)</f>
        <v>0</v>
      </c>
      <c r="E3168" s="24" t="s">
        <v>9978</v>
      </c>
      <c r="F3168" s="36">
        <f t="array" ref="F3168">XLOOKUP(A3168,IMDB_Movies!I$2:I$3493,IMDB_Movies!P$2:P$3493)</f>
        <v>13637507</v>
      </c>
    </row>
    <row r="3169">
      <c r="A3169" s="28" t="s">
        <v>9981</v>
      </c>
      <c r="B3169" s="35">
        <f t="array" ref="B3169">XLOOKUP(A3169,IMDB_Movies!I$2:I$3493,IMDB_Movies!Q$2:Q$3493)</f>
        <v>8944346</v>
      </c>
      <c r="E3169" s="28" t="s">
        <v>9981</v>
      </c>
      <c r="F3169" s="36">
        <f t="array" ref="F3169">XLOOKUP(A3169,IMDB_Movies!I$2:I$3493,IMDB_Movies!P$2:P$3493)</f>
        <v>0</v>
      </c>
    </row>
    <row r="3170">
      <c r="A3170" s="11" t="s">
        <v>9985</v>
      </c>
      <c r="B3170" s="35">
        <f t="array" ref="B3170">XLOOKUP(A3170,IMDB_Movies!I$2:I$3493,IMDB_Movies!Q$2:Q$3493)</f>
        <v>9441786</v>
      </c>
      <c r="E3170" s="11" t="s">
        <v>9985</v>
      </c>
      <c r="F3170" s="36">
        <f t="array" ref="F3170">XLOOKUP(A3170,IMDB_Movies!I$2:I$3493,IMDB_Movies!P$2:P$3493)</f>
        <v>0</v>
      </c>
    </row>
    <row r="3171">
      <c r="A3171" s="20" t="s">
        <v>9987</v>
      </c>
      <c r="B3171" s="35">
        <f t="array" ref="B3171">XLOOKUP(A3171,IMDB_Movies!I$2:I$3493,IMDB_Movies!Q$2:Q$3493)</f>
        <v>0</v>
      </c>
      <c r="E3171" s="20" t="s">
        <v>9987</v>
      </c>
      <c r="F3171" s="36">
        <f t="array" ref="F3171">XLOOKUP(A3171,IMDB_Movies!I$2:I$3493,IMDB_Movies!P$2:P$3493)</f>
        <v>34886089</v>
      </c>
    </row>
    <row r="3172">
      <c r="A3172" s="28" t="s">
        <v>9989</v>
      </c>
      <c r="B3172" s="35">
        <f t="array" ref="B3172">XLOOKUP(A3172,IMDB_Movies!I$2:I$3493,IMDB_Movies!Q$2:Q$3493)</f>
        <v>0</v>
      </c>
      <c r="E3172" s="28" t="s">
        <v>9989</v>
      </c>
      <c r="F3172" s="36">
        <f t="array" ref="F3172">XLOOKUP(A3172,IMDB_Movies!I$2:I$3493,IMDB_Movies!P$2:P$3493)</f>
        <v>18416702</v>
      </c>
    </row>
    <row r="3173">
      <c r="A3173" s="11" t="s">
        <v>9991</v>
      </c>
      <c r="B3173" s="35">
        <f t="array" ref="B3173">XLOOKUP(A3173,IMDB_Movies!I$2:I$3493,IMDB_Movies!Q$2:Q$3493)</f>
        <v>0</v>
      </c>
      <c r="E3173" s="11" t="s">
        <v>9991</v>
      </c>
      <c r="F3173" s="36">
        <f t="array" ref="F3173">XLOOKUP(A3173,IMDB_Movies!I$2:I$3493,IMDB_Movies!P$2:P$3493)</f>
        <v>155585516</v>
      </c>
    </row>
    <row r="3174">
      <c r="A3174" s="28" t="s">
        <v>9993</v>
      </c>
      <c r="B3174" s="35">
        <f t="array" ref="B3174">XLOOKUP(A3174,IMDB_Movies!I$2:I$3493,IMDB_Movies!Q$2:Q$3493)</f>
        <v>0</v>
      </c>
      <c r="E3174" s="28" t="s">
        <v>9993</v>
      </c>
      <c r="F3174" s="36">
        <f t="array" ref="F3174">XLOOKUP(A3174,IMDB_Movies!I$2:I$3493,IMDB_Movies!P$2:P$3493)</f>
        <v>116900000</v>
      </c>
    </row>
    <row r="3175">
      <c r="A3175" s="28" t="s">
        <v>9996</v>
      </c>
      <c r="B3175" s="35">
        <f t="array" ref="B3175">XLOOKUP(A3175,IMDB_Movies!I$2:I$3493,IMDB_Movies!Q$2:Q$3493)</f>
        <v>0</v>
      </c>
      <c r="E3175" s="28" t="s">
        <v>9996</v>
      </c>
      <c r="F3175" s="36">
        <f t="array" ref="F3175">XLOOKUP(A3175,IMDB_Movies!I$2:I$3493,IMDB_Movies!P$2:P$3493)</f>
        <v>50418803</v>
      </c>
    </row>
    <row r="3176">
      <c r="A3176" s="28" t="s">
        <v>9998</v>
      </c>
      <c r="B3176" s="35">
        <f t="array" ref="B3176">XLOOKUP(A3176,IMDB_Movies!I$2:I$3493,IMDB_Movies!Q$2:Q$3493)</f>
        <v>2200996</v>
      </c>
      <c r="E3176" s="28" t="s">
        <v>9998</v>
      </c>
      <c r="F3176" s="36">
        <f t="array" ref="F3176">XLOOKUP(A3176,IMDB_Movies!I$2:I$3493,IMDB_Movies!P$2:P$3493)</f>
        <v>0</v>
      </c>
    </row>
    <row r="3177">
      <c r="A3177" s="20" t="s">
        <v>10001</v>
      </c>
      <c r="B3177" s="35">
        <f t="array" ref="B3177">XLOOKUP(A3177,IMDB_Movies!I$2:I$3493,IMDB_Movies!Q$2:Q$3493)</f>
        <v>0</v>
      </c>
      <c r="E3177" s="20" t="s">
        <v>10001</v>
      </c>
      <c r="F3177" s="36">
        <f t="array" ref="F3177">XLOOKUP(A3177,IMDB_Movies!I$2:I$3493,IMDB_Movies!P$2:P$3493)</f>
        <v>11746550</v>
      </c>
    </row>
    <row r="3178">
      <c r="A3178" s="20" t="s">
        <v>10003</v>
      </c>
      <c r="B3178" s="35">
        <f t="array" ref="B3178">XLOOKUP(A3178,IMDB_Movies!I$2:I$3493,IMDB_Movies!Q$2:Q$3493)</f>
        <v>22324928</v>
      </c>
      <c r="E3178" s="20" t="s">
        <v>10003</v>
      </c>
      <c r="F3178" s="36">
        <f t="array" ref="F3178">XLOOKUP(A3178,IMDB_Movies!I$2:I$3493,IMDB_Movies!P$2:P$3493)</f>
        <v>0</v>
      </c>
    </row>
    <row r="3179">
      <c r="A3179" s="24" t="s">
        <v>10005</v>
      </c>
      <c r="B3179" s="35">
        <f t="array" ref="B3179">XLOOKUP(A3179,IMDB_Movies!I$2:I$3493,IMDB_Movies!Q$2:Q$3493)</f>
        <v>0</v>
      </c>
      <c r="E3179" s="24" t="s">
        <v>10005</v>
      </c>
      <c r="F3179" s="36">
        <f t="array" ref="F3179">XLOOKUP(A3179,IMDB_Movies!I$2:I$3493,IMDB_Movies!P$2:P$3493)</f>
        <v>16669413</v>
      </c>
    </row>
    <row r="3180">
      <c r="A3180" s="24" t="s">
        <v>10009</v>
      </c>
      <c r="B3180" s="35">
        <f t="array" ref="B3180">XLOOKUP(A3180,IMDB_Movies!I$2:I$3493,IMDB_Movies!Q$2:Q$3493)</f>
        <v>52526755</v>
      </c>
      <c r="E3180" s="24" t="s">
        <v>10009</v>
      </c>
      <c r="F3180" s="36">
        <f t="array" ref="F3180">XLOOKUP(A3180,IMDB_Movies!I$2:I$3493,IMDB_Movies!P$2:P$3493)</f>
        <v>0</v>
      </c>
    </row>
    <row r="3181">
      <c r="A3181" s="24" t="s">
        <v>10012</v>
      </c>
      <c r="B3181" s="35">
        <f t="array" ref="B3181">XLOOKUP(A3181,IMDB_Movies!I$2:I$3493,IMDB_Movies!Q$2:Q$3493)</f>
        <v>0</v>
      </c>
      <c r="E3181" s="24" t="s">
        <v>10012</v>
      </c>
      <c r="F3181" s="36">
        <f t="array" ref="F3181">XLOOKUP(A3181,IMDB_Movies!I$2:I$3493,IMDB_Movies!P$2:P$3493)</f>
        <v>80850</v>
      </c>
    </row>
    <row r="3182">
      <c r="A3182" s="11" t="s">
        <v>10014</v>
      </c>
      <c r="B3182" s="35">
        <f t="array" ref="B3182">XLOOKUP(A3182,IMDB_Movies!I$2:I$3493,IMDB_Movies!Q$2:Q$3493)</f>
        <v>0</v>
      </c>
      <c r="E3182" s="11" t="s">
        <v>10014</v>
      </c>
      <c r="F3182" s="36">
        <f t="array" ref="F3182">XLOOKUP(A3182,IMDB_Movies!I$2:I$3493,IMDB_Movies!P$2:P$3493)</f>
        <v>50835030</v>
      </c>
    </row>
    <row r="3183">
      <c r="A3183" s="11" t="s">
        <v>10017</v>
      </c>
      <c r="B3183" s="35">
        <f t="array" ref="B3183">XLOOKUP(A3183,IMDB_Movies!I$2:I$3493,IMDB_Movies!Q$2:Q$3493)</f>
        <v>0</v>
      </c>
      <c r="E3183" s="11" t="s">
        <v>10017</v>
      </c>
      <c r="F3183" s="36">
        <f t="array" ref="F3183">XLOOKUP(A3183,IMDB_Movies!I$2:I$3493,IMDB_Movies!P$2:P$3493)</f>
        <v>169437578</v>
      </c>
    </row>
    <row r="3184">
      <c r="A3184" s="24" t="s">
        <v>10020</v>
      </c>
      <c r="B3184" s="35">
        <f t="array" ref="B3184">XLOOKUP(A3184,IMDB_Movies!I$2:I$3493,IMDB_Movies!Q$2:Q$3493)</f>
        <v>0</v>
      </c>
      <c r="E3184" s="24" t="s">
        <v>10020</v>
      </c>
      <c r="F3184" s="36">
        <f t="array" ref="F3184">XLOOKUP(A3184,IMDB_Movies!I$2:I$3493,IMDB_Movies!P$2:P$3493)</f>
        <v>11622333</v>
      </c>
    </row>
    <row r="3185">
      <c r="A3185" s="11" t="s">
        <v>10022</v>
      </c>
      <c r="B3185" s="35">
        <f t="array" ref="B3185">XLOOKUP(A3185,IMDB_Movies!I$2:I$3493,IMDB_Movies!Q$2:Q$3493)</f>
        <v>69477903</v>
      </c>
      <c r="E3185" s="11" t="s">
        <v>10022</v>
      </c>
      <c r="F3185" s="36">
        <f t="array" ref="F3185">XLOOKUP(A3185,IMDB_Movies!I$2:I$3493,IMDB_Movies!P$2:P$3493)</f>
        <v>0</v>
      </c>
    </row>
    <row r="3186">
      <c r="A3186" s="11" t="s">
        <v>10025</v>
      </c>
      <c r="B3186" s="35">
        <f t="array" ref="B3186">XLOOKUP(A3186,IMDB_Movies!I$2:I$3493,IMDB_Movies!Q$2:Q$3493)</f>
        <v>978790</v>
      </c>
      <c r="E3186" s="11" t="s">
        <v>10025</v>
      </c>
      <c r="F3186" s="36">
        <f t="array" ref="F3186">XLOOKUP(A3186,IMDB_Movies!I$2:I$3493,IMDB_Movies!P$2:P$3493)</f>
        <v>0</v>
      </c>
    </row>
    <row r="3187">
      <c r="A3187" s="24" t="s">
        <v>10028</v>
      </c>
      <c r="B3187" s="35">
        <f t="array" ref="B3187">XLOOKUP(A3187,IMDB_Movies!I$2:I$3493,IMDB_Movies!Q$2:Q$3493)</f>
        <v>0</v>
      </c>
      <c r="E3187" s="24" t="s">
        <v>10028</v>
      </c>
      <c r="F3187" s="36">
        <f t="array" ref="F3187">XLOOKUP(A3187,IMDB_Movies!I$2:I$3493,IMDB_Movies!P$2:P$3493)</f>
        <v>121666058</v>
      </c>
    </row>
    <row r="3188">
      <c r="A3188" s="20" t="s">
        <v>10030</v>
      </c>
      <c r="B3188" s="35">
        <f t="array" ref="B3188">XLOOKUP(A3188,IMDB_Movies!I$2:I$3493,IMDB_Movies!Q$2:Q$3493)</f>
        <v>0</v>
      </c>
      <c r="E3188" s="20" t="s">
        <v>10030</v>
      </c>
      <c r="F3188" s="36">
        <f t="array" ref="F3188">XLOOKUP(A3188,IMDB_Movies!I$2:I$3493,IMDB_Movies!P$2:P$3493)</f>
        <v>42586544</v>
      </c>
    </row>
    <row r="3189">
      <c r="A3189" s="24" t="s">
        <v>10033</v>
      </c>
      <c r="B3189" s="35">
        <f t="array" ref="B3189">XLOOKUP(A3189,IMDB_Movies!I$2:I$3493,IMDB_Movies!Q$2:Q$3493)</f>
        <v>0</v>
      </c>
      <c r="E3189" s="24" t="s">
        <v>10033</v>
      </c>
      <c r="F3189" s="36">
        <f t="array" ref="F3189">XLOOKUP(A3189,IMDB_Movies!I$2:I$3493,IMDB_Movies!P$2:P$3493)</f>
        <v>2190525</v>
      </c>
    </row>
    <row r="3190">
      <c r="A3190" s="28" t="s">
        <v>10037</v>
      </c>
      <c r="B3190" s="35">
        <f t="array" ref="B3190">XLOOKUP(A3190,IMDB_Movies!I$2:I$3493,IMDB_Movies!Q$2:Q$3493)</f>
        <v>4588020</v>
      </c>
      <c r="E3190" s="28" t="s">
        <v>10037</v>
      </c>
      <c r="F3190" s="36">
        <f t="array" ref="F3190">XLOOKUP(A3190,IMDB_Movies!I$2:I$3493,IMDB_Movies!P$2:P$3493)</f>
        <v>0</v>
      </c>
    </row>
    <row r="3191">
      <c r="A3191" s="11" t="s">
        <v>10040</v>
      </c>
      <c r="B3191" s="35">
        <f t="array" ref="B3191">XLOOKUP(A3191,IMDB_Movies!I$2:I$3493,IMDB_Movies!Q$2:Q$3493)</f>
        <v>19513094</v>
      </c>
      <c r="E3191" s="11" t="s">
        <v>10040</v>
      </c>
      <c r="F3191" s="36">
        <f t="array" ref="F3191">XLOOKUP(A3191,IMDB_Movies!I$2:I$3493,IMDB_Movies!P$2:P$3493)</f>
        <v>0</v>
      </c>
    </row>
    <row r="3192">
      <c r="A3192" s="11" t="s">
        <v>10042</v>
      </c>
      <c r="B3192" s="35">
        <f t="array" ref="B3192">XLOOKUP(A3192,IMDB_Movies!I$2:I$3493,IMDB_Movies!Q$2:Q$3493)</f>
        <v>0</v>
      </c>
      <c r="E3192" s="11" t="s">
        <v>10042</v>
      </c>
      <c r="F3192" s="36">
        <f t="array" ref="F3192">XLOOKUP(A3192,IMDB_Movies!I$2:I$3493,IMDB_Movies!P$2:P$3493)</f>
        <v>77763837</v>
      </c>
    </row>
    <row r="3193">
      <c r="A3193" s="24" t="s">
        <v>10045</v>
      </c>
      <c r="B3193" s="35">
        <f t="array" ref="B3193">XLOOKUP(A3193,IMDB_Movies!I$2:I$3493,IMDB_Movies!Q$2:Q$3493)</f>
        <v>13585465</v>
      </c>
      <c r="E3193" s="24" t="s">
        <v>10045</v>
      </c>
      <c r="F3193" s="36">
        <f t="array" ref="F3193">XLOOKUP(A3193,IMDB_Movies!I$2:I$3493,IMDB_Movies!P$2:P$3493)</f>
        <v>0</v>
      </c>
    </row>
    <row r="3194">
      <c r="A3194" s="11" t="s">
        <v>10048</v>
      </c>
      <c r="B3194" s="35">
        <f t="array" ref="B3194">XLOOKUP(A3194,IMDB_Movies!I$2:I$3493,IMDB_Movies!Q$2:Q$3493)</f>
        <v>2844228</v>
      </c>
      <c r="E3194" s="11" t="s">
        <v>10048</v>
      </c>
      <c r="F3194" s="36">
        <f t="array" ref="F3194">XLOOKUP(A3194,IMDB_Movies!I$2:I$3493,IMDB_Movies!P$2:P$3493)</f>
        <v>0</v>
      </c>
    </row>
    <row r="3195">
      <c r="A3195" s="28" t="s">
        <v>10050</v>
      </c>
      <c r="B3195" s="35">
        <f t="array" ref="B3195">XLOOKUP(A3195,IMDB_Movies!I$2:I$3493,IMDB_Movies!Q$2:Q$3493)</f>
        <v>0</v>
      </c>
      <c r="E3195" s="28" t="s">
        <v>10050</v>
      </c>
      <c r="F3195" s="36">
        <f t="array" ref="F3195">XLOOKUP(A3195,IMDB_Movies!I$2:I$3493,IMDB_Movies!P$2:P$3493)</f>
        <v>21790248</v>
      </c>
    </row>
    <row r="3196">
      <c r="A3196" s="24" t="s">
        <v>10054</v>
      </c>
      <c r="B3196" s="35">
        <f t="array" ref="B3196">XLOOKUP(A3196,IMDB_Movies!I$2:I$3493,IMDB_Movies!Q$2:Q$3493)</f>
        <v>0</v>
      </c>
      <c r="E3196" s="24" t="s">
        <v>10054</v>
      </c>
      <c r="F3196" s="36">
        <f t="array" ref="F3196">XLOOKUP(A3196,IMDB_Movies!I$2:I$3493,IMDB_Movies!P$2:P$3493)</f>
        <v>5077977</v>
      </c>
    </row>
    <row r="3197">
      <c r="A3197" s="24" t="s">
        <v>10058</v>
      </c>
      <c r="B3197" s="35">
        <f t="array" ref="B3197">XLOOKUP(A3197,IMDB_Movies!I$2:I$3493,IMDB_Movies!Q$2:Q$3493)</f>
        <v>0</v>
      </c>
      <c r="E3197" s="24" t="s">
        <v>10058</v>
      </c>
      <c r="F3197" s="36">
        <f t="array" ref="F3197">XLOOKUP(A3197,IMDB_Movies!I$2:I$3493,IMDB_Movies!P$2:P$3493)</f>
        <v>4888703</v>
      </c>
    </row>
    <row r="3198">
      <c r="A3198" s="28" t="s">
        <v>10062</v>
      </c>
      <c r="B3198" s="35">
        <f t="array" ref="B3198">XLOOKUP(A3198,IMDB_Movies!I$2:I$3493,IMDB_Movies!Q$2:Q$3493)</f>
        <v>10493002</v>
      </c>
      <c r="E3198" s="28" t="s">
        <v>10062</v>
      </c>
      <c r="F3198" s="36">
        <f t="array" ref="F3198">XLOOKUP(A3198,IMDB_Movies!I$2:I$3493,IMDB_Movies!P$2:P$3493)</f>
        <v>0</v>
      </c>
    </row>
    <row r="3199">
      <c r="A3199" s="11" t="s">
        <v>10065</v>
      </c>
      <c r="B3199" s="35">
        <f t="array" ref="B3199">XLOOKUP(A3199,IMDB_Movies!I$2:I$3493,IMDB_Movies!Q$2:Q$3493)</f>
        <v>0</v>
      </c>
      <c r="E3199" s="11" t="s">
        <v>10065</v>
      </c>
      <c r="F3199" s="36">
        <f t="array" ref="F3199">XLOOKUP(A3199,IMDB_Movies!I$2:I$3493,IMDB_Movies!P$2:P$3493)</f>
        <v>1677654</v>
      </c>
    </row>
    <row r="3200">
      <c r="A3200" s="16" t="s">
        <v>10067</v>
      </c>
      <c r="B3200" s="35">
        <f t="array" ref="B3200">XLOOKUP(A3200,IMDB_Movies!I$2:I$3493,IMDB_Movies!Q$2:Q$3493)</f>
        <v>6439124</v>
      </c>
      <c r="E3200" s="16" t="s">
        <v>10067</v>
      </c>
      <c r="F3200" s="36">
        <f t="array" ref="F3200">XLOOKUP(A3200,IMDB_Movies!I$2:I$3493,IMDB_Movies!P$2:P$3493)</f>
        <v>0</v>
      </c>
    </row>
    <row r="3201">
      <c r="A3201" s="28" t="s">
        <v>10070</v>
      </c>
      <c r="B3201" s="35">
        <f t="array" ref="B3201">XLOOKUP(A3201,IMDB_Movies!I$2:I$3493,IMDB_Movies!Q$2:Q$3493)</f>
        <v>0</v>
      </c>
      <c r="E3201" s="28" t="s">
        <v>10070</v>
      </c>
      <c r="F3201" s="36">
        <f t="array" ref="F3201">XLOOKUP(A3201,IMDB_Movies!I$2:I$3493,IMDB_Movies!P$2:P$3493)</f>
        <v>3138210</v>
      </c>
    </row>
    <row r="3202">
      <c r="A3202" s="24" t="s">
        <v>10073</v>
      </c>
      <c r="B3202" s="35">
        <f t="array" ref="B3202">XLOOKUP(A3202,IMDB_Movies!I$2:I$3493,IMDB_Movies!Q$2:Q$3493)</f>
        <v>27805940</v>
      </c>
      <c r="E3202" s="24" t="s">
        <v>10073</v>
      </c>
      <c r="F3202" s="36">
        <f t="array" ref="F3202">XLOOKUP(A3202,IMDB_Movies!I$2:I$3493,IMDB_Movies!P$2:P$3493)</f>
        <v>0</v>
      </c>
    </row>
    <row r="3203">
      <c r="A3203" s="20" t="s">
        <v>10075</v>
      </c>
      <c r="B3203" s="35">
        <f t="array" ref="B3203">XLOOKUP(A3203,IMDB_Movies!I$2:I$3493,IMDB_Movies!Q$2:Q$3493)</f>
        <v>0</v>
      </c>
      <c r="E3203" s="20" t="s">
        <v>10075</v>
      </c>
      <c r="F3203" s="36">
        <f t="array" ref="F3203">XLOOKUP(A3203,IMDB_Movies!I$2:I$3493,IMDB_Movies!P$2:P$3493)</f>
        <v>1373585</v>
      </c>
    </row>
    <row r="3204">
      <c r="A3204" s="16" t="s">
        <v>10077</v>
      </c>
      <c r="B3204" s="35">
        <f t="array" ref="B3204">XLOOKUP(A3204,IMDB_Movies!I$2:I$3493,IMDB_Movies!Q$2:Q$3493)</f>
        <v>8060559</v>
      </c>
      <c r="E3204" s="16" t="s">
        <v>10077</v>
      </c>
      <c r="F3204" s="36">
        <f t="array" ref="F3204">XLOOKUP(A3204,IMDB_Movies!I$2:I$3493,IMDB_Movies!P$2:P$3493)</f>
        <v>0</v>
      </c>
    </row>
    <row r="3205">
      <c r="A3205" s="16" t="s">
        <v>10079</v>
      </c>
      <c r="B3205" s="35">
        <f t="array" ref="B3205">XLOOKUP(A3205,IMDB_Movies!I$2:I$3493,IMDB_Movies!Q$2:Q$3493)</f>
        <v>24592750</v>
      </c>
      <c r="E3205" s="16" t="s">
        <v>10079</v>
      </c>
      <c r="F3205" s="36">
        <f t="array" ref="F3205">XLOOKUP(A3205,IMDB_Movies!I$2:I$3493,IMDB_Movies!P$2:P$3493)</f>
        <v>0</v>
      </c>
    </row>
    <row r="3206">
      <c r="A3206" s="24" t="s">
        <v>10082</v>
      </c>
      <c r="B3206" s="35">
        <f t="array" ref="B3206">XLOOKUP(A3206,IMDB_Movies!I$2:I$3493,IMDB_Movies!Q$2:Q$3493)</f>
        <v>10675256</v>
      </c>
      <c r="E3206" s="24" t="s">
        <v>10082</v>
      </c>
      <c r="F3206" s="36">
        <f t="array" ref="F3206">XLOOKUP(A3206,IMDB_Movies!I$2:I$3493,IMDB_Movies!P$2:P$3493)</f>
        <v>0</v>
      </c>
    </row>
    <row r="3207">
      <c r="A3207" s="28" t="s">
        <v>10085</v>
      </c>
      <c r="B3207" s="35">
        <f t="array" ref="B3207">XLOOKUP(A3207,IMDB_Movies!I$2:I$3493,IMDB_Movies!Q$2:Q$3493)</f>
        <v>1516510</v>
      </c>
      <c r="E3207" s="28" t="s">
        <v>10085</v>
      </c>
      <c r="F3207" s="36">
        <f t="array" ref="F3207">XLOOKUP(A3207,IMDB_Movies!I$2:I$3493,IMDB_Movies!P$2:P$3493)</f>
        <v>0</v>
      </c>
    </row>
    <row r="3208">
      <c r="A3208" s="11" t="s">
        <v>10087</v>
      </c>
      <c r="B3208" s="35">
        <f t="array" ref="B3208">XLOOKUP(A3208,IMDB_Movies!I$2:I$3493,IMDB_Movies!Q$2:Q$3493)</f>
        <v>33045595</v>
      </c>
      <c r="E3208" s="11" t="s">
        <v>10087</v>
      </c>
      <c r="F3208" s="36">
        <f t="array" ref="F3208">XLOOKUP(A3208,IMDB_Movies!I$2:I$3493,IMDB_Movies!P$2:P$3493)</f>
        <v>0</v>
      </c>
    </row>
    <row r="3209">
      <c r="A3209" s="20" t="s">
        <v>10090</v>
      </c>
      <c r="B3209" s="35">
        <f t="array" ref="B3209">XLOOKUP(A3209,IMDB_Movies!I$2:I$3493,IMDB_Movies!Q$2:Q$3493)</f>
        <v>0</v>
      </c>
      <c r="E3209" s="20" t="s">
        <v>10090</v>
      </c>
      <c r="F3209" s="36">
        <f t="array" ref="F3209">XLOOKUP(A3209,IMDB_Movies!I$2:I$3493,IMDB_Movies!P$2:P$3493)</f>
        <v>101697350</v>
      </c>
    </row>
    <row r="3210">
      <c r="A3210" s="11" t="s">
        <v>10093</v>
      </c>
      <c r="B3210" s="35">
        <f t="array" ref="B3210">XLOOKUP(A3210,IMDB_Movies!I$2:I$3493,IMDB_Movies!Q$2:Q$3493)</f>
        <v>7865580</v>
      </c>
      <c r="E3210" s="11" t="s">
        <v>10093</v>
      </c>
      <c r="F3210" s="36">
        <f t="array" ref="F3210">XLOOKUP(A3210,IMDB_Movies!I$2:I$3493,IMDB_Movies!P$2:P$3493)</f>
        <v>0</v>
      </c>
    </row>
    <row r="3211">
      <c r="A3211" s="16" t="s">
        <v>10095</v>
      </c>
      <c r="B3211" s="35">
        <f t="array" ref="B3211">XLOOKUP(A3211,IMDB_Movies!I$2:I$3493,IMDB_Movies!Q$2:Q$3493)</f>
        <v>0</v>
      </c>
      <c r="E3211" s="16" t="s">
        <v>10095</v>
      </c>
      <c r="F3211" s="36">
        <f t="array" ref="F3211">XLOOKUP(A3211,IMDB_Movies!I$2:I$3493,IMDB_Movies!P$2:P$3493)</f>
        <v>611615</v>
      </c>
    </row>
    <row r="3212">
      <c r="A3212" s="11" t="s">
        <v>10098</v>
      </c>
      <c r="B3212" s="35">
        <f t="array" ref="B3212">XLOOKUP(A3212,IMDB_Movies!I$2:I$3493,IMDB_Movies!Q$2:Q$3493)</f>
        <v>0</v>
      </c>
      <c r="E3212" s="11" t="s">
        <v>10098</v>
      </c>
      <c r="F3212" s="36">
        <f t="array" ref="F3212">XLOOKUP(A3212,IMDB_Movies!I$2:I$3493,IMDB_Movies!P$2:P$3493)</f>
        <v>16033759</v>
      </c>
    </row>
    <row r="3213">
      <c r="A3213" s="20" t="s">
        <v>10101</v>
      </c>
      <c r="B3213" s="35">
        <f t="array" ref="B3213">XLOOKUP(A3213,IMDB_Movies!I$2:I$3493,IMDB_Movies!Q$2:Q$3493)</f>
        <v>0</v>
      </c>
      <c r="E3213" s="20" t="s">
        <v>10101</v>
      </c>
      <c r="F3213" s="36">
        <f t="array" ref="F3213">XLOOKUP(A3213,IMDB_Movies!I$2:I$3493,IMDB_Movies!P$2:P$3493)</f>
        <v>20455802</v>
      </c>
    </row>
    <row r="3214">
      <c r="A3214" s="28" t="s">
        <v>10105</v>
      </c>
      <c r="B3214" s="35">
        <f t="array" ref="B3214">XLOOKUP(A3214,IMDB_Movies!I$2:I$3493,IMDB_Movies!Q$2:Q$3493)</f>
        <v>0</v>
      </c>
      <c r="E3214" s="28" t="s">
        <v>10105</v>
      </c>
      <c r="F3214" s="36">
        <f t="array" ref="F3214">XLOOKUP(A3214,IMDB_Movies!I$2:I$3493,IMDB_Movies!P$2:P$3493)</f>
        <v>32000000</v>
      </c>
    </row>
    <row r="3215">
      <c r="A3215" s="24" t="s">
        <v>10107</v>
      </c>
      <c r="B3215" s="35">
        <f t="array" ref="B3215">XLOOKUP(A3215,IMDB_Movies!I$2:I$3493,IMDB_Movies!Q$2:Q$3493)</f>
        <v>0</v>
      </c>
      <c r="E3215" s="24" t="s">
        <v>10107</v>
      </c>
      <c r="F3215" s="36">
        <f t="array" ref="F3215">XLOOKUP(A3215,IMDB_Movies!I$2:I$3493,IMDB_Movies!P$2:P$3493)</f>
        <v>114223000</v>
      </c>
    </row>
    <row r="3216">
      <c r="A3216" s="32" t="s">
        <v>10109</v>
      </c>
      <c r="B3216" s="35">
        <f t="array" ref="B3216">XLOOKUP(A3216,IMDB_Movies!I$2:I$3493,IMDB_Movies!Q$2:Q$3493)</f>
        <v>0</v>
      </c>
      <c r="E3216" s="32" t="s">
        <v>10109</v>
      </c>
      <c r="F3216" s="36">
        <f t="array" ref="F3216">XLOOKUP(A3216,IMDB_Movies!I$2:I$3493,IMDB_Movies!P$2:P$3493)</f>
        <v>22696902</v>
      </c>
    </row>
    <row r="3217">
      <c r="A3217" s="24" t="s">
        <v>10111</v>
      </c>
      <c r="B3217" s="35">
        <f t="array" ref="B3217">XLOOKUP(A3217,IMDB_Movies!I$2:I$3493,IMDB_Movies!Q$2:Q$3493)</f>
        <v>6616263</v>
      </c>
      <c r="E3217" s="24" t="s">
        <v>10111</v>
      </c>
      <c r="F3217" s="36">
        <f t="array" ref="F3217">XLOOKUP(A3217,IMDB_Movies!I$2:I$3493,IMDB_Movies!P$2:P$3493)</f>
        <v>0</v>
      </c>
    </row>
    <row r="3218">
      <c r="A3218" s="11" t="s">
        <v>10114</v>
      </c>
      <c r="B3218" s="35">
        <f t="array" ref="B3218">XLOOKUP(A3218,IMDB_Movies!I$2:I$3493,IMDB_Movies!Q$2:Q$3493)</f>
        <v>0</v>
      </c>
      <c r="E3218" s="11" t="s">
        <v>10114</v>
      </c>
      <c r="F3218" s="36">
        <f t="array" ref="F3218">XLOOKUP(A3218,IMDB_Movies!I$2:I$3493,IMDB_Movies!P$2:P$3493)</f>
        <v>21137505</v>
      </c>
    </row>
    <row r="3219">
      <c r="A3219" s="24" t="s">
        <v>10118</v>
      </c>
      <c r="B3219" s="35">
        <f t="array" ref="B3219">XLOOKUP(A3219,IMDB_Movies!I$2:I$3493,IMDB_Movies!Q$2:Q$3493)</f>
        <v>44854891</v>
      </c>
      <c r="E3219" s="24" t="s">
        <v>10118</v>
      </c>
      <c r="F3219" s="36">
        <f t="array" ref="F3219">XLOOKUP(A3219,IMDB_Movies!I$2:I$3493,IMDB_Movies!P$2:P$3493)</f>
        <v>0</v>
      </c>
    </row>
    <row r="3220">
      <c r="A3220" s="11" t="s">
        <v>10121</v>
      </c>
      <c r="B3220" s="35">
        <f t="array" ref="B3220">XLOOKUP(A3220,IMDB_Movies!I$2:I$3493,IMDB_Movies!Q$2:Q$3493)</f>
        <v>0</v>
      </c>
      <c r="E3220" s="11" t="s">
        <v>10121</v>
      </c>
      <c r="F3220" s="36">
        <f t="array" ref="F3220">XLOOKUP(A3220,IMDB_Movies!I$2:I$3493,IMDB_Movies!P$2:P$3493)</f>
        <v>11161406</v>
      </c>
    </row>
    <row r="3221">
      <c r="A3221" s="11" t="s">
        <v>10123</v>
      </c>
      <c r="B3221" s="35">
        <f t="array" ref="B3221">XLOOKUP(A3221,IMDB_Movies!I$2:I$3493,IMDB_Movies!Q$2:Q$3493)</f>
        <v>0</v>
      </c>
      <c r="E3221" s="11" t="s">
        <v>10123</v>
      </c>
      <c r="F3221" s="36">
        <f t="array" ref="F3221">XLOOKUP(A3221,IMDB_Movies!I$2:I$3493,IMDB_Movies!P$2:P$3493)</f>
        <v>8396624</v>
      </c>
    </row>
    <row r="3222">
      <c r="A3222" s="24" t="s">
        <v>10125</v>
      </c>
      <c r="B3222" s="35">
        <f t="array" ref="B3222">XLOOKUP(A3222,IMDB_Movies!I$2:I$3493,IMDB_Movies!Q$2:Q$3493)</f>
        <v>0</v>
      </c>
      <c r="E3222" s="24" t="s">
        <v>10125</v>
      </c>
      <c r="F3222" s="36">
        <f t="array" ref="F3222">XLOOKUP(A3222,IMDB_Movies!I$2:I$3493,IMDB_Movies!P$2:P$3493)</f>
        <v>100722000</v>
      </c>
    </row>
    <row r="3223">
      <c r="A3223" s="11" t="s">
        <v>10128</v>
      </c>
      <c r="B3223" s="35">
        <f t="array" ref="B3223">XLOOKUP(A3223,IMDB_Movies!I$2:I$3493,IMDB_Movies!Q$2:Q$3493)</f>
        <v>8965564</v>
      </c>
      <c r="E3223" s="11" t="s">
        <v>10128</v>
      </c>
      <c r="F3223" s="36">
        <f t="array" ref="F3223">XLOOKUP(A3223,IMDB_Movies!I$2:I$3493,IMDB_Movies!P$2:P$3493)</f>
        <v>0</v>
      </c>
    </row>
    <row r="3224">
      <c r="A3224" s="24" t="s">
        <v>10132</v>
      </c>
      <c r="B3224" s="35">
        <f t="array" ref="B3224">XLOOKUP(A3224,IMDB_Movies!I$2:I$3493,IMDB_Movies!Q$2:Q$3493)</f>
        <v>24870885</v>
      </c>
      <c r="E3224" s="24" t="s">
        <v>10132</v>
      </c>
      <c r="F3224" s="36">
        <f t="array" ref="F3224">XLOOKUP(A3224,IMDB_Movies!I$2:I$3493,IMDB_Movies!P$2:P$3493)</f>
        <v>0</v>
      </c>
    </row>
    <row r="3225">
      <c r="A3225" s="20" t="s">
        <v>10134</v>
      </c>
      <c r="B3225" s="35">
        <f t="array" ref="B3225">XLOOKUP(A3225,IMDB_Movies!I$2:I$3493,IMDB_Movies!Q$2:Q$3493)</f>
        <v>198218</v>
      </c>
      <c r="E3225" s="20" t="s">
        <v>10134</v>
      </c>
      <c r="F3225" s="36">
        <f t="array" ref="F3225">XLOOKUP(A3225,IMDB_Movies!I$2:I$3493,IMDB_Movies!P$2:P$3493)</f>
        <v>0</v>
      </c>
    </row>
    <row r="3226">
      <c r="A3226" s="24" t="s">
        <v>10136</v>
      </c>
      <c r="B3226" s="35">
        <f t="array" ref="B3226">XLOOKUP(A3226,IMDB_Movies!I$2:I$3493,IMDB_Movies!Q$2:Q$3493)</f>
        <v>0</v>
      </c>
      <c r="E3226" s="24" t="s">
        <v>10136</v>
      </c>
      <c r="F3226" s="36">
        <f t="array" ref="F3226">XLOOKUP(A3226,IMDB_Movies!I$2:I$3493,IMDB_Movies!P$2:P$3493)</f>
        <v>45865715</v>
      </c>
    </row>
    <row r="3227">
      <c r="A3227" s="28" t="s">
        <v>10139</v>
      </c>
      <c r="B3227" s="35">
        <f t="array" ref="B3227">XLOOKUP(A3227,IMDB_Movies!I$2:I$3493,IMDB_Movies!Q$2:Q$3493)</f>
        <v>37083113</v>
      </c>
      <c r="E3227" s="28" t="s">
        <v>10139</v>
      </c>
      <c r="F3227" s="36">
        <f t="array" ref="F3227">XLOOKUP(A3227,IMDB_Movies!I$2:I$3493,IMDB_Movies!P$2:P$3493)</f>
        <v>0</v>
      </c>
    </row>
    <row r="3228">
      <c r="A3228" s="32" t="s">
        <v>10141</v>
      </c>
      <c r="B3228" s="35">
        <f t="array" ref="B3228">XLOOKUP(A3228,IMDB_Movies!I$2:I$3493,IMDB_Movies!Q$2:Q$3493)</f>
        <v>0</v>
      </c>
      <c r="E3228" s="32" t="s">
        <v>10141</v>
      </c>
      <c r="F3228" s="36">
        <f t="array" ref="F3228">XLOOKUP(A3228,IMDB_Movies!I$2:I$3493,IMDB_Movies!P$2:P$3493)</f>
        <v>3472213</v>
      </c>
    </row>
    <row r="3229">
      <c r="A3229" s="28" t="s">
        <v>10143</v>
      </c>
      <c r="B3229" s="35">
        <f t="array" ref="B3229">XLOOKUP(A3229,IMDB_Movies!I$2:I$3493,IMDB_Movies!Q$2:Q$3493)</f>
        <v>0</v>
      </c>
      <c r="E3229" s="28" t="s">
        <v>10143</v>
      </c>
      <c r="F3229" s="36">
        <f t="array" ref="F3229">XLOOKUP(A3229,IMDB_Movies!I$2:I$3493,IMDB_Movies!P$2:P$3493)</f>
        <v>19143839</v>
      </c>
    </row>
    <row r="3230">
      <c r="A3230" s="11" t="s">
        <v>10145</v>
      </c>
      <c r="B3230" s="35">
        <f t="array" ref="B3230">XLOOKUP(A3230,IMDB_Movies!I$2:I$3493,IMDB_Movies!Q$2:Q$3493)</f>
        <v>14353446</v>
      </c>
      <c r="E3230" s="11" t="s">
        <v>10145</v>
      </c>
      <c r="F3230" s="36">
        <f t="array" ref="F3230">XLOOKUP(A3230,IMDB_Movies!I$2:I$3493,IMDB_Movies!P$2:P$3493)</f>
        <v>0</v>
      </c>
    </row>
    <row r="3231">
      <c r="A3231" s="11" t="s">
        <v>10149</v>
      </c>
      <c r="B3231" s="35">
        <f t="array" ref="B3231">XLOOKUP(A3231,IMDB_Movies!I$2:I$3493,IMDB_Movies!Q$2:Q$3493)</f>
        <v>0</v>
      </c>
      <c r="E3231" s="11" t="s">
        <v>10149</v>
      </c>
      <c r="F3231" s="36">
        <f t="array" ref="F3231">XLOOKUP(A3231,IMDB_Movies!I$2:I$3493,IMDB_Movies!P$2:P$3493)</f>
        <v>2429000</v>
      </c>
    </row>
    <row r="3232">
      <c r="A3232" s="20" t="s">
        <v>10151</v>
      </c>
      <c r="B3232" s="35">
        <f t="array" ref="B3232">XLOOKUP(A3232,IMDB_Movies!I$2:I$3493,IMDB_Movies!Q$2:Q$3493)</f>
        <v>0</v>
      </c>
      <c r="E3232" s="20" t="s">
        <v>10151</v>
      </c>
      <c r="F3232" s="36">
        <f t="array" ref="F3232">XLOOKUP(A3232,IMDB_Movies!I$2:I$3493,IMDB_Movies!P$2:P$3493)</f>
        <v>8077470</v>
      </c>
    </row>
    <row r="3233">
      <c r="A3233" s="16" t="s">
        <v>10154</v>
      </c>
      <c r="B3233" s="35">
        <f t="array" ref="B3233">XLOOKUP(A3233,IMDB_Movies!I$2:I$3493,IMDB_Movies!Q$2:Q$3493)</f>
        <v>0</v>
      </c>
      <c r="E3233" s="16" t="s">
        <v>10154</v>
      </c>
      <c r="F3233" s="36">
        <f t="array" ref="F3233">XLOOKUP(A3233,IMDB_Movies!I$2:I$3493,IMDB_Movies!P$2:P$3493)</f>
        <v>480318</v>
      </c>
    </row>
    <row r="3234">
      <c r="A3234" s="11" t="s">
        <v>10156</v>
      </c>
      <c r="B3234" s="35">
        <f t="array" ref="B3234">XLOOKUP(A3234,IMDB_Movies!I$2:I$3493,IMDB_Movies!Q$2:Q$3493)</f>
        <v>0</v>
      </c>
      <c r="E3234" s="11" t="s">
        <v>10156</v>
      </c>
      <c r="F3234" s="36">
        <f t="array" ref="F3234">XLOOKUP(A3234,IMDB_Movies!I$2:I$3493,IMDB_Movies!P$2:P$3493)</f>
        <v>30163652</v>
      </c>
    </row>
    <row r="3235">
      <c r="A3235" s="20" t="s">
        <v>10158</v>
      </c>
      <c r="B3235" s="35">
        <f t="array" ref="B3235">XLOOKUP(A3235,IMDB_Movies!I$2:I$3493,IMDB_Movies!Q$2:Q$3493)</f>
        <v>30406260</v>
      </c>
      <c r="E3235" s="20" t="s">
        <v>10158</v>
      </c>
      <c r="F3235" s="36">
        <f t="array" ref="F3235">XLOOKUP(A3235,IMDB_Movies!I$2:I$3493,IMDB_Movies!P$2:P$3493)</f>
        <v>0</v>
      </c>
    </row>
    <row r="3236">
      <c r="A3236" s="32" t="s">
        <v>10161</v>
      </c>
      <c r="B3236" s="35">
        <f t="array" ref="B3236">XLOOKUP(A3236,IMDB_Movies!I$2:I$3493,IMDB_Movies!Q$2:Q$3493)</f>
        <v>0</v>
      </c>
      <c r="E3236" s="32" t="s">
        <v>10161</v>
      </c>
      <c r="F3236" s="36">
        <f t="array" ref="F3236">XLOOKUP(A3236,IMDB_Movies!I$2:I$3493,IMDB_Movies!P$2:P$3493)</f>
        <v>4976634</v>
      </c>
    </row>
    <row r="3237">
      <c r="A3237" s="24" t="s">
        <v>10164</v>
      </c>
      <c r="B3237" s="35">
        <f t="array" ref="B3237">XLOOKUP(A3237,IMDB_Movies!I$2:I$3493,IMDB_Movies!Q$2:Q$3493)</f>
        <v>0</v>
      </c>
      <c r="E3237" s="24" t="s">
        <v>10164</v>
      </c>
      <c r="F3237" s="36">
        <f t="array" ref="F3237">XLOOKUP(A3237,IMDB_Movies!I$2:I$3493,IMDB_Movies!P$2:P$3493)</f>
        <v>20574010</v>
      </c>
    </row>
    <row r="3238">
      <c r="A3238" s="28" t="s">
        <v>10166</v>
      </c>
      <c r="B3238" s="35">
        <f t="array" ref="B3238">XLOOKUP(A3238,IMDB_Movies!I$2:I$3493,IMDB_Movies!Q$2:Q$3493)</f>
        <v>0</v>
      </c>
      <c r="E3238" s="28" t="s">
        <v>10166</v>
      </c>
      <c r="F3238" s="36">
        <f t="array" ref="F3238">XLOOKUP(A3238,IMDB_Movies!I$2:I$3493,IMDB_Movies!P$2:P$3493)</f>
        <v>28280963</v>
      </c>
    </row>
    <row r="3239">
      <c r="A3239" s="24" t="s">
        <v>10168</v>
      </c>
      <c r="B3239" s="35">
        <f t="array" ref="B3239">XLOOKUP(A3239,IMDB_Movies!I$2:I$3493,IMDB_Movies!Q$2:Q$3493)</f>
        <v>0</v>
      </c>
      <c r="E3239" s="24" t="s">
        <v>10168</v>
      </c>
      <c r="F3239" s="36">
        <f t="array" ref="F3239">XLOOKUP(A3239,IMDB_Movies!I$2:I$3493,IMDB_Movies!P$2:P$3493)</f>
        <v>174907418</v>
      </c>
    </row>
    <row r="3240">
      <c r="A3240" s="11" t="s">
        <v>10170</v>
      </c>
      <c r="B3240" s="35">
        <f t="array" ref="B3240">XLOOKUP(A3240,IMDB_Movies!I$2:I$3493,IMDB_Movies!Q$2:Q$3493)</f>
        <v>1305692</v>
      </c>
      <c r="E3240" s="11" t="s">
        <v>10170</v>
      </c>
      <c r="F3240" s="36">
        <f t="array" ref="F3240">XLOOKUP(A3240,IMDB_Movies!I$2:I$3493,IMDB_Movies!P$2:P$3493)</f>
        <v>0</v>
      </c>
    </row>
    <row r="3241">
      <c r="A3241" s="11" t="s">
        <v>10173</v>
      </c>
      <c r="B3241" s="35">
        <f t="array" ref="B3241">XLOOKUP(A3241,IMDB_Movies!I$2:I$3493,IMDB_Movies!Q$2:Q$3493)</f>
        <v>1888640</v>
      </c>
      <c r="E3241" s="11" t="s">
        <v>10173</v>
      </c>
      <c r="F3241" s="36">
        <f t="array" ref="F3241">XLOOKUP(A3241,IMDB_Movies!I$2:I$3493,IMDB_Movies!P$2:P$3493)</f>
        <v>0</v>
      </c>
    </row>
    <row r="3242">
      <c r="A3242" s="16" t="s">
        <v>10175</v>
      </c>
      <c r="B3242" s="35">
        <f t="array" ref="B3242">XLOOKUP(A3242,IMDB_Movies!I$2:I$3493,IMDB_Movies!Q$2:Q$3493)</f>
        <v>0</v>
      </c>
      <c r="E3242" s="16" t="s">
        <v>10175</v>
      </c>
      <c r="F3242" s="36">
        <f t="array" ref="F3242">XLOOKUP(A3242,IMDB_Movies!I$2:I$3493,IMDB_Movies!P$2:P$3493)</f>
        <v>4848292</v>
      </c>
    </row>
    <row r="3243">
      <c r="A3243" s="11" t="s">
        <v>10177</v>
      </c>
      <c r="B3243" s="35">
        <f t="array" ref="B3243">XLOOKUP(A3243,IMDB_Movies!I$2:I$3493,IMDB_Movies!Q$2:Q$3493)</f>
        <v>0</v>
      </c>
      <c r="E3243" s="11" t="s">
        <v>10177</v>
      </c>
      <c r="F3243" s="36">
        <f t="array" ref="F3243">XLOOKUP(A3243,IMDB_Movies!I$2:I$3493,IMDB_Movies!P$2:P$3493)</f>
        <v>35960517</v>
      </c>
    </row>
    <row r="3244">
      <c r="A3244" s="11" t="s">
        <v>10181</v>
      </c>
      <c r="B3244" s="35">
        <f t="array" ref="B3244">XLOOKUP(A3244,IMDB_Movies!I$2:I$3493,IMDB_Movies!Q$2:Q$3493)</f>
        <v>0</v>
      </c>
      <c r="E3244" s="11" t="s">
        <v>10181</v>
      </c>
      <c r="F3244" s="36">
        <f t="array" ref="F3244">XLOOKUP(A3244,IMDB_Movies!I$2:I$3493,IMDB_Movies!P$2:P$3493)</f>
        <v>140470114</v>
      </c>
    </row>
    <row r="3245">
      <c r="A3245" s="28" t="s">
        <v>10183</v>
      </c>
      <c r="B3245" s="35">
        <f t="array" ref="B3245">XLOOKUP(A3245,IMDB_Movies!I$2:I$3493,IMDB_Movies!Q$2:Q$3493)</f>
        <v>29346242</v>
      </c>
      <c r="E3245" s="28" t="s">
        <v>10183</v>
      </c>
      <c r="F3245" s="36">
        <f t="array" ref="F3245">XLOOKUP(A3245,IMDB_Movies!I$2:I$3493,IMDB_Movies!P$2:P$3493)</f>
        <v>0</v>
      </c>
    </row>
    <row r="3246">
      <c r="A3246" s="16" t="s">
        <v>10186</v>
      </c>
      <c r="B3246" s="35">
        <f t="array" ref="B3246">XLOOKUP(A3246,IMDB_Movies!I$2:I$3493,IMDB_Movies!Q$2:Q$3493)</f>
        <v>10897090</v>
      </c>
      <c r="E3246" s="16" t="s">
        <v>10186</v>
      </c>
      <c r="F3246" s="36">
        <f t="array" ref="F3246">XLOOKUP(A3246,IMDB_Movies!I$2:I$3493,IMDB_Movies!P$2:P$3493)</f>
        <v>0</v>
      </c>
    </row>
    <row r="3247">
      <c r="A3247" s="24" t="s">
        <v>10189</v>
      </c>
      <c r="B3247" s="35">
        <f t="array" ref="B3247">XLOOKUP(A3247,IMDB_Movies!I$2:I$3493,IMDB_Movies!Q$2:Q$3493)</f>
        <v>14318803</v>
      </c>
      <c r="E3247" s="24" t="s">
        <v>10189</v>
      </c>
      <c r="F3247" s="36">
        <f t="array" ref="F3247">XLOOKUP(A3247,IMDB_Movies!I$2:I$3493,IMDB_Movies!P$2:P$3493)</f>
        <v>0</v>
      </c>
    </row>
    <row r="3248">
      <c r="A3248" s="11" t="s">
        <v>10191</v>
      </c>
      <c r="B3248" s="35">
        <f t="array" ref="B3248">XLOOKUP(A3248,IMDB_Movies!I$2:I$3493,IMDB_Movies!Q$2:Q$3493)</f>
        <v>0</v>
      </c>
      <c r="E3248" s="11" t="s">
        <v>10191</v>
      </c>
      <c r="F3248" s="36">
        <f t="array" ref="F3248">XLOOKUP(A3248,IMDB_Movies!I$2:I$3493,IMDB_Movies!P$2:P$3493)</f>
        <v>292049635</v>
      </c>
    </row>
    <row r="3249">
      <c r="A3249" s="28" t="s">
        <v>10193</v>
      </c>
      <c r="B3249" s="35">
        <f t="array" ref="B3249">XLOOKUP(A3249,IMDB_Movies!I$2:I$3493,IMDB_Movies!Q$2:Q$3493)</f>
        <v>24655608</v>
      </c>
      <c r="E3249" s="28" t="s">
        <v>10193</v>
      </c>
      <c r="F3249" s="36">
        <f t="array" ref="F3249">XLOOKUP(A3249,IMDB_Movies!I$2:I$3493,IMDB_Movies!P$2:P$3493)</f>
        <v>0</v>
      </c>
    </row>
    <row r="3250">
      <c r="A3250" s="20" t="s">
        <v>10195</v>
      </c>
      <c r="B3250" s="35">
        <f t="array" ref="B3250">XLOOKUP(A3250,IMDB_Movies!I$2:I$3493,IMDB_Movies!Q$2:Q$3493)</f>
        <v>0</v>
      </c>
      <c r="E3250" s="20" t="s">
        <v>10195</v>
      </c>
      <c r="F3250" s="36">
        <f t="array" ref="F3250">XLOOKUP(A3250,IMDB_Movies!I$2:I$3493,IMDB_Movies!P$2:P$3493)</f>
        <v>18201106</v>
      </c>
    </row>
    <row r="3251">
      <c r="A3251" s="32" t="s">
        <v>10198</v>
      </c>
      <c r="B3251" s="35">
        <f t="array" ref="B3251">XLOOKUP(A3251,IMDB_Movies!I$2:I$3493,IMDB_Movies!Q$2:Q$3493)</f>
        <v>0</v>
      </c>
      <c r="E3251" s="32" t="s">
        <v>10198</v>
      </c>
      <c r="F3251" s="36">
        <f t="array" ref="F3251">XLOOKUP(A3251,IMDB_Movies!I$2:I$3493,IMDB_Movies!P$2:P$3493)</f>
        <v>28200225</v>
      </c>
    </row>
    <row r="3252">
      <c r="A3252" s="24" t="s">
        <v>10201</v>
      </c>
      <c r="B3252" s="35">
        <f t="array" ref="B3252">XLOOKUP(A3252,IMDB_Movies!I$2:I$3493,IMDB_Movies!Q$2:Q$3493)</f>
        <v>24977277</v>
      </c>
      <c r="E3252" s="24" t="s">
        <v>10201</v>
      </c>
      <c r="F3252" s="36">
        <f t="array" ref="F3252">XLOOKUP(A3252,IMDB_Movies!I$2:I$3493,IMDB_Movies!P$2:P$3493)</f>
        <v>0</v>
      </c>
    </row>
    <row r="3253">
      <c r="A3253" s="24" t="s">
        <v>10204</v>
      </c>
      <c r="B3253" s="35">
        <f t="array" ref="B3253">XLOOKUP(A3253,IMDB_Movies!I$2:I$3493,IMDB_Movies!Q$2:Q$3493)</f>
        <v>2480678</v>
      </c>
      <c r="E3253" s="24" t="s">
        <v>10204</v>
      </c>
      <c r="F3253" s="36">
        <f t="array" ref="F3253">XLOOKUP(A3253,IMDB_Movies!I$2:I$3493,IMDB_Movies!P$2:P$3493)</f>
        <v>0</v>
      </c>
    </row>
    <row r="3254">
      <c r="A3254" s="20" t="s">
        <v>10208</v>
      </c>
      <c r="B3254" s="35">
        <f t="array" ref="B3254">XLOOKUP(A3254,IMDB_Movies!I$2:I$3493,IMDB_Movies!Q$2:Q$3493)</f>
        <v>3135041</v>
      </c>
      <c r="E3254" s="20" t="s">
        <v>10208</v>
      </c>
      <c r="F3254" s="36">
        <f t="array" ref="F3254">XLOOKUP(A3254,IMDB_Movies!I$2:I$3493,IMDB_Movies!P$2:P$3493)</f>
        <v>0</v>
      </c>
    </row>
    <row r="3255">
      <c r="A3255" s="28" t="s">
        <v>10212</v>
      </c>
      <c r="B3255" s="35">
        <f t="array" ref="B3255">XLOOKUP(A3255,IMDB_Movies!I$2:I$3493,IMDB_Movies!Q$2:Q$3493)</f>
        <v>17174509</v>
      </c>
      <c r="E3255" s="28" t="s">
        <v>10212</v>
      </c>
      <c r="F3255" s="36">
        <f t="array" ref="F3255">XLOOKUP(A3255,IMDB_Movies!I$2:I$3493,IMDB_Movies!P$2:P$3493)</f>
        <v>0</v>
      </c>
    </row>
    <row r="3256">
      <c r="A3256" s="32" t="s">
        <v>10214</v>
      </c>
      <c r="B3256" s="35">
        <f t="array" ref="B3256">XLOOKUP(A3256,IMDB_Movies!I$2:I$3493,IMDB_Movies!Q$2:Q$3493)</f>
        <v>0</v>
      </c>
      <c r="E3256" s="32" t="s">
        <v>10214</v>
      </c>
      <c r="F3256" s="36">
        <f t="array" ref="F3256">XLOOKUP(A3256,IMDB_Movies!I$2:I$3493,IMDB_Movies!P$2:P$3493)</f>
        <v>75502246</v>
      </c>
    </row>
    <row r="3257">
      <c r="A3257" s="28" t="s">
        <v>10217</v>
      </c>
      <c r="B3257" s="35">
        <f t="array" ref="B3257">XLOOKUP(A3257,IMDB_Movies!I$2:I$3493,IMDB_Movies!Q$2:Q$3493)</f>
        <v>35344410</v>
      </c>
      <c r="E3257" s="28" t="s">
        <v>10217</v>
      </c>
      <c r="F3257" s="36">
        <f t="array" ref="F3257">XLOOKUP(A3257,IMDB_Movies!I$2:I$3493,IMDB_Movies!P$2:P$3493)</f>
        <v>0</v>
      </c>
    </row>
    <row r="3258">
      <c r="A3258" s="20" t="s">
        <v>10220</v>
      </c>
      <c r="B3258" s="35">
        <f t="array" ref="B3258">XLOOKUP(A3258,IMDB_Movies!I$2:I$3493,IMDB_Movies!Q$2:Q$3493)</f>
        <v>0</v>
      </c>
      <c r="E3258" s="20" t="s">
        <v>10220</v>
      </c>
      <c r="F3258" s="36">
        <f t="array" ref="F3258">XLOOKUP(A3258,IMDB_Movies!I$2:I$3493,IMDB_Movies!P$2:P$3493)</f>
        <v>76107476</v>
      </c>
    </row>
    <row r="3259">
      <c r="A3259" s="20" t="s">
        <v>10223</v>
      </c>
      <c r="B3259" s="35">
        <f t="array" ref="B3259">XLOOKUP(A3259,IMDB_Movies!I$2:I$3493,IMDB_Movies!Q$2:Q$3493)</f>
        <v>0</v>
      </c>
      <c r="E3259" s="20" t="s">
        <v>10223</v>
      </c>
      <c r="F3259" s="36">
        <f t="array" ref="F3259">XLOOKUP(A3259,IMDB_Movies!I$2:I$3493,IMDB_Movies!P$2:P$3493)</f>
        <v>15230261</v>
      </c>
    </row>
    <row r="3260">
      <c r="A3260" s="20" t="s">
        <v>10226</v>
      </c>
      <c r="B3260" s="35">
        <f t="array" ref="B3260">XLOOKUP(A3260,IMDB_Movies!I$2:I$3493,IMDB_Movies!Q$2:Q$3493)</f>
        <v>0</v>
      </c>
      <c r="E3260" s="20" t="s">
        <v>10226</v>
      </c>
      <c r="F3260" s="36">
        <f t="array" ref="F3260">XLOOKUP(A3260,IMDB_Movies!I$2:I$3493,IMDB_Movies!P$2:P$3493)</f>
        <v>201437</v>
      </c>
    </row>
    <row r="3261">
      <c r="A3261" s="11" t="s">
        <v>10228</v>
      </c>
      <c r="B3261" s="35">
        <f t="array" ref="B3261">XLOOKUP(A3261,IMDB_Movies!I$2:I$3493,IMDB_Movies!Q$2:Q$3493)</f>
        <v>3742998</v>
      </c>
      <c r="E3261" s="11" t="s">
        <v>10228</v>
      </c>
      <c r="F3261" s="36">
        <f t="array" ref="F3261">XLOOKUP(A3261,IMDB_Movies!I$2:I$3493,IMDB_Movies!P$2:P$3493)</f>
        <v>0</v>
      </c>
    </row>
    <row r="3262">
      <c r="A3262" s="16" t="s">
        <v>10230</v>
      </c>
      <c r="B3262" s="35">
        <f t="array" ref="B3262">XLOOKUP(A3262,IMDB_Movies!I$2:I$3493,IMDB_Movies!Q$2:Q$3493)</f>
        <v>14360758</v>
      </c>
      <c r="E3262" s="16" t="s">
        <v>10230</v>
      </c>
      <c r="F3262" s="36">
        <f t="array" ref="F3262">XLOOKUP(A3262,IMDB_Movies!I$2:I$3493,IMDB_Movies!P$2:P$3493)</f>
        <v>0</v>
      </c>
    </row>
    <row r="3263">
      <c r="A3263" s="20" t="s">
        <v>10233</v>
      </c>
      <c r="B3263" s="35">
        <f t="array" ref="B3263">XLOOKUP(A3263,IMDB_Movies!I$2:I$3493,IMDB_Movies!Q$2:Q$3493)</f>
        <v>5245102</v>
      </c>
      <c r="E3263" s="20" t="s">
        <v>10233</v>
      </c>
      <c r="F3263" s="36">
        <f t="array" ref="F3263">XLOOKUP(A3263,IMDB_Movies!I$2:I$3493,IMDB_Movies!P$2:P$3493)</f>
        <v>0</v>
      </c>
    </row>
    <row r="3264">
      <c r="A3264" s="24" t="s">
        <v>10236</v>
      </c>
      <c r="B3264" s="35">
        <f t="array" ref="B3264">XLOOKUP(A3264,IMDB_Movies!I$2:I$3493,IMDB_Movies!Q$2:Q$3493)</f>
        <v>1476537</v>
      </c>
      <c r="E3264" s="24" t="s">
        <v>10236</v>
      </c>
      <c r="F3264" s="36">
        <f t="array" ref="F3264">XLOOKUP(A3264,IMDB_Movies!I$2:I$3493,IMDB_Movies!P$2:P$3493)</f>
        <v>0</v>
      </c>
    </row>
    <row r="3265">
      <c r="A3265" s="11" t="s">
        <v>10238</v>
      </c>
      <c r="B3265" s="35">
        <f t="array" ref="B3265">XLOOKUP(A3265,IMDB_Movies!I$2:I$3493,IMDB_Movies!Q$2:Q$3493)</f>
        <v>17403744</v>
      </c>
      <c r="E3265" s="11" t="s">
        <v>10238</v>
      </c>
      <c r="F3265" s="36">
        <f t="array" ref="F3265">XLOOKUP(A3265,IMDB_Movies!I$2:I$3493,IMDB_Movies!P$2:P$3493)</f>
        <v>0</v>
      </c>
    </row>
    <row r="3266">
      <c r="A3266" s="28" t="s">
        <v>10240</v>
      </c>
      <c r="B3266" s="35">
        <f t="array" ref="B3266">XLOOKUP(A3266,IMDB_Movies!I$2:I$3493,IMDB_Movies!Q$2:Q$3493)</f>
        <v>62902875</v>
      </c>
      <c r="E3266" s="28" t="s">
        <v>10240</v>
      </c>
      <c r="F3266" s="36">
        <f t="array" ref="F3266">XLOOKUP(A3266,IMDB_Movies!I$2:I$3493,IMDB_Movies!P$2:P$3493)</f>
        <v>0</v>
      </c>
    </row>
    <row r="3267">
      <c r="A3267" s="24" t="s">
        <v>10242</v>
      </c>
      <c r="B3267" s="35">
        <f t="array" ref="B3267">XLOOKUP(A3267,IMDB_Movies!I$2:I$3493,IMDB_Movies!Q$2:Q$3493)</f>
        <v>37894825</v>
      </c>
      <c r="E3267" s="24" t="s">
        <v>10242</v>
      </c>
      <c r="F3267" s="36">
        <f t="array" ref="F3267">XLOOKUP(A3267,IMDB_Movies!I$2:I$3493,IMDB_Movies!P$2:P$3493)</f>
        <v>0</v>
      </c>
    </row>
    <row r="3268">
      <c r="A3268" s="16" t="s">
        <v>10244</v>
      </c>
      <c r="B3268" s="35">
        <f t="array" ref="B3268">XLOOKUP(A3268,IMDB_Movies!I$2:I$3493,IMDB_Movies!Q$2:Q$3493)</f>
        <v>7246194</v>
      </c>
      <c r="E3268" s="16" t="s">
        <v>10244</v>
      </c>
      <c r="F3268" s="36">
        <f t="array" ref="F3268">XLOOKUP(A3268,IMDB_Movies!I$2:I$3493,IMDB_Movies!P$2:P$3493)</f>
        <v>0</v>
      </c>
    </row>
    <row r="3269">
      <c r="A3269" s="28" t="s">
        <v>10246</v>
      </c>
      <c r="B3269" s="35">
        <f t="array" ref="B3269">XLOOKUP(A3269,IMDB_Movies!I$2:I$3493,IMDB_Movies!Q$2:Q$3493)</f>
        <v>41457582</v>
      </c>
      <c r="E3269" s="28" t="s">
        <v>10246</v>
      </c>
      <c r="F3269" s="36">
        <f t="array" ref="F3269">XLOOKUP(A3269,IMDB_Movies!I$2:I$3493,IMDB_Movies!P$2:P$3493)</f>
        <v>0</v>
      </c>
    </row>
    <row r="3270">
      <c r="A3270" s="11" t="s">
        <v>10250</v>
      </c>
      <c r="B3270" s="35">
        <f t="array" ref="B3270">XLOOKUP(A3270,IMDB_Movies!I$2:I$3493,IMDB_Movies!Q$2:Q$3493)</f>
        <v>6784690</v>
      </c>
      <c r="E3270" s="11" t="s">
        <v>10250</v>
      </c>
      <c r="F3270" s="36">
        <f t="array" ref="F3270">XLOOKUP(A3270,IMDB_Movies!I$2:I$3493,IMDB_Movies!P$2:P$3493)</f>
        <v>0</v>
      </c>
    </row>
    <row r="3271">
      <c r="A3271" s="28" t="s">
        <v>10253</v>
      </c>
      <c r="B3271" s="35">
        <f t="array" ref="B3271">XLOOKUP(A3271,IMDB_Movies!I$2:I$3493,IMDB_Movies!Q$2:Q$3493)</f>
        <v>0</v>
      </c>
      <c r="E3271" s="28" t="s">
        <v>10253</v>
      </c>
      <c r="F3271" s="36">
        <f t="array" ref="F3271">XLOOKUP(A3271,IMDB_Movies!I$2:I$3493,IMDB_Movies!P$2:P$3493)</f>
        <v>18873374</v>
      </c>
    </row>
    <row r="3272">
      <c r="A3272" s="11" t="s">
        <v>10256</v>
      </c>
      <c r="B3272" s="35">
        <f t="array" ref="B3272">XLOOKUP(A3272,IMDB_Movies!I$2:I$3493,IMDB_Movies!Q$2:Q$3493)</f>
        <v>1047380</v>
      </c>
      <c r="E3272" s="11" t="s">
        <v>10256</v>
      </c>
      <c r="F3272" s="36">
        <f t="array" ref="F3272">XLOOKUP(A3272,IMDB_Movies!I$2:I$3493,IMDB_Movies!P$2:P$3493)</f>
        <v>0</v>
      </c>
    </row>
    <row r="3273">
      <c r="A3273" s="24" t="s">
        <v>10258</v>
      </c>
      <c r="B3273" s="35">
        <f t="array" ref="B3273">XLOOKUP(A3273,IMDB_Movies!I$2:I$3493,IMDB_Movies!Q$2:Q$3493)</f>
        <v>0</v>
      </c>
      <c r="E3273" s="24" t="s">
        <v>10258</v>
      </c>
      <c r="F3273" s="36">
        <f t="array" ref="F3273">XLOOKUP(A3273,IMDB_Movies!I$2:I$3493,IMDB_Movies!P$2:P$3493)</f>
        <v>147825435</v>
      </c>
    </row>
    <row r="3274">
      <c r="A3274" s="28" t="s">
        <v>10261</v>
      </c>
      <c r="B3274" s="35">
        <f t="array" ref="B3274">XLOOKUP(A3274,IMDB_Movies!I$2:I$3493,IMDB_Movies!Q$2:Q$3493)</f>
        <v>18586498</v>
      </c>
      <c r="E3274" s="28" t="s">
        <v>10261</v>
      </c>
      <c r="F3274" s="36">
        <f t="array" ref="F3274">XLOOKUP(A3274,IMDB_Movies!I$2:I$3493,IMDB_Movies!P$2:P$3493)</f>
        <v>0</v>
      </c>
    </row>
    <row r="3275">
      <c r="A3275" s="24" t="s">
        <v>10264</v>
      </c>
      <c r="B3275" s="35">
        <f t="array" ref="B3275">XLOOKUP(A3275,IMDB_Movies!I$2:I$3493,IMDB_Movies!Q$2:Q$3493)</f>
        <v>0</v>
      </c>
      <c r="E3275" s="24" t="s">
        <v>10264</v>
      </c>
      <c r="F3275" s="36">
        <f t="array" ref="F3275">XLOOKUP(A3275,IMDB_Movies!I$2:I$3493,IMDB_Movies!P$2:P$3493)</f>
        <v>8690000</v>
      </c>
    </row>
    <row r="3276">
      <c r="A3276" s="28" t="s">
        <v>10266</v>
      </c>
      <c r="B3276" s="35">
        <f t="array" ref="B3276">XLOOKUP(A3276,IMDB_Movies!I$2:I$3493,IMDB_Movies!Q$2:Q$3493)</f>
        <v>6198245</v>
      </c>
      <c r="E3276" s="28" t="s">
        <v>10266</v>
      </c>
      <c r="F3276" s="36">
        <f t="array" ref="F3276">XLOOKUP(A3276,IMDB_Movies!I$2:I$3493,IMDB_Movies!P$2:P$3493)</f>
        <v>0</v>
      </c>
    </row>
    <row r="3277">
      <c r="A3277" s="24" t="s">
        <v>10269</v>
      </c>
      <c r="B3277" s="35">
        <f t="array" ref="B3277">XLOOKUP(A3277,IMDB_Movies!I$2:I$3493,IMDB_Movies!Q$2:Q$3493)</f>
        <v>0</v>
      </c>
      <c r="E3277" s="24" t="s">
        <v>10269</v>
      </c>
      <c r="F3277" s="36">
        <f t="array" ref="F3277">XLOOKUP(A3277,IMDB_Movies!I$2:I$3493,IMDB_Movies!P$2:P$3493)</f>
        <v>150619</v>
      </c>
    </row>
    <row r="3278">
      <c r="A3278" s="32" t="s">
        <v>10273</v>
      </c>
      <c r="B3278" s="35">
        <f t="array" ref="B3278">XLOOKUP(A3278,IMDB_Movies!I$2:I$3493,IMDB_Movies!Q$2:Q$3493)</f>
        <v>0</v>
      </c>
      <c r="E3278" s="32" t="s">
        <v>10273</v>
      </c>
      <c r="F3278" s="36">
        <f t="array" ref="F3278">XLOOKUP(A3278,IMDB_Movies!I$2:I$3493,IMDB_Movies!P$2:P$3493)</f>
        <v>656942</v>
      </c>
    </row>
    <row r="3279">
      <c r="A3279" s="18" t="s">
        <v>10275</v>
      </c>
      <c r="B3279" s="35">
        <f t="array" ref="B3279">XLOOKUP(A3279,IMDB_Movies!I$2:I$3493,IMDB_Movies!Q$2:Q$3493)</f>
        <v>44925825</v>
      </c>
      <c r="E3279" s="18" t="s">
        <v>10275</v>
      </c>
      <c r="F3279" s="36">
        <f t="array" ref="F3279">XLOOKUP(A3279,IMDB_Movies!I$2:I$3493,IMDB_Movies!P$2:P$3493)</f>
        <v>0</v>
      </c>
    </row>
    <row r="3280">
      <c r="A3280" s="11" t="s">
        <v>10277</v>
      </c>
      <c r="B3280" s="35">
        <f t="array" ref="B3280">XLOOKUP(A3280,IMDB_Movies!I$2:I$3493,IMDB_Movies!Q$2:Q$3493)</f>
        <v>467355</v>
      </c>
      <c r="E3280" s="11" t="s">
        <v>10277</v>
      </c>
      <c r="F3280" s="36">
        <f t="array" ref="F3280">XLOOKUP(A3280,IMDB_Movies!I$2:I$3493,IMDB_Movies!P$2:P$3493)</f>
        <v>0</v>
      </c>
    </row>
    <row r="3281">
      <c r="A3281" s="24" t="s">
        <v>10279</v>
      </c>
      <c r="B3281" s="35">
        <f t="array" ref="B3281">XLOOKUP(A3281,IMDB_Movies!I$2:I$3493,IMDB_Movies!Q$2:Q$3493)</f>
        <v>24700000</v>
      </c>
      <c r="E3281" s="24" t="s">
        <v>10279</v>
      </c>
      <c r="F3281" s="36">
        <f t="array" ref="F3281">XLOOKUP(A3281,IMDB_Movies!I$2:I$3493,IMDB_Movies!P$2:P$3493)</f>
        <v>0</v>
      </c>
    </row>
    <row r="3282">
      <c r="A3282" s="20" t="s">
        <v>10282</v>
      </c>
      <c r="B3282" s="35">
        <f t="array" ref="B3282">XLOOKUP(A3282,IMDB_Movies!I$2:I$3493,IMDB_Movies!Q$2:Q$3493)</f>
        <v>0</v>
      </c>
      <c r="E3282" s="20" t="s">
        <v>10282</v>
      </c>
      <c r="F3282" s="36">
        <f t="array" ref="F3282">XLOOKUP(A3282,IMDB_Movies!I$2:I$3493,IMDB_Movies!P$2:P$3493)</f>
        <v>62519230</v>
      </c>
    </row>
    <row r="3283">
      <c r="A3283" s="11" t="s">
        <v>10286</v>
      </c>
      <c r="B3283" s="35">
        <f t="array" ref="B3283">XLOOKUP(A3283,IMDB_Movies!I$2:I$3493,IMDB_Movies!Q$2:Q$3493)</f>
        <v>3017368</v>
      </c>
      <c r="E3283" s="11" t="s">
        <v>10286</v>
      </c>
      <c r="F3283" s="36">
        <f t="array" ref="F3283">XLOOKUP(A3283,IMDB_Movies!I$2:I$3493,IMDB_Movies!P$2:P$3493)</f>
        <v>0</v>
      </c>
    </row>
    <row r="3284">
      <c r="A3284" s="20" t="s">
        <v>10289</v>
      </c>
      <c r="B3284" s="35">
        <f t="array" ref="B3284">XLOOKUP(A3284,IMDB_Movies!I$2:I$3493,IMDB_Movies!Q$2:Q$3493)</f>
        <v>0</v>
      </c>
      <c r="E3284" s="20" t="s">
        <v>10289</v>
      </c>
      <c r="F3284" s="36">
        <f t="array" ref="F3284">XLOOKUP(A3284,IMDB_Movies!I$2:I$3493,IMDB_Movies!P$2:P$3493)</f>
        <v>214984497</v>
      </c>
    </row>
    <row r="3285">
      <c r="A3285" s="16" t="s">
        <v>10291</v>
      </c>
      <c r="B3285" s="35">
        <f t="array" ref="B3285">XLOOKUP(A3285,IMDB_Movies!I$2:I$3493,IMDB_Movies!Q$2:Q$3493)</f>
        <v>0</v>
      </c>
      <c r="E3285" s="16" t="s">
        <v>10291</v>
      </c>
      <c r="F3285" s="36">
        <f t="array" ref="F3285">XLOOKUP(A3285,IMDB_Movies!I$2:I$3493,IMDB_Movies!P$2:P$3493)</f>
        <v>15097652</v>
      </c>
    </row>
    <row r="3286">
      <c r="A3286" s="20" t="s">
        <v>10294</v>
      </c>
      <c r="B3286" s="35">
        <f t="array" ref="B3286">XLOOKUP(A3286,IMDB_Movies!I$2:I$3493,IMDB_Movies!Q$2:Q$3493)</f>
        <v>0</v>
      </c>
      <c r="E3286" s="20" t="s">
        <v>10294</v>
      </c>
      <c r="F3286" s="36">
        <f t="array" ref="F3286">XLOOKUP(A3286,IMDB_Movies!I$2:I$3493,IMDB_Movies!P$2:P$3493)</f>
        <v>82922376</v>
      </c>
    </row>
    <row r="3287">
      <c r="A3287" s="20" t="s">
        <v>10297</v>
      </c>
      <c r="B3287" s="35">
        <f t="array" ref="B3287">XLOOKUP(A3287,IMDB_Movies!I$2:I$3493,IMDB_Movies!Q$2:Q$3493)</f>
        <v>23450000</v>
      </c>
      <c r="E3287" s="20" t="s">
        <v>10297</v>
      </c>
      <c r="F3287" s="36">
        <f t="array" ref="F3287">XLOOKUP(A3287,IMDB_Movies!I$2:I$3493,IMDB_Movies!P$2:P$3493)</f>
        <v>0</v>
      </c>
    </row>
    <row r="3288">
      <c r="A3288" s="20" t="s">
        <v>10302</v>
      </c>
      <c r="B3288" s="35">
        <f t="array" ref="B3288">XLOOKUP(A3288,IMDB_Movies!I$2:I$3493,IMDB_Movies!Q$2:Q$3493)</f>
        <v>0</v>
      </c>
      <c r="E3288" s="20" t="s">
        <v>10302</v>
      </c>
      <c r="F3288" s="36">
        <f t="array" ref="F3288">XLOOKUP(A3288,IMDB_Movies!I$2:I$3493,IMDB_Movies!P$2:P$3493)</f>
        <v>25672630</v>
      </c>
    </row>
    <row r="3289">
      <c r="A3289" s="28" t="s">
        <v>10304</v>
      </c>
      <c r="B3289" s="35">
        <f t="array" ref="B3289">XLOOKUP(A3289,IMDB_Movies!I$2:I$3493,IMDB_Movies!Q$2:Q$3493)</f>
        <v>0</v>
      </c>
      <c r="E3289" s="28" t="s">
        <v>10304</v>
      </c>
      <c r="F3289" s="36">
        <f t="array" ref="F3289">XLOOKUP(A3289,IMDB_Movies!I$2:I$3493,IMDB_Movies!P$2:P$3493)</f>
        <v>42698894</v>
      </c>
    </row>
    <row r="3290">
      <c r="A3290" s="11" t="s">
        <v>10306</v>
      </c>
      <c r="B3290" s="35">
        <f t="array" ref="B3290">XLOOKUP(A3290,IMDB_Movies!I$2:I$3493,IMDB_Movies!Q$2:Q$3493)</f>
        <v>0</v>
      </c>
      <c r="E3290" s="11" t="s">
        <v>10306</v>
      </c>
      <c r="F3290" s="36">
        <f t="array" ref="F3290">XLOOKUP(A3290,IMDB_Movies!I$2:I$3493,IMDB_Movies!P$2:P$3493)</f>
        <v>55001343</v>
      </c>
    </row>
    <row r="3291">
      <c r="A3291" s="32" t="s">
        <v>10309</v>
      </c>
      <c r="B3291" s="35">
        <f t="array" ref="B3291">XLOOKUP(A3291,IMDB_Movies!I$2:I$3493,IMDB_Movies!Q$2:Q$3493)</f>
        <v>42845460</v>
      </c>
      <c r="E3291" s="32" t="s">
        <v>10309</v>
      </c>
      <c r="F3291" s="36">
        <f t="array" ref="F3291">XLOOKUP(A3291,IMDB_Movies!I$2:I$3493,IMDB_Movies!P$2:P$3493)</f>
        <v>0</v>
      </c>
    </row>
    <row r="3292">
      <c r="A3292" s="11" t="s">
        <v>10312</v>
      </c>
      <c r="B3292" s="35">
        <f t="array" ref="B3292">XLOOKUP(A3292,IMDB_Movies!I$2:I$3493,IMDB_Movies!Q$2:Q$3493)</f>
        <v>17918075</v>
      </c>
      <c r="E3292" s="11" t="s">
        <v>10312</v>
      </c>
      <c r="F3292" s="36">
        <f t="array" ref="F3292">XLOOKUP(A3292,IMDB_Movies!I$2:I$3493,IMDB_Movies!P$2:P$3493)</f>
        <v>0</v>
      </c>
    </row>
    <row r="3293">
      <c r="A3293" s="24" t="s">
        <v>10316</v>
      </c>
      <c r="B3293" s="35">
        <f t="array" ref="B3293">XLOOKUP(A3293,IMDB_Movies!I$2:I$3493,IMDB_Movies!Q$2:Q$3493)</f>
        <v>0</v>
      </c>
      <c r="E3293" s="24" t="s">
        <v>10316</v>
      </c>
      <c r="F3293" s="36">
        <f t="array" ref="F3293">XLOOKUP(A3293,IMDB_Movies!I$2:I$3493,IMDB_Movies!P$2:P$3493)</f>
        <v>36154094</v>
      </c>
    </row>
    <row r="3294">
      <c r="A3294" s="11" t="s">
        <v>10319</v>
      </c>
      <c r="B3294" s="35">
        <f t="array" ref="B3294">XLOOKUP(A3294,IMDB_Movies!I$2:I$3493,IMDB_Movies!Q$2:Q$3493)</f>
        <v>0</v>
      </c>
      <c r="E3294" s="11" t="s">
        <v>10319</v>
      </c>
      <c r="F3294" s="36">
        <f t="array" ref="F3294">XLOOKUP(A3294,IMDB_Movies!I$2:I$3493,IMDB_Movies!P$2:P$3493)</f>
        <v>48197993</v>
      </c>
    </row>
    <row r="3295">
      <c r="A3295" s="32" t="s">
        <v>10321</v>
      </c>
      <c r="B3295" s="35">
        <f t="array" ref="B3295">XLOOKUP(A3295,IMDB_Movies!I$2:I$3493,IMDB_Movies!Q$2:Q$3493)</f>
        <v>22654469</v>
      </c>
      <c r="E3295" s="32" t="s">
        <v>10321</v>
      </c>
      <c r="F3295" s="36">
        <f t="array" ref="F3295">XLOOKUP(A3295,IMDB_Movies!I$2:I$3493,IMDB_Movies!P$2:P$3493)</f>
        <v>0</v>
      </c>
    </row>
    <row r="3296">
      <c r="A3296" s="11" t="s">
        <v>10323</v>
      </c>
      <c r="B3296" s="35">
        <f t="array" ref="B3296">XLOOKUP(A3296,IMDB_Movies!I$2:I$3493,IMDB_Movies!Q$2:Q$3493)</f>
        <v>74679997</v>
      </c>
      <c r="E3296" s="11" t="s">
        <v>10323</v>
      </c>
      <c r="F3296" s="36">
        <f t="array" ref="F3296">XLOOKUP(A3296,IMDB_Movies!I$2:I$3493,IMDB_Movies!P$2:P$3493)</f>
        <v>0</v>
      </c>
    </row>
    <row r="3297">
      <c r="A3297" s="24" t="s">
        <v>10325</v>
      </c>
      <c r="B3297" s="35">
        <f t="array" ref="B3297">XLOOKUP(A3297,IMDB_Movies!I$2:I$3493,IMDB_Movies!Q$2:Q$3493)</f>
        <v>24008619</v>
      </c>
      <c r="E3297" s="24" t="s">
        <v>10325</v>
      </c>
      <c r="F3297" s="36">
        <f t="array" ref="F3297">XLOOKUP(A3297,IMDB_Movies!I$2:I$3493,IMDB_Movies!P$2:P$3493)</f>
        <v>0</v>
      </c>
    </row>
    <row r="3298">
      <c r="A3298" s="24" t="s">
        <v>10329</v>
      </c>
      <c r="B3298" s="35">
        <f t="array" ref="B3298">XLOOKUP(A3298,IMDB_Movies!I$2:I$3493,IMDB_Movies!Q$2:Q$3493)</f>
        <v>3900000</v>
      </c>
      <c r="E3298" s="24" t="s">
        <v>10329</v>
      </c>
      <c r="F3298" s="36">
        <f t="array" ref="F3298">XLOOKUP(A3298,IMDB_Movies!I$2:I$3493,IMDB_Movies!P$2:P$3493)</f>
        <v>0</v>
      </c>
    </row>
    <row r="3299">
      <c r="A3299" s="16" t="s">
        <v>10331</v>
      </c>
      <c r="B3299" s="35">
        <f t="array" ref="B3299">XLOOKUP(A3299,IMDB_Movies!I$2:I$3493,IMDB_Movies!Q$2:Q$3493)</f>
        <v>0</v>
      </c>
      <c r="E3299" s="16" t="s">
        <v>10331</v>
      </c>
      <c r="F3299" s="36">
        <f t="array" ref="F3299">XLOOKUP(A3299,IMDB_Movies!I$2:I$3493,IMDB_Movies!P$2:P$3493)</f>
        <v>19999143</v>
      </c>
    </row>
    <row r="3300">
      <c r="A3300" s="32" t="s">
        <v>10333</v>
      </c>
      <c r="B3300" s="35">
        <f t="array" ref="B3300">XLOOKUP(A3300,IMDB_Movies!I$2:I$3493,IMDB_Movies!Q$2:Q$3493)</f>
        <v>0</v>
      </c>
      <c r="E3300" s="32" t="s">
        <v>10333</v>
      </c>
      <c r="F3300" s="36">
        <f t="array" ref="F3300">XLOOKUP(A3300,IMDB_Movies!I$2:I$3493,IMDB_Movies!P$2:P$3493)</f>
        <v>10685267</v>
      </c>
    </row>
    <row r="3301">
      <c r="A3301" s="11" t="s">
        <v>10336</v>
      </c>
      <c r="B3301" s="35">
        <f t="array" ref="B3301">XLOOKUP(A3301,IMDB_Movies!I$2:I$3493,IMDB_Movies!Q$2:Q$3493)</f>
        <v>1947834</v>
      </c>
      <c r="E3301" s="11" t="s">
        <v>10336</v>
      </c>
      <c r="F3301" s="36">
        <f t="array" ref="F3301">XLOOKUP(A3301,IMDB_Movies!I$2:I$3493,IMDB_Movies!P$2:P$3493)</f>
        <v>0</v>
      </c>
    </row>
    <row r="3302">
      <c r="A3302" s="11" t="s">
        <v>10338</v>
      </c>
      <c r="B3302" s="35">
        <f t="array" ref="B3302">XLOOKUP(A3302,IMDB_Movies!I$2:I$3493,IMDB_Movies!Q$2:Q$3493)</f>
        <v>0</v>
      </c>
      <c r="E3302" s="11" t="s">
        <v>10338</v>
      </c>
      <c r="F3302" s="36">
        <f t="array" ref="F3302">XLOOKUP(A3302,IMDB_Movies!I$2:I$3493,IMDB_Movies!P$2:P$3493)</f>
        <v>21629916</v>
      </c>
    </row>
    <row r="3303">
      <c r="A3303" s="20" t="s">
        <v>10340</v>
      </c>
      <c r="B3303" s="35">
        <f t="array" ref="B3303">XLOOKUP(A3303,IMDB_Movies!I$2:I$3493,IMDB_Movies!Q$2:Q$3493)</f>
        <v>0</v>
      </c>
      <c r="E3303" s="20" t="s">
        <v>10340</v>
      </c>
      <c r="F3303" s="36">
        <f t="array" ref="F3303">XLOOKUP(A3303,IMDB_Movies!I$2:I$3493,IMDB_Movies!P$2:P$3493)</f>
        <v>111088910</v>
      </c>
    </row>
    <row r="3304">
      <c r="A3304" s="20" t="s">
        <v>10343</v>
      </c>
      <c r="B3304" s="35">
        <f t="array" ref="B3304">XLOOKUP(A3304,IMDB_Movies!I$2:I$3493,IMDB_Movies!Q$2:Q$3493)</f>
        <v>0</v>
      </c>
      <c r="E3304" s="20" t="s">
        <v>10343</v>
      </c>
      <c r="F3304" s="36">
        <f t="array" ref="F3304">XLOOKUP(A3304,IMDB_Movies!I$2:I$3493,IMDB_Movies!P$2:P$3493)</f>
        <v>11122105</v>
      </c>
    </row>
    <row r="3305">
      <c r="A3305" s="11" t="s">
        <v>10346</v>
      </c>
      <c r="B3305" s="35">
        <f t="array" ref="B3305">XLOOKUP(A3305,IMDB_Movies!I$2:I$3493,IMDB_Movies!Q$2:Q$3493)</f>
        <v>7601372</v>
      </c>
      <c r="E3305" s="11" t="s">
        <v>10346</v>
      </c>
      <c r="F3305" s="36">
        <f t="array" ref="F3305">XLOOKUP(A3305,IMDB_Movies!I$2:I$3493,IMDB_Movies!P$2:P$3493)</f>
        <v>0</v>
      </c>
    </row>
    <row r="3306">
      <c r="A3306" s="16" t="s">
        <v>10349</v>
      </c>
      <c r="B3306" s="35">
        <f t="array" ref="B3306">XLOOKUP(A3306,IMDB_Movies!I$2:I$3493,IMDB_Movies!Q$2:Q$3493)</f>
        <v>0</v>
      </c>
      <c r="E3306" s="16" t="s">
        <v>10349</v>
      </c>
      <c r="F3306" s="36">
        <f t="array" ref="F3306">XLOOKUP(A3306,IMDB_Movies!I$2:I$3493,IMDB_Movies!P$2:P$3493)</f>
        <v>32951479</v>
      </c>
    </row>
    <row r="3307">
      <c r="A3307" s="28" t="s">
        <v>10351</v>
      </c>
      <c r="B3307" s="35">
        <f t="array" ref="B3307">XLOOKUP(A3307,IMDB_Movies!I$2:I$3493,IMDB_Movies!Q$2:Q$3493)</f>
        <v>693303</v>
      </c>
      <c r="E3307" s="28" t="s">
        <v>10351</v>
      </c>
      <c r="F3307" s="36">
        <f t="array" ref="F3307">XLOOKUP(A3307,IMDB_Movies!I$2:I$3493,IMDB_Movies!P$2:P$3493)</f>
        <v>0</v>
      </c>
    </row>
    <row r="3308">
      <c r="A3308" s="11" t="s">
        <v>10354</v>
      </c>
      <c r="B3308" s="35">
        <f t="array" ref="B3308">XLOOKUP(A3308,IMDB_Movies!I$2:I$3493,IMDB_Movies!Q$2:Q$3493)</f>
        <v>0</v>
      </c>
      <c r="E3308" s="11" t="s">
        <v>10354</v>
      </c>
      <c r="F3308" s="36">
        <f t="array" ref="F3308">XLOOKUP(A3308,IMDB_Movies!I$2:I$3493,IMDB_Movies!P$2:P$3493)</f>
        <v>1445438</v>
      </c>
    </row>
    <row r="3309">
      <c r="A3309" s="20" t="s">
        <v>10358</v>
      </c>
      <c r="B3309" s="35">
        <f t="array" ref="B3309">XLOOKUP(A3309,IMDB_Movies!I$2:I$3493,IMDB_Movies!Q$2:Q$3493)</f>
        <v>953049</v>
      </c>
      <c r="E3309" s="20" t="s">
        <v>10358</v>
      </c>
      <c r="F3309" s="36">
        <f t="array" ref="F3309">XLOOKUP(A3309,IMDB_Movies!I$2:I$3493,IMDB_Movies!P$2:P$3493)</f>
        <v>0</v>
      </c>
    </row>
    <row r="3310">
      <c r="A3310" s="11" t="s">
        <v>10361</v>
      </c>
      <c r="B3310" s="35">
        <f t="array" ref="B3310">XLOOKUP(A3310,IMDB_Movies!I$2:I$3493,IMDB_Movies!Q$2:Q$3493)</f>
        <v>0</v>
      </c>
      <c r="E3310" s="11" t="s">
        <v>10361</v>
      </c>
      <c r="F3310" s="36">
        <f t="array" ref="F3310">XLOOKUP(A3310,IMDB_Movies!I$2:I$3493,IMDB_Movies!P$2:P$3493)</f>
        <v>157326336</v>
      </c>
    </row>
    <row r="3311">
      <c r="A3311" s="11" t="s">
        <v>10363</v>
      </c>
      <c r="B3311" s="35">
        <f t="array" ref="B3311">XLOOKUP(A3311,IMDB_Movies!I$2:I$3493,IMDB_Movies!Q$2:Q$3493)</f>
        <v>0</v>
      </c>
      <c r="E3311" s="11" t="s">
        <v>10363</v>
      </c>
      <c r="F3311" s="36">
        <f t="array" ref="F3311">XLOOKUP(A3311,IMDB_Movies!I$2:I$3493,IMDB_Movies!P$2:P$3493)</f>
        <v>22981571</v>
      </c>
    </row>
    <row r="3312">
      <c r="A3312" s="20" t="s">
        <v>10365</v>
      </c>
      <c r="B3312" s="35">
        <f t="array" ref="B3312">XLOOKUP(A3312,IMDB_Movies!I$2:I$3493,IMDB_Movies!Q$2:Q$3493)</f>
        <v>20761389</v>
      </c>
      <c r="E3312" s="20" t="s">
        <v>10365</v>
      </c>
      <c r="F3312" s="36">
        <f t="array" ref="F3312">XLOOKUP(A3312,IMDB_Movies!I$2:I$3493,IMDB_Movies!P$2:P$3493)</f>
        <v>0</v>
      </c>
    </row>
    <row r="3313">
      <c r="A3313" s="11" t="s">
        <v>10367</v>
      </c>
      <c r="B3313" s="35">
        <f t="array" ref="B3313">XLOOKUP(A3313,IMDB_Movies!I$2:I$3493,IMDB_Movies!Q$2:Q$3493)</f>
        <v>5515935</v>
      </c>
      <c r="E3313" s="11" t="s">
        <v>10367</v>
      </c>
      <c r="F3313" s="36">
        <f t="array" ref="F3313">XLOOKUP(A3313,IMDB_Movies!I$2:I$3493,IMDB_Movies!P$2:P$3493)</f>
        <v>0</v>
      </c>
    </row>
    <row r="3314">
      <c r="A3314" s="11" t="s">
        <v>10370</v>
      </c>
      <c r="B3314" s="35">
        <f t="array" ref="B3314">XLOOKUP(A3314,IMDB_Movies!I$2:I$3493,IMDB_Movies!Q$2:Q$3493)</f>
        <v>0</v>
      </c>
      <c r="E3314" s="11" t="s">
        <v>10370</v>
      </c>
      <c r="F3314" s="36">
        <f t="array" ref="F3314">XLOOKUP(A3314,IMDB_Movies!I$2:I$3493,IMDB_Movies!P$2:P$3493)</f>
        <v>15218903</v>
      </c>
    </row>
    <row r="3315">
      <c r="A3315" s="11" t="s">
        <v>10372</v>
      </c>
      <c r="B3315" s="35">
        <f t="array" ref="B3315">XLOOKUP(A3315,IMDB_Movies!I$2:I$3493,IMDB_Movies!Q$2:Q$3493)</f>
        <v>0</v>
      </c>
      <c r="E3315" s="11" t="s">
        <v>10372</v>
      </c>
      <c r="F3315" s="36">
        <f t="array" ref="F3315">XLOOKUP(A3315,IMDB_Movies!I$2:I$3493,IMDB_Movies!P$2:P$3493)</f>
        <v>36885587</v>
      </c>
    </row>
    <row r="3316">
      <c r="A3316" s="20" t="s">
        <v>10374</v>
      </c>
      <c r="B3316" s="35">
        <f t="array" ref="B3316">XLOOKUP(A3316,IMDB_Movies!I$2:I$3493,IMDB_Movies!Q$2:Q$3493)</f>
        <v>0</v>
      </c>
      <c r="E3316" s="20" t="s">
        <v>10374</v>
      </c>
      <c r="F3316" s="36">
        <f t="array" ref="F3316">XLOOKUP(A3316,IMDB_Movies!I$2:I$3493,IMDB_Movies!P$2:P$3493)</f>
        <v>3746915</v>
      </c>
    </row>
    <row r="3317">
      <c r="A3317" s="28" t="s">
        <v>10377</v>
      </c>
      <c r="B3317" s="35">
        <f t="array" ref="B3317">XLOOKUP(A3317,IMDB_Movies!I$2:I$3493,IMDB_Movies!Q$2:Q$3493)</f>
        <v>0</v>
      </c>
      <c r="E3317" s="28" t="s">
        <v>10377</v>
      </c>
      <c r="F3317" s="36">
        <f t="array" ref="F3317">XLOOKUP(A3317,IMDB_Movies!I$2:I$3493,IMDB_Movies!P$2:P$3493)</f>
        <v>31359959</v>
      </c>
    </row>
    <row r="3318">
      <c r="A3318" s="24" t="s">
        <v>10381</v>
      </c>
      <c r="B3318" s="35">
        <f t="array" ref="B3318">XLOOKUP(A3318,IMDB_Movies!I$2:I$3493,IMDB_Movies!Q$2:Q$3493)</f>
        <v>0</v>
      </c>
      <c r="E3318" s="24" t="s">
        <v>10381</v>
      </c>
      <c r="F3318" s="36">
        <f t="array" ref="F3318">XLOOKUP(A3318,IMDB_Movies!I$2:I$3493,IMDB_Movies!P$2:P$3493)</f>
        <v>79900000</v>
      </c>
    </row>
    <row r="3319">
      <c r="A3319" s="32" t="s">
        <v>10383</v>
      </c>
      <c r="B3319" s="35">
        <f t="array" ref="B3319">XLOOKUP(A3319,IMDB_Movies!I$2:I$3493,IMDB_Movies!Q$2:Q$3493)</f>
        <v>0</v>
      </c>
      <c r="E3319" s="32" t="s">
        <v>10383</v>
      </c>
      <c r="F3319" s="36">
        <f t="array" ref="F3319">XLOOKUP(A3319,IMDB_Movies!I$2:I$3493,IMDB_Movies!P$2:P$3493)</f>
        <v>149688385</v>
      </c>
    </row>
    <row r="3320">
      <c r="A3320" s="20" t="s">
        <v>10386</v>
      </c>
      <c r="B3320" s="35">
        <f t="array" ref="B3320">XLOOKUP(A3320,IMDB_Movies!I$2:I$3493,IMDB_Movies!Q$2:Q$3493)</f>
        <v>0</v>
      </c>
      <c r="E3320" s="20" t="s">
        <v>10386</v>
      </c>
      <c r="F3320" s="36">
        <f t="array" ref="F3320">XLOOKUP(A3320,IMDB_Movies!I$2:I$3493,IMDB_Movies!P$2:P$3493)</f>
        <v>29098051</v>
      </c>
    </row>
    <row r="3321">
      <c r="A3321" s="11" t="s">
        <v>10390</v>
      </c>
      <c r="B3321" s="35">
        <f t="array" ref="B3321">XLOOKUP(A3321,IMDB_Movies!I$2:I$3493,IMDB_Movies!Q$2:Q$3493)</f>
        <v>1539005</v>
      </c>
      <c r="E3321" s="11" t="s">
        <v>10390</v>
      </c>
      <c r="F3321" s="36">
        <f t="array" ref="F3321">XLOOKUP(A3321,IMDB_Movies!I$2:I$3493,IMDB_Movies!P$2:P$3493)</f>
        <v>0</v>
      </c>
    </row>
    <row r="3322">
      <c r="A3322" s="28" t="s">
        <v>10392</v>
      </c>
      <c r="B3322" s="35">
        <f t="array" ref="B3322">XLOOKUP(A3322,IMDB_Movies!I$2:I$3493,IMDB_Movies!Q$2:Q$3493)</f>
        <v>0</v>
      </c>
      <c r="E3322" s="28" t="s">
        <v>10392</v>
      </c>
      <c r="F3322" s="36">
        <f t="array" ref="F3322">XLOOKUP(A3322,IMDB_Movies!I$2:I$3493,IMDB_Movies!P$2:P$3493)</f>
        <v>110071312</v>
      </c>
    </row>
    <row r="3323">
      <c r="A3323" s="32" t="s">
        <v>10394</v>
      </c>
      <c r="B3323" s="35">
        <f t="array" ref="B3323">XLOOKUP(A3323,IMDB_Movies!I$2:I$3493,IMDB_Movies!Q$2:Q$3493)</f>
        <v>0</v>
      </c>
      <c r="E3323" s="32" t="s">
        <v>10394</v>
      </c>
      <c r="F3323" s="36">
        <f t="array" ref="F3323">XLOOKUP(A3323,IMDB_Movies!I$2:I$3493,IMDB_Movies!P$2:P$3493)</f>
        <v>101340178</v>
      </c>
    </row>
    <row r="3324">
      <c r="A3324" s="11" t="s">
        <v>10398</v>
      </c>
      <c r="B3324" s="35">
        <f t="array" ref="B3324">XLOOKUP(A3324,IMDB_Movies!I$2:I$3493,IMDB_Movies!Q$2:Q$3493)</f>
        <v>8164216</v>
      </c>
      <c r="E3324" s="11" t="s">
        <v>10398</v>
      </c>
      <c r="F3324" s="36">
        <f t="array" ref="F3324">XLOOKUP(A3324,IMDB_Movies!I$2:I$3493,IMDB_Movies!P$2:P$3493)</f>
        <v>0</v>
      </c>
    </row>
    <row r="3325">
      <c r="A3325" s="11" t="s">
        <v>10400</v>
      </c>
      <c r="B3325" s="35">
        <f t="array" ref="B3325">XLOOKUP(A3325,IMDB_Movies!I$2:I$3493,IMDB_Movies!Q$2:Q$3493)</f>
        <v>9352616</v>
      </c>
      <c r="E3325" s="11" t="s">
        <v>10400</v>
      </c>
      <c r="F3325" s="36">
        <f t="array" ref="F3325">XLOOKUP(A3325,IMDB_Movies!I$2:I$3493,IMDB_Movies!P$2:P$3493)</f>
        <v>0</v>
      </c>
    </row>
    <row r="3326">
      <c r="A3326" s="20" t="s">
        <v>10402</v>
      </c>
      <c r="B3326" s="35">
        <f t="array" ref="B3326">XLOOKUP(A3326,IMDB_Movies!I$2:I$3493,IMDB_Movies!Q$2:Q$3493)</f>
        <v>0</v>
      </c>
      <c r="E3326" s="20" t="s">
        <v>10402</v>
      </c>
      <c r="F3326" s="36">
        <f t="array" ref="F3326">XLOOKUP(A3326,IMDB_Movies!I$2:I$3493,IMDB_Movies!P$2:P$3493)</f>
        <v>8311368</v>
      </c>
    </row>
    <row r="3327">
      <c r="A3327" s="24" t="s">
        <v>10404</v>
      </c>
      <c r="B3327" s="35">
        <f t="array" ref="B3327">XLOOKUP(A3327,IMDB_Movies!I$2:I$3493,IMDB_Movies!Q$2:Q$3493)</f>
        <v>38434505</v>
      </c>
      <c r="E3327" s="24" t="s">
        <v>10404</v>
      </c>
      <c r="F3327" s="36">
        <f t="array" ref="F3327">XLOOKUP(A3327,IMDB_Movies!I$2:I$3493,IMDB_Movies!P$2:P$3493)</f>
        <v>0</v>
      </c>
    </row>
    <row r="3328">
      <c r="A3328" s="28" t="s">
        <v>10406</v>
      </c>
      <c r="B3328" s="35">
        <f t="array" ref="B3328">XLOOKUP(A3328,IMDB_Movies!I$2:I$3493,IMDB_Movies!Q$2:Q$3493)</f>
        <v>0</v>
      </c>
      <c r="E3328" s="28" t="s">
        <v>10406</v>
      </c>
      <c r="F3328" s="36">
        <f t="array" ref="F3328">XLOOKUP(A3328,IMDB_Movies!I$2:I$3493,IMDB_Movies!P$2:P$3493)</f>
        <v>155965690</v>
      </c>
    </row>
    <row r="3329">
      <c r="A3329" s="20" t="s">
        <v>10408</v>
      </c>
      <c r="B3329" s="35">
        <f t="array" ref="B3329">XLOOKUP(A3329,IMDB_Movies!I$2:I$3493,IMDB_Movies!Q$2:Q$3493)</f>
        <v>0</v>
      </c>
      <c r="E3329" s="20" t="s">
        <v>10408</v>
      </c>
      <c r="F3329" s="36">
        <f t="array" ref="F3329">XLOOKUP(A3329,IMDB_Movies!I$2:I$3493,IMDB_Movies!P$2:P$3493)</f>
        <v>14474048</v>
      </c>
    </row>
    <row r="3330">
      <c r="A3330" s="28" t="s">
        <v>10410</v>
      </c>
      <c r="B3330" s="35">
        <f t="array" ref="B3330">XLOOKUP(A3330,IMDB_Movies!I$2:I$3493,IMDB_Movies!Q$2:Q$3493)</f>
        <v>19292673</v>
      </c>
      <c r="E3330" s="28" t="s">
        <v>10410</v>
      </c>
      <c r="F3330" s="36">
        <f t="array" ref="F3330">XLOOKUP(A3330,IMDB_Movies!I$2:I$3493,IMDB_Movies!P$2:P$3493)</f>
        <v>0</v>
      </c>
    </row>
    <row r="3331">
      <c r="A3331" s="11" t="s">
        <v>10412</v>
      </c>
      <c r="B3331" s="35">
        <f t="array" ref="B3331">XLOOKUP(A3331,IMDB_Movies!I$2:I$3493,IMDB_Movies!Q$2:Q$3493)</f>
        <v>0</v>
      </c>
      <c r="E3331" s="11" t="s">
        <v>10412</v>
      </c>
      <c r="F3331" s="36">
        <f t="array" ref="F3331">XLOOKUP(A3331,IMDB_Movies!I$2:I$3493,IMDB_Movies!P$2:P$3493)</f>
        <v>1612029</v>
      </c>
    </row>
    <row r="3332">
      <c r="A3332" s="28" t="s">
        <v>10414</v>
      </c>
      <c r="B3332" s="35">
        <f t="array" ref="B3332">XLOOKUP(A3332,IMDB_Movies!I$2:I$3493,IMDB_Movies!Q$2:Q$3493)</f>
        <v>0</v>
      </c>
      <c r="E3332" s="28" t="s">
        <v>10414</v>
      </c>
      <c r="F3332" s="36">
        <f t="array" ref="F3332">XLOOKUP(A3332,IMDB_Movies!I$2:I$3493,IMDB_Movies!P$2:P$3493)</f>
        <v>7592632</v>
      </c>
    </row>
    <row r="3333">
      <c r="A3333" s="20" t="s">
        <v>10416</v>
      </c>
      <c r="B3333" s="35">
        <f t="array" ref="B3333">XLOOKUP(A3333,IMDB_Movies!I$2:I$3493,IMDB_Movies!Q$2:Q$3493)</f>
        <v>0</v>
      </c>
      <c r="E3333" s="20" t="s">
        <v>10416</v>
      </c>
      <c r="F3333" s="36">
        <f t="array" ref="F3333">XLOOKUP(A3333,IMDB_Movies!I$2:I$3493,IMDB_Movies!P$2:P$3493)</f>
        <v>155200000</v>
      </c>
    </row>
    <row r="3334">
      <c r="A3334" s="20" t="s">
        <v>10421</v>
      </c>
      <c r="B3334" s="35">
        <f t="array" ref="B3334">XLOOKUP(A3334,IMDB_Movies!I$2:I$3493,IMDB_Movies!Q$2:Q$3493)</f>
        <v>0</v>
      </c>
      <c r="E3334" s="20" t="s">
        <v>10421</v>
      </c>
      <c r="F3334" s="36">
        <f t="array" ref="F3334">XLOOKUP(A3334,IMDB_Movies!I$2:I$3493,IMDB_Movies!P$2:P$3493)</f>
        <v>300000</v>
      </c>
    </row>
    <row r="3335">
      <c r="A3335" s="24" t="s">
        <v>10423</v>
      </c>
      <c r="B3335" s="35">
        <f t="array" ref="B3335">XLOOKUP(A3335,IMDB_Movies!I$2:I$3493,IMDB_Movies!Q$2:Q$3493)</f>
        <v>21621647</v>
      </c>
      <c r="E3335" s="24" t="s">
        <v>10423</v>
      </c>
      <c r="F3335" s="36">
        <f t="array" ref="F3335">XLOOKUP(A3335,IMDB_Movies!I$2:I$3493,IMDB_Movies!P$2:P$3493)</f>
        <v>0</v>
      </c>
    </row>
    <row r="3336">
      <c r="A3336" s="32" t="s">
        <v>10425</v>
      </c>
      <c r="B3336" s="35">
        <f t="array" ref="B3336">XLOOKUP(A3336,IMDB_Movies!I$2:I$3493,IMDB_Movies!Q$2:Q$3493)</f>
        <v>0</v>
      </c>
      <c r="E3336" s="32" t="s">
        <v>10425</v>
      </c>
      <c r="F3336" s="36">
        <f t="array" ref="F3336">XLOOKUP(A3336,IMDB_Movies!I$2:I$3493,IMDB_Movies!P$2:P$3493)</f>
        <v>111727000</v>
      </c>
    </row>
    <row r="3337">
      <c r="A3337" s="11" t="s">
        <v>10428</v>
      </c>
      <c r="B3337" s="35">
        <f t="array" ref="B3337">XLOOKUP(A3337,IMDB_Movies!I$2:I$3493,IMDB_Movies!Q$2:Q$3493)</f>
        <v>22505025</v>
      </c>
      <c r="E3337" s="11" t="s">
        <v>10428</v>
      </c>
      <c r="F3337" s="36">
        <f t="array" ref="F3337">XLOOKUP(A3337,IMDB_Movies!I$2:I$3493,IMDB_Movies!P$2:P$3493)</f>
        <v>0</v>
      </c>
    </row>
    <row r="3338">
      <c r="A3338" s="20" t="s">
        <v>10430</v>
      </c>
      <c r="B3338" s="35">
        <f t="array" ref="B3338">XLOOKUP(A3338,IMDB_Movies!I$2:I$3493,IMDB_Movies!Q$2:Q$3493)</f>
        <v>0</v>
      </c>
      <c r="E3338" s="20" t="s">
        <v>10430</v>
      </c>
      <c r="F3338" s="36">
        <f t="array" ref="F3338">XLOOKUP(A3338,IMDB_Movies!I$2:I$3493,IMDB_Movies!P$2:P$3493)</f>
        <v>70422786</v>
      </c>
    </row>
    <row r="3339">
      <c r="A3339" s="20" t="s">
        <v>10432</v>
      </c>
      <c r="B3339" s="35">
        <f t="array" ref="B3339">XLOOKUP(A3339,IMDB_Movies!I$2:I$3493,IMDB_Movies!Q$2:Q$3493)</f>
        <v>0</v>
      </c>
      <c r="E3339" s="20" t="s">
        <v>10432</v>
      </c>
      <c r="F3339" s="36">
        <f t="array" ref="F3339">XLOOKUP(A3339,IMDB_Movies!I$2:I$3493,IMDB_Movies!P$2:P$3493)</f>
        <v>36377022</v>
      </c>
    </row>
    <row r="3340">
      <c r="A3340" s="11" t="s">
        <v>10434</v>
      </c>
      <c r="B3340" s="35">
        <f t="array" ref="B3340">XLOOKUP(A3340,IMDB_Movies!I$2:I$3493,IMDB_Movies!Q$2:Q$3493)</f>
        <v>0</v>
      </c>
      <c r="E3340" s="11" t="s">
        <v>10434</v>
      </c>
      <c r="F3340" s="36">
        <f t="array" ref="F3340">XLOOKUP(A3340,IMDB_Movies!I$2:I$3493,IMDB_Movies!P$2:P$3493)</f>
        <v>15005329</v>
      </c>
    </row>
    <row r="3341">
      <c r="A3341" s="16" t="s">
        <v>10436</v>
      </c>
      <c r="B3341" s="35">
        <f t="array" ref="B3341">XLOOKUP(A3341,IMDB_Movies!I$2:I$3493,IMDB_Movies!Q$2:Q$3493)</f>
        <v>5443993</v>
      </c>
      <c r="E3341" s="16" t="s">
        <v>10436</v>
      </c>
      <c r="F3341" s="36">
        <f t="array" ref="F3341">XLOOKUP(A3341,IMDB_Movies!I$2:I$3493,IMDB_Movies!P$2:P$3493)</f>
        <v>0</v>
      </c>
    </row>
    <row r="3342">
      <c r="A3342" s="20" t="s">
        <v>10438</v>
      </c>
      <c r="B3342" s="35">
        <f t="array" ref="B3342">XLOOKUP(A3342,IMDB_Movies!I$2:I$3493,IMDB_Movies!Q$2:Q$3493)</f>
        <v>0</v>
      </c>
      <c r="E3342" s="20" t="s">
        <v>10438</v>
      </c>
      <c r="F3342" s="36">
        <f t="array" ref="F3342">XLOOKUP(A3342,IMDB_Movies!I$2:I$3493,IMDB_Movies!P$2:P$3493)</f>
        <v>111225040</v>
      </c>
    </row>
    <row r="3343">
      <c r="A3343" s="20" t="s">
        <v>10441</v>
      </c>
      <c r="B3343" s="35">
        <f t="array" ref="B3343">XLOOKUP(A3343,IMDB_Movies!I$2:I$3493,IMDB_Movies!Q$2:Q$3493)</f>
        <v>0</v>
      </c>
      <c r="E3343" s="20" t="s">
        <v>10441</v>
      </c>
      <c r="F3343" s="36">
        <f t="array" ref="F3343">XLOOKUP(A3343,IMDB_Movies!I$2:I$3493,IMDB_Movies!P$2:P$3493)</f>
        <v>65459099</v>
      </c>
    </row>
    <row r="3344">
      <c r="A3344" s="20" t="s">
        <v>10443</v>
      </c>
      <c r="B3344" s="35">
        <f t="array" ref="B3344">XLOOKUP(A3344,IMDB_Movies!I$2:I$3493,IMDB_Movies!Q$2:Q$3493)</f>
        <v>100000</v>
      </c>
      <c r="E3344" s="20" t="s">
        <v>10443</v>
      </c>
      <c r="F3344" s="36">
        <f t="array" ref="F3344">XLOOKUP(A3344,IMDB_Movies!I$2:I$3493,IMDB_Movies!P$2:P$3493)</f>
        <v>0</v>
      </c>
    </row>
    <row r="3345">
      <c r="A3345" s="24" t="s">
        <v>10447</v>
      </c>
      <c r="B3345" s="35">
        <f t="array" ref="B3345">XLOOKUP(A3345,IMDB_Movies!I$2:I$3493,IMDB_Movies!Q$2:Q$3493)</f>
        <v>0</v>
      </c>
      <c r="E3345" s="24" t="s">
        <v>10447</v>
      </c>
      <c r="F3345" s="36">
        <f t="array" ref="F3345">XLOOKUP(A3345,IMDB_Movies!I$2:I$3493,IMDB_Movies!P$2:P$3493)</f>
        <v>800000</v>
      </c>
    </row>
    <row r="3346">
      <c r="A3346" s="20" t="s">
        <v>10449</v>
      </c>
      <c r="B3346" s="35">
        <f t="array" ref="B3346">XLOOKUP(A3346,IMDB_Movies!I$2:I$3493,IMDB_Movies!Q$2:Q$3493)</f>
        <v>11160617</v>
      </c>
      <c r="E3346" s="20" t="s">
        <v>10449</v>
      </c>
      <c r="F3346" s="36">
        <f t="array" ref="F3346">XLOOKUP(A3346,IMDB_Movies!I$2:I$3493,IMDB_Movies!P$2:P$3493)</f>
        <v>0</v>
      </c>
    </row>
    <row r="3347">
      <c r="A3347" s="11" t="s">
        <v>10451</v>
      </c>
      <c r="B3347" s="35">
        <f t="array" ref="B3347">XLOOKUP(A3347,IMDB_Movies!I$2:I$3493,IMDB_Movies!Q$2:Q$3493)</f>
        <v>37566085</v>
      </c>
      <c r="E3347" s="11" t="s">
        <v>10451</v>
      </c>
      <c r="F3347" s="36">
        <f t="array" ref="F3347">XLOOKUP(A3347,IMDB_Movies!I$2:I$3493,IMDB_Movies!P$2:P$3493)</f>
        <v>0</v>
      </c>
    </row>
    <row r="3348">
      <c r="A3348" s="11" t="s">
        <v>10453</v>
      </c>
      <c r="B3348" s="35">
        <f t="array" ref="B3348">XLOOKUP(A3348,IMDB_Movies!I$2:I$3493,IMDB_Movies!Q$2:Q$3493)</f>
        <v>0</v>
      </c>
      <c r="E3348" s="11" t="s">
        <v>10453</v>
      </c>
      <c r="F3348" s="36">
        <f t="array" ref="F3348">XLOOKUP(A3348,IMDB_Movies!I$2:I$3493,IMDB_Movies!P$2:P$3493)</f>
        <v>32225777</v>
      </c>
    </row>
    <row r="3349">
      <c r="A3349" s="28" t="s">
        <v>10455</v>
      </c>
      <c r="B3349" s="35">
        <f t="array" ref="B3349">XLOOKUP(A3349,IMDB_Movies!I$2:I$3493,IMDB_Movies!Q$2:Q$3493)</f>
        <v>12249417</v>
      </c>
      <c r="E3349" s="28" t="s">
        <v>10455</v>
      </c>
      <c r="F3349" s="36">
        <f t="array" ref="F3349">XLOOKUP(A3349,IMDB_Movies!I$2:I$3493,IMDB_Movies!P$2:P$3493)</f>
        <v>0</v>
      </c>
    </row>
    <row r="3350">
      <c r="A3350" s="20" t="s">
        <v>10459</v>
      </c>
      <c r="B3350" s="35">
        <f t="array" ref="B3350">XLOOKUP(A3350,IMDB_Movies!I$2:I$3493,IMDB_Movies!Q$2:Q$3493)</f>
        <v>25641967</v>
      </c>
      <c r="E3350" s="20" t="s">
        <v>10459</v>
      </c>
      <c r="F3350" s="36">
        <f t="array" ref="F3350">XLOOKUP(A3350,IMDB_Movies!I$2:I$3493,IMDB_Movies!P$2:P$3493)</f>
        <v>0</v>
      </c>
    </row>
    <row r="3351">
      <c r="A3351" s="20" t="s">
        <v>10461</v>
      </c>
      <c r="B3351" s="35">
        <f t="array" ref="B3351">XLOOKUP(A3351,IMDB_Movies!I$2:I$3493,IMDB_Movies!Q$2:Q$3493)</f>
        <v>11858147</v>
      </c>
      <c r="E3351" s="20" t="s">
        <v>10461</v>
      </c>
      <c r="F3351" s="36">
        <f t="array" ref="F3351">XLOOKUP(A3351,IMDB_Movies!I$2:I$3493,IMDB_Movies!P$2:P$3493)</f>
        <v>0</v>
      </c>
    </row>
    <row r="3352">
      <c r="A3352" s="11" t="s">
        <v>10463</v>
      </c>
      <c r="B3352" s="35">
        <f t="array" ref="B3352">XLOOKUP(A3352,IMDB_Movies!I$2:I$3493,IMDB_Movies!Q$2:Q$3493)</f>
        <v>0</v>
      </c>
      <c r="E3352" s="11" t="s">
        <v>10463</v>
      </c>
      <c r="F3352" s="36">
        <f t="array" ref="F3352">XLOOKUP(A3352,IMDB_Movies!I$2:I$3493,IMDB_Movies!P$2:P$3493)</f>
        <v>13750000</v>
      </c>
    </row>
    <row r="3353">
      <c r="A3353" s="16" t="s">
        <v>10466</v>
      </c>
      <c r="B3353" s="35">
        <f t="array" ref="B3353">XLOOKUP(A3353,IMDB_Movies!I$2:I$3493,IMDB_Movies!Q$2:Q$3493)</f>
        <v>2554354</v>
      </c>
      <c r="E3353" s="16" t="s">
        <v>10466</v>
      </c>
      <c r="F3353" s="36">
        <f t="array" ref="F3353">XLOOKUP(A3353,IMDB_Movies!I$2:I$3493,IMDB_Movies!P$2:P$3493)</f>
        <v>0</v>
      </c>
    </row>
    <row r="3354">
      <c r="A3354" s="28" t="s">
        <v>10468</v>
      </c>
      <c r="B3354" s="35">
        <f t="array" ref="B3354">XLOOKUP(A3354,IMDB_Movies!I$2:I$3493,IMDB_Movies!Q$2:Q$3493)</f>
        <v>14930000</v>
      </c>
      <c r="E3354" s="28" t="s">
        <v>10468</v>
      </c>
      <c r="F3354" s="36">
        <f t="array" ref="F3354">XLOOKUP(A3354,IMDB_Movies!I$2:I$3493,IMDB_Movies!P$2:P$3493)</f>
        <v>0</v>
      </c>
    </row>
    <row r="3355">
      <c r="A3355" s="16" t="s">
        <v>10470</v>
      </c>
      <c r="B3355" s="35">
        <f t="array" ref="B3355">XLOOKUP(A3355,IMDB_Movies!I$2:I$3493,IMDB_Movies!Q$2:Q$3493)</f>
        <v>0</v>
      </c>
      <c r="E3355" s="16" t="s">
        <v>10470</v>
      </c>
      <c r="F3355" s="36">
        <f t="array" ref="F3355">XLOOKUP(A3355,IMDB_Movies!I$2:I$3493,IMDB_Movies!P$2:P$3493)</f>
        <v>55343774</v>
      </c>
    </row>
    <row r="3356">
      <c r="A3356" s="20" t="s">
        <v>10472</v>
      </c>
      <c r="B3356" s="35">
        <f t="array" ref="B3356">XLOOKUP(A3356,IMDB_Movies!I$2:I$3493,IMDB_Movies!Q$2:Q$3493)</f>
        <v>0</v>
      </c>
      <c r="E3356" s="20" t="s">
        <v>10472</v>
      </c>
      <c r="F3356" s="36">
        <f t="array" ref="F3356">XLOOKUP(A3356,IMDB_Movies!I$2:I$3493,IMDB_Movies!P$2:P$3493)</f>
        <v>40367693</v>
      </c>
    </row>
    <row r="3357">
      <c r="A3357" s="11" t="s">
        <v>10474</v>
      </c>
      <c r="B3357" s="35">
        <f t="array" ref="B3357">XLOOKUP(A3357,IMDB_Movies!I$2:I$3493,IMDB_Movies!Q$2:Q$3493)</f>
        <v>0</v>
      </c>
      <c r="E3357" s="11" t="s">
        <v>10474</v>
      </c>
      <c r="F3357" s="36">
        <f t="array" ref="F3357">XLOOKUP(A3357,IMDB_Movies!I$2:I$3493,IMDB_Movies!P$2:P$3493)</f>
        <v>9133087</v>
      </c>
    </row>
    <row r="3358">
      <c r="A3358" s="24" t="s">
        <v>10476</v>
      </c>
      <c r="B3358" s="35">
        <f t="array" ref="B3358">XLOOKUP(A3358,IMDB_Movies!I$2:I$3493,IMDB_Movies!Q$2:Q$3493)</f>
        <v>0</v>
      </c>
      <c r="E3358" s="24" t="s">
        <v>10476</v>
      </c>
      <c r="F3358" s="36">
        <f t="array" ref="F3358">XLOOKUP(A3358,IMDB_Movies!I$2:I$3493,IMDB_Movies!P$2:P$3493)</f>
        <v>7563179</v>
      </c>
    </row>
    <row r="3359">
      <c r="A3359" s="11" t="s">
        <v>10479</v>
      </c>
      <c r="B3359" s="35">
        <f t="array" ref="B3359">XLOOKUP(A3359,IMDB_Movies!I$2:I$3493,IMDB_Movies!Q$2:Q$3493)</f>
        <v>87207693</v>
      </c>
      <c r="E3359" s="11" t="s">
        <v>10479</v>
      </c>
      <c r="F3359" s="36">
        <f t="array" ref="F3359">XLOOKUP(A3359,IMDB_Movies!I$2:I$3493,IMDB_Movies!P$2:P$3493)</f>
        <v>0</v>
      </c>
    </row>
    <row r="3360">
      <c r="A3360" s="20" t="s">
        <v>10482</v>
      </c>
      <c r="B3360" s="35">
        <f t="array" ref="B3360">XLOOKUP(A3360,IMDB_Movies!I$2:I$3493,IMDB_Movies!Q$2:Q$3493)</f>
        <v>0</v>
      </c>
      <c r="E3360" s="20" t="s">
        <v>10482</v>
      </c>
      <c r="F3360" s="36">
        <f t="array" ref="F3360">XLOOKUP(A3360,IMDB_Movies!I$2:I$3493,IMDB_Movies!P$2:P$3493)</f>
        <v>36667870</v>
      </c>
    </row>
    <row r="3361">
      <c r="A3361" s="20" t="s">
        <v>10486</v>
      </c>
      <c r="B3361" s="35">
        <f t="array" ref="B3361">XLOOKUP(A3361,IMDB_Movies!I$2:I$3493,IMDB_Movies!Q$2:Q$3493)</f>
        <v>256653</v>
      </c>
      <c r="E3361" s="20" t="s">
        <v>10486</v>
      </c>
      <c r="F3361" s="36">
        <f t="array" ref="F3361">XLOOKUP(A3361,IMDB_Movies!I$2:I$3493,IMDB_Movies!P$2:P$3493)</f>
        <v>0</v>
      </c>
    </row>
    <row r="3362">
      <c r="A3362" s="28" t="s">
        <v>10489</v>
      </c>
      <c r="B3362" s="35">
        <f t="array" ref="B3362">XLOOKUP(A3362,IMDB_Movies!I$2:I$3493,IMDB_Movies!Q$2:Q$3493)</f>
        <v>0</v>
      </c>
      <c r="E3362" s="28" t="s">
        <v>10489</v>
      </c>
      <c r="F3362" s="36">
        <f t="array" ref="F3362">XLOOKUP(A3362,IMDB_Movies!I$2:I$3493,IMDB_Movies!P$2:P$3493)</f>
        <v>8813366</v>
      </c>
    </row>
    <row r="3363">
      <c r="A3363" s="20" t="s">
        <v>10492</v>
      </c>
      <c r="B3363" s="35">
        <f t="array" ref="B3363">XLOOKUP(A3363,IMDB_Movies!I$2:I$3493,IMDB_Movies!Q$2:Q$3493)</f>
        <v>0</v>
      </c>
      <c r="E3363" s="20" t="s">
        <v>10492</v>
      </c>
      <c r="F3363" s="36">
        <f t="array" ref="F3363">XLOOKUP(A3363,IMDB_Movies!I$2:I$3493,IMDB_Movies!P$2:P$3493)</f>
        <v>2752475</v>
      </c>
    </row>
    <row r="3364">
      <c r="A3364" s="11" t="s">
        <v>10495</v>
      </c>
      <c r="B3364" s="35">
        <f t="array" ref="B3364">XLOOKUP(A3364,IMDB_Movies!I$2:I$3493,IMDB_Movies!Q$2:Q$3493)</f>
        <v>0</v>
      </c>
      <c r="E3364" s="11" t="s">
        <v>10495</v>
      </c>
      <c r="F3364" s="36">
        <f t="array" ref="F3364">XLOOKUP(A3364,IMDB_Movies!I$2:I$3493,IMDB_Movies!P$2:P$3493)</f>
        <v>13050028</v>
      </c>
    </row>
    <row r="3365">
      <c r="A3365" s="11" t="s">
        <v>10497</v>
      </c>
      <c r="B3365" s="35">
        <f t="array" ref="B3365">XLOOKUP(A3365,IMDB_Movies!I$2:I$3493,IMDB_Movies!Q$2:Q$3493)</f>
        <v>3556518</v>
      </c>
      <c r="E3365" s="11" t="s">
        <v>10497</v>
      </c>
      <c r="F3365" s="36">
        <f t="array" ref="F3365">XLOOKUP(A3365,IMDB_Movies!I$2:I$3493,IMDB_Movies!P$2:P$3493)</f>
        <v>0</v>
      </c>
    </row>
    <row r="3366">
      <c r="A3366" s="11" t="s">
        <v>10500</v>
      </c>
      <c r="B3366" s="35">
        <f t="array" ref="B3366">XLOOKUP(A3366,IMDB_Movies!I$2:I$3493,IMDB_Movies!Q$2:Q$3493)</f>
        <v>0</v>
      </c>
      <c r="E3366" s="11" t="s">
        <v>10500</v>
      </c>
      <c r="F3366" s="36">
        <f t="array" ref="F3366">XLOOKUP(A3366,IMDB_Movies!I$2:I$3493,IMDB_Movies!P$2:P$3493)</f>
        <v>12351611</v>
      </c>
    </row>
    <row r="3367">
      <c r="A3367" s="20" t="s">
        <v>10503</v>
      </c>
      <c r="B3367" s="35">
        <f t="array" ref="B3367">XLOOKUP(A3367,IMDB_Movies!I$2:I$3493,IMDB_Movies!Q$2:Q$3493)</f>
        <v>0</v>
      </c>
      <c r="E3367" s="20" t="s">
        <v>10503</v>
      </c>
      <c r="F3367" s="36">
        <f t="array" ref="F3367">XLOOKUP(A3367,IMDB_Movies!I$2:I$3493,IMDB_Movies!P$2:P$3493)</f>
        <v>7568996</v>
      </c>
    </row>
    <row r="3368">
      <c r="A3368" s="24" t="s">
        <v>10505</v>
      </c>
      <c r="B3368" s="35">
        <f t="array" ref="B3368">XLOOKUP(A3368,IMDB_Movies!I$2:I$3493,IMDB_Movies!Q$2:Q$3493)</f>
        <v>0</v>
      </c>
      <c r="E3368" s="24" t="s">
        <v>10505</v>
      </c>
      <c r="F3368" s="36">
        <f t="array" ref="F3368">XLOOKUP(A3368,IMDB_Movies!I$2:I$3493,IMDB_Movies!P$2:P$3493)</f>
        <v>73760631</v>
      </c>
    </row>
    <row r="3369">
      <c r="A3369" s="11" t="s">
        <v>10508</v>
      </c>
      <c r="B3369" s="35">
        <f t="array" ref="B3369">XLOOKUP(A3369,IMDB_Movies!I$2:I$3493,IMDB_Movies!Q$2:Q$3493)</f>
        <v>40415114</v>
      </c>
      <c r="E3369" s="11" t="s">
        <v>10508</v>
      </c>
      <c r="F3369" s="36">
        <f t="array" ref="F3369">XLOOKUP(A3369,IMDB_Movies!I$2:I$3493,IMDB_Movies!P$2:P$3493)</f>
        <v>0</v>
      </c>
    </row>
    <row r="3370">
      <c r="A3370" s="11" t="s">
        <v>10510</v>
      </c>
      <c r="B3370" s="35">
        <f t="array" ref="B3370">XLOOKUP(A3370,IMDB_Movies!I$2:I$3493,IMDB_Movies!Q$2:Q$3493)</f>
        <v>0</v>
      </c>
      <c r="E3370" s="11" t="s">
        <v>10510</v>
      </c>
      <c r="F3370" s="36">
        <f t="array" ref="F3370">XLOOKUP(A3370,IMDB_Movies!I$2:I$3493,IMDB_Movies!P$2:P$3493)</f>
        <v>15530513</v>
      </c>
    </row>
    <row r="3371">
      <c r="A3371" s="11" t="s">
        <v>10513</v>
      </c>
      <c r="B3371" s="35">
        <f t="array" ref="B3371">XLOOKUP(A3371,IMDB_Movies!I$2:I$3493,IMDB_Movies!Q$2:Q$3493)</f>
        <v>13884496</v>
      </c>
      <c r="E3371" s="11" t="s">
        <v>10513</v>
      </c>
      <c r="F3371" s="36">
        <f t="array" ref="F3371">XLOOKUP(A3371,IMDB_Movies!I$2:I$3493,IMDB_Movies!P$2:P$3493)</f>
        <v>0</v>
      </c>
    </row>
    <row r="3372">
      <c r="A3372" s="20" t="s">
        <v>10516</v>
      </c>
      <c r="B3372" s="35">
        <f t="array" ref="B3372">XLOOKUP(A3372,IMDB_Movies!I$2:I$3493,IMDB_Movies!Q$2:Q$3493)</f>
        <v>0</v>
      </c>
      <c r="E3372" s="20" t="s">
        <v>10516</v>
      </c>
      <c r="F3372" s="36">
        <f t="array" ref="F3372">XLOOKUP(A3372,IMDB_Movies!I$2:I$3493,IMDB_Movies!P$2:P$3493)</f>
        <v>53952276</v>
      </c>
    </row>
    <row r="3373">
      <c r="A3373" s="24" t="s">
        <v>10519</v>
      </c>
      <c r="B3373" s="35">
        <f t="array" ref="B3373">XLOOKUP(A3373,IMDB_Movies!I$2:I$3493,IMDB_Movies!Q$2:Q$3493)</f>
        <v>17168879</v>
      </c>
      <c r="E3373" s="24" t="s">
        <v>10519</v>
      </c>
      <c r="F3373" s="36">
        <f t="array" ref="F3373">XLOOKUP(A3373,IMDB_Movies!I$2:I$3493,IMDB_Movies!P$2:P$3493)</f>
        <v>0</v>
      </c>
    </row>
    <row r="3374">
      <c r="A3374" s="28" t="s">
        <v>10522</v>
      </c>
      <c r="B3374" s="35">
        <f t="array" ref="B3374">XLOOKUP(A3374,IMDB_Movies!I$2:I$3493,IMDB_Movies!Q$2:Q$3493)</f>
        <v>0</v>
      </c>
      <c r="E3374" s="28" t="s">
        <v>10522</v>
      </c>
      <c r="F3374" s="36">
        <f t="array" ref="F3374">XLOOKUP(A3374,IMDB_Movies!I$2:I$3493,IMDB_Movies!P$2:P$3493)</f>
        <v>12014289</v>
      </c>
    </row>
    <row r="3375">
      <c r="A3375" s="24" t="s">
        <v>10525</v>
      </c>
      <c r="B3375" s="35">
        <f t="array" ref="B3375">XLOOKUP(A3375,IMDB_Movies!I$2:I$3493,IMDB_Movies!Q$2:Q$3493)</f>
        <v>0</v>
      </c>
      <c r="E3375" s="24" t="s">
        <v>10525</v>
      </c>
      <c r="F3375" s="36">
        <f t="array" ref="F3375">XLOOKUP(A3375,IMDB_Movies!I$2:I$3493,IMDB_Movies!P$2:P$3493)</f>
        <v>35443237</v>
      </c>
    </row>
    <row r="3376">
      <c r="A3376" s="11" t="s">
        <v>10527</v>
      </c>
      <c r="B3376" s="35">
        <f t="array" ref="B3376">XLOOKUP(A3376,IMDB_Movies!I$2:I$3493,IMDB_Movies!Q$2:Q$3493)</f>
        <v>0</v>
      </c>
      <c r="E3376" s="11" t="s">
        <v>10527</v>
      </c>
      <c r="F3376" s="36">
        <f t="array" ref="F3376">XLOOKUP(A3376,IMDB_Movies!I$2:I$3493,IMDB_Movies!P$2:P$3493)</f>
        <v>6879556</v>
      </c>
    </row>
    <row r="3377">
      <c r="A3377" s="11" t="s">
        <v>10529</v>
      </c>
      <c r="B3377" s="35">
        <f t="array" ref="B3377">XLOOKUP(A3377,IMDB_Movies!I$2:I$3493,IMDB_Movies!Q$2:Q$3493)</f>
        <v>14015257</v>
      </c>
      <c r="E3377" s="11" t="s">
        <v>10529</v>
      </c>
      <c r="F3377" s="36">
        <f t="array" ref="F3377">XLOOKUP(A3377,IMDB_Movies!I$2:I$3493,IMDB_Movies!P$2:P$3493)</f>
        <v>0</v>
      </c>
    </row>
    <row r="3378">
      <c r="A3378" s="11" t="s">
        <v>10531</v>
      </c>
      <c r="B3378" s="35">
        <f t="array" ref="B3378">XLOOKUP(A3378,IMDB_Movies!I$2:I$3493,IMDB_Movies!Q$2:Q$3493)</f>
        <v>0</v>
      </c>
      <c r="E3378" s="11" t="s">
        <v>10531</v>
      </c>
      <c r="F3378" s="36">
        <f t="array" ref="F3378">XLOOKUP(A3378,IMDB_Movies!I$2:I$3493,IMDB_Movies!P$2:P$3493)</f>
        <v>46150692</v>
      </c>
    </row>
    <row r="3379">
      <c r="A3379" s="24" t="s">
        <v>10535</v>
      </c>
      <c r="B3379" s="35">
        <f t="array" ref="B3379">XLOOKUP(A3379,IMDB_Movies!I$2:I$3493,IMDB_Movies!Q$2:Q$3493)</f>
        <v>9994439</v>
      </c>
      <c r="E3379" s="24" t="s">
        <v>10535</v>
      </c>
      <c r="F3379" s="36">
        <f t="array" ref="F3379">XLOOKUP(A3379,IMDB_Movies!I$2:I$3493,IMDB_Movies!P$2:P$3493)</f>
        <v>0</v>
      </c>
    </row>
    <row r="3380">
      <c r="A3380" s="20" t="s">
        <v>10537</v>
      </c>
      <c r="B3380" s="35">
        <f t="array" ref="B3380">XLOOKUP(A3380,IMDB_Movies!I$2:I$3493,IMDB_Movies!Q$2:Q$3493)</f>
        <v>4829854</v>
      </c>
      <c r="E3380" s="20" t="s">
        <v>10537</v>
      </c>
      <c r="F3380" s="36">
        <f t="array" ref="F3380">XLOOKUP(A3380,IMDB_Movies!I$2:I$3493,IMDB_Movies!P$2:P$3493)</f>
        <v>0</v>
      </c>
    </row>
    <row r="3381">
      <c r="A3381" s="24" t="s">
        <v>10539</v>
      </c>
      <c r="B3381" s="35">
        <f t="array" ref="B3381">XLOOKUP(A3381,IMDB_Movies!I$2:I$3493,IMDB_Movies!Q$2:Q$3493)</f>
        <v>0</v>
      </c>
      <c r="E3381" s="24" t="s">
        <v>10539</v>
      </c>
      <c r="F3381" s="36">
        <f t="array" ref="F3381">XLOOKUP(A3381,IMDB_Movies!I$2:I$3493,IMDB_Movies!P$2:P$3493)</f>
        <v>87775460</v>
      </c>
    </row>
    <row r="3382">
      <c r="A3382" s="11" t="s">
        <v>10541</v>
      </c>
      <c r="B3382" s="35">
        <f t="array" ref="B3382">XLOOKUP(A3382,IMDB_Movies!I$2:I$3493,IMDB_Movies!Q$2:Q$3493)</f>
        <v>9868383</v>
      </c>
      <c r="E3382" s="11" t="s">
        <v>10541</v>
      </c>
      <c r="F3382" s="36">
        <f t="array" ref="F3382">XLOOKUP(A3382,IMDB_Movies!I$2:I$3493,IMDB_Movies!P$2:P$3493)</f>
        <v>0</v>
      </c>
    </row>
    <row r="3383">
      <c r="A3383" s="32" t="s">
        <v>10544</v>
      </c>
      <c r="B3383" s="35">
        <f t="array" ref="B3383">XLOOKUP(A3383,IMDB_Movies!I$2:I$3493,IMDB_Movies!Q$2:Q$3493)</f>
        <v>0</v>
      </c>
      <c r="E3383" s="32" t="s">
        <v>10544</v>
      </c>
      <c r="F3383" s="36">
        <f t="array" ref="F3383">XLOOKUP(A3383,IMDB_Movies!I$2:I$3493,IMDB_Movies!P$2:P$3493)</f>
        <v>16875468</v>
      </c>
    </row>
    <row r="3384">
      <c r="A3384" s="24" t="s">
        <v>10547</v>
      </c>
      <c r="B3384" s="35">
        <f t="array" ref="B3384">XLOOKUP(A3384,IMDB_Movies!I$2:I$3493,IMDB_Movies!Q$2:Q$3493)</f>
        <v>1172081</v>
      </c>
      <c r="E3384" s="24" t="s">
        <v>10547</v>
      </c>
      <c r="F3384" s="36">
        <f t="array" ref="F3384">XLOOKUP(A3384,IMDB_Movies!I$2:I$3493,IMDB_Movies!P$2:P$3493)</f>
        <v>0</v>
      </c>
    </row>
    <row r="3385">
      <c r="A3385" s="20" t="s">
        <v>10550</v>
      </c>
      <c r="B3385" s="35">
        <f t="array" ref="B3385">XLOOKUP(A3385,IMDB_Movies!I$2:I$3493,IMDB_Movies!Q$2:Q$3493)</f>
        <v>3628423</v>
      </c>
      <c r="E3385" s="20" t="s">
        <v>10550</v>
      </c>
      <c r="F3385" s="36">
        <f t="array" ref="F3385">XLOOKUP(A3385,IMDB_Movies!I$2:I$3493,IMDB_Movies!P$2:P$3493)</f>
        <v>0</v>
      </c>
    </row>
    <row r="3386">
      <c r="A3386" s="11" t="s">
        <v>10554</v>
      </c>
      <c r="B3386" s="35">
        <f t="array" ref="B3386">XLOOKUP(A3386,IMDB_Movies!I$2:I$3493,IMDB_Movies!Q$2:Q$3493)</f>
        <v>477000</v>
      </c>
      <c r="E3386" s="11" t="s">
        <v>10554</v>
      </c>
      <c r="F3386" s="36">
        <f t="array" ref="F3386">XLOOKUP(A3386,IMDB_Movies!I$2:I$3493,IMDB_Movies!P$2:P$3493)</f>
        <v>0</v>
      </c>
    </row>
    <row r="3387">
      <c r="A3387" s="24" t="s">
        <v>10558</v>
      </c>
      <c r="B3387" s="35">
        <f t="array" ref="B3387">XLOOKUP(A3387,IMDB_Movies!I$2:I$3493,IMDB_Movies!Q$2:Q$3493)</f>
        <v>50299935</v>
      </c>
      <c r="E3387" s="24" t="s">
        <v>10558</v>
      </c>
      <c r="F3387" s="36">
        <f t="array" ref="F3387">XLOOKUP(A3387,IMDB_Movies!I$2:I$3493,IMDB_Movies!P$2:P$3493)</f>
        <v>0</v>
      </c>
    </row>
    <row r="3388">
      <c r="A3388" s="11" t="s">
        <v>10562</v>
      </c>
      <c r="B3388" s="35">
        <f t="array" ref="B3388">XLOOKUP(A3388,IMDB_Movies!I$2:I$3493,IMDB_Movies!Q$2:Q$3493)</f>
        <v>55705158</v>
      </c>
      <c r="E3388" s="11" t="s">
        <v>10562</v>
      </c>
      <c r="F3388" s="36">
        <f t="array" ref="F3388">XLOOKUP(A3388,IMDB_Movies!I$2:I$3493,IMDB_Movies!P$2:P$3493)</f>
        <v>0</v>
      </c>
    </row>
    <row r="3389">
      <c r="A3389" s="20" t="s">
        <v>10567</v>
      </c>
      <c r="B3389" s="35">
        <f t="array" ref="B3389">XLOOKUP(A3389,IMDB_Movies!I$2:I$3493,IMDB_Movies!Q$2:Q$3493)</f>
        <v>1507034</v>
      </c>
      <c r="E3389" s="20" t="s">
        <v>10567</v>
      </c>
      <c r="F3389" s="36">
        <f t="array" ref="F3389">XLOOKUP(A3389,IMDB_Movies!I$2:I$3493,IMDB_Movies!P$2:P$3493)</f>
        <v>0</v>
      </c>
    </row>
    <row r="3390">
      <c r="A3390" s="24" t="s">
        <v>10569</v>
      </c>
      <c r="B3390" s="35">
        <f t="array" ref="B3390">XLOOKUP(A3390,IMDB_Movies!I$2:I$3493,IMDB_Movies!Q$2:Q$3493)</f>
        <v>0</v>
      </c>
      <c r="E3390" s="24" t="s">
        <v>10569</v>
      </c>
      <c r="F3390" s="36">
        <f t="array" ref="F3390">XLOOKUP(A3390,IMDB_Movies!I$2:I$3493,IMDB_Movies!P$2:P$3493)</f>
        <v>192557891</v>
      </c>
    </row>
    <row r="3391">
      <c r="A3391" s="24" t="s">
        <v>10572</v>
      </c>
      <c r="B3391" s="35">
        <f t="array" ref="B3391">XLOOKUP(A3391,IMDB_Movies!I$2:I$3493,IMDB_Movies!Q$2:Q$3493)</f>
        <v>6526640</v>
      </c>
      <c r="E3391" s="24" t="s">
        <v>10572</v>
      </c>
      <c r="F3391" s="36">
        <f t="array" ref="F3391">XLOOKUP(A3391,IMDB_Movies!I$2:I$3493,IMDB_Movies!P$2:P$3493)</f>
        <v>0</v>
      </c>
    </row>
    <row r="3392">
      <c r="A3392" s="16" t="s">
        <v>10574</v>
      </c>
      <c r="B3392" s="35">
        <f t="array" ref="B3392">XLOOKUP(A3392,IMDB_Movies!I$2:I$3493,IMDB_Movies!Q$2:Q$3493)</f>
        <v>19565399</v>
      </c>
      <c r="E3392" s="16" t="s">
        <v>10574</v>
      </c>
      <c r="F3392" s="36">
        <f t="array" ref="F3392">XLOOKUP(A3392,IMDB_Movies!I$2:I$3493,IMDB_Movies!P$2:P$3493)</f>
        <v>0</v>
      </c>
    </row>
    <row r="3393">
      <c r="A3393" s="11" t="s">
        <v>10577</v>
      </c>
      <c r="B3393" s="35">
        <f t="array" ref="B3393">XLOOKUP(A3393,IMDB_Movies!I$2:I$3493,IMDB_Movies!Q$2:Q$3493)</f>
        <v>24923864</v>
      </c>
      <c r="E3393" s="11" t="s">
        <v>10577</v>
      </c>
      <c r="F3393" s="36">
        <f t="array" ref="F3393">XLOOKUP(A3393,IMDB_Movies!I$2:I$3493,IMDB_Movies!P$2:P$3493)</f>
        <v>0</v>
      </c>
    </row>
    <row r="3394">
      <c r="A3394" s="11" t="s">
        <v>10580</v>
      </c>
      <c r="B3394" s="35">
        <f t="array" ref="B3394">XLOOKUP(A3394,IMDB_Movies!I$2:I$3493,IMDB_Movies!Q$2:Q$3493)</f>
        <v>0</v>
      </c>
      <c r="E3394" s="11" t="s">
        <v>10580</v>
      </c>
      <c r="F3394" s="36">
        <f t="array" ref="F3394">XLOOKUP(A3394,IMDB_Movies!I$2:I$3493,IMDB_Movies!P$2:P$3493)</f>
        <v>8578145</v>
      </c>
    </row>
    <row r="3395">
      <c r="A3395" s="20" t="s">
        <v>10582</v>
      </c>
      <c r="B3395" s="35">
        <f t="array" ref="B3395">XLOOKUP(A3395,IMDB_Movies!I$2:I$3493,IMDB_Movies!Q$2:Q$3493)</f>
        <v>13751523</v>
      </c>
      <c r="E3395" s="20" t="s">
        <v>10582</v>
      </c>
      <c r="F3395" s="36">
        <f t="array" ref="F3395">XLOOKUP(A3395,IMDB_Movies!I$2:I$3493,IMDB_Movies!P$2:P$3493)</f>
        <v>0</v>
      </c>
    </row>
    <row r="3396">
      <c r="A3396" s="11" t="s">
        <v>10585</v>
      </c>
      <c r="B3396" s="35">
        <f t="array" ref="B3396">XLOOKUP(A3396,IMDB_Movies!I$2:I$3493,IMDB_Movies!Q$2:Q$3493)</f>
        <v>19799588</v>
      </c>
      <c r="E3396" s="11" t="s">
        <v>10585</v>
      </c>
      <c r="F3396" s="36">
        <f t="array" ref="F3396">XLOOKUP(A3396,IMDB_Movies!I$2:I$3493,IMDB_Movies!P$2:P$3493)</f>
        <v>0</v>
      </c>
    </row>
    <row r="3397">
      <c r="A3397" s="24" t="s">
        <v>10587</v>
      </c>
      <c r="B3397" s="35">
        <f t="array" ref="B3397">XLOOKUP(A3397,IMDB_Movies!I$2:I$3493,IMDB_Movies!Q$2:Q$3493)</f>
        <v>0</v>
      </c>
      <c r="E3397" s="24" t="s">
        <v>10587</v>
      </c>
      <c r="F3397" s="36">
        <f t="array" ref="F3397">XLOOKUP(A3397,IMDB_Movies!I$2:I$3493,IMDB_Movies!P$2:P$3493)</f>
        <v>45625986</v>
      </c>
    </row>
    <row r="3398">
      <c r="A3398" s="28" t="s">
        <v>10590</v>
      </c>
      <c r="B3398" s="35">
        <f t="array" ref="B3398">XLOOKUP(A3398,IMDB_Movies!I$2:I$3493,IMDB_Movies!Q$2:Q$3493)</f>
        <v>0</v>
      </c>
      <c r="E3398" s="28" t="s">
        <v>10590</v>
      </c>
      <c r="F3398" s="36">
        <f t="array" ref="F3398">XLOOKUP(A3398,IMDB_Movies!I$2:I$3493,IMDB_Movies!P$2:P$3493)</f>
        <v>21604320</v>
      </c>
    </row>
    <row r="3399">
      <c r="A3399" s="11" t="s">
        <v>10594</v>
      </c>
      <c r="B3399" s="35">
        <f t="array" ref="B3399">XLOOKUP(A3399,IMDB_Movies!I$2:I$3493,IMDB_Movies!Q$2:Q$3493)</f>
        <v>0</v>
      </c>
      <c r="E3399" s="11" t="s">
        <v>10594</v>
      </c>
      <c r="F3399" s="36">
        <f t="array" ref="F3399">XLOOKUP(A3399,IMDB_Movies!I$2:I$3493,IMDB_Movies!P$2:P$3493)</f>
        <v>561238</v>
      </c>
    </row>
    <row r="3400">
      <c r="A3400" s="24" t="s">
        <v>10596</v>
      </c>
      <c r="B3400" s="35">
        <f t="array" ref="B3400">XLOOKUP(A3400,IMDB_Movies!I$2:I$3493,IMDB_Movies!Q$2:Q$3493)</f>
        <v>0</v>
      </c>
      <c r="E3400" s="24" t="s">
        <v>10596</v>
      </c>
      <c r="F3400" s="36">
        <f t="array" ref="F3400">XLOOKUP(A3400,IMDB_Movies!I$2:I$3493,IMDB_Movies!P$2:P$3493)</f>
        <v>8413606</v>
      </c>
    </row>
    <row r="3401">
      <c r="A3401" s="11" t="s">
        <v>10598</v>
      </c>
      <c r="B3401" s="35">
        <f t="array" ref="B3401">XLOOKUP(A3401,IMDB_Movies!I$2:I$3493,IMDB_Movies!Q$2:Q$3493)</f>
        <v>0</v>
      </c>
      <c r="E3401" s="11" t="s">
        <v>10598</v>
      </c>
      <c r="F3401" s="36">
        <f t="array" ref="F3401">XLOOKUP(A3401,IMDB_Movies!I$2:I$3493,IMDB_Movies!P$2:P$3493)</f>
        <v>16986000</v>
      </c>
    </row>
    <row r="3402">
      <c r="A3402" s="32" t="s">
        <v>10601</v>
      </c>
      <c r="B3402" s="35">
        <f t="array" ref="B3402">XLOOKUP(A3402,IMDB_Movies!I$2:I$3493,IMDB_Movies!Q$2:Q$3493)</f>
        <v>0</v>
      </c>
      <c r="E3402" s="32" t="s">
        <v>10601</v>
      </c>
      <c r="F3402" s="36">
        <f t="array" ref="F3402">XLOOKUP(A3402,IMDB_Movies!I$2:I$3493,IMDB_Movies!P$2:P$3493)</f>
        <v>22505908</v>
      </c>
    </row>
    <row r="3403">
      <c r="A3403" s="11" t="s">
        <v>10603</v>
      </c>
      <c r="B3403" s="35">
        <f t="array" ref="B3403">XLOOKUP(A3403,IMDB_Movies!I$2:I$3493,IMDB_Movies!Q$2:Q$3493)</f>
        <v>62643910</v>
      </c>
      <c r="E3403" s="11" t="s">
        <v>10603</v>
      </c>
      <c r="F3403" s="36">
        <f t="array" ref="F3403">XLOOKUP(A3403,IMDB_Movies!I$2:I$3493,IMDB_Movies!P$2:P$3493)</f>
        <v>0</v>
      </c>
    </row>
    <row r="3404">
      <c r="A3404" s="20" t="s">
        <v>10606</v>
      </c>
      <c r="B3404" s="35">
        <f t="array" ref="B3404">XLOOKUP(A3404,IMDB_Movies!I$2:I$3493,IMDB_Movies!Q$2:Q$3493)</f>
        <v>3017320</v>
      </c>
      <c r="E3404" s="20" t="s">
        <v>10606</v>
      </c>
      <c r="F3404" s="36">
        <f t="array" ref="F3404">XLOOKUP(A3404,IMDB_Movies!I$2:I$3493,IMDB_Movies!P$2:P$3493)</f>
        <v>0</v>
      </c>
    </row>
    <row r="3405">
      <c r="A3405" s="20" t="s">
        <v>10608</v>
      </c>
      <c r="B3405" s="35">
        <f t="array" ref="B3405">XLOOKUP(A3405,IMDB_Movies!I$2:I$3493,IMDB_Movies!Q$2:Q$3493)</f>
        <v>6794756</v>
      </c>
      <c r="E3405" s="20" t="s">
        <v>10608</v>
      </c>
      <c r="F3405" s="36">
        <f t="array" ref="F3405">XLOOKUP(A3405,IMDB_Movies!I$2:I$3493,IMDB_Movies!P$2:P$3493)</f>
        <v>0</v>
      </c>
    </row>
    <row r="3406">
      <c r="A3406" s="20" t="s">
        <v>10610</v>
      </c>
      <c r="B3406" s="35">
        <f t="array" ref="B3406">XLOOKUP(A3406,IMDB_Movies!I$2:I$3493,IMDB_Movies!Q$2:Q$3493)</f>
        <v>0</v>
      </c>
      <c r="E3406" s="20" t="s">
        <v>10610</v>
      </c>
      <c r="F3406" s="36">
        <f t="array" ref="F3406">XLOOKUP(A3406,IMDB_Movies!I$2:I$3493,IMDB_Movies!P$2:P$3493)</f>
        <v>96968774</v>
      </c>
    </row>
    <row r="3407">
      <c r="A3407" s="11" t="s">
        <v>10613</v>
      </c>
      <c r="B3407" s="35">
        <f t="array" ref="B3407">XLOOKUP(A3407,IMDB_Movies!I$2:I$3493,IMDB_Movies!Q$2:Q$3493)</f>
        <v>0</v>
      </c>
      <c r="E3407" s="11" t="s">
        <v>10613</v>
      </c>
      <c r="F3407" s="36">
        <f t="array" ref="F3407">XLOOKUP(A3407,IMDB_Movies!I$2:I$3493,IMDB_Movies!P$2:P$3493)</f>
        <v>32614158</v>
      </c>
    </row>
    <row r="3408">
      <c r="A3408" s="11" t="s">
        <v>10615</v>
      </c>
      <c r="B3408" s="35">
        <f t="array" ref="B3408">XLOOKUP(A3408,IMDB_Movies!I$2:I$3493,IMDB_Movies!Q$2:Q$3493)</f>
        <v>1499297</v>
      </c>
      <c r="E3408" s="11" t="s">
        <v>10615</v>
      </c>
      <c r="F3408" s="36">
        <f t="array" ref="F3408">XLOOKUP(A3408,IMDB_Movies!I$2:I$3493,IMDB_Movies!P$2:P$3493)</f>
        <v>0</v>
      </c>
    </row>
    <row r="3409">
      <c r="A3409" s="11" t="s">
        <v>10618</v>
      </c>
      <c r="B3409" s="35">
        <f t="array" ref="B3409">XLOOKUP(A3409,IMDB_Movies!I$2:I$3493,IMDB_Movies!Q$2:Q$3493)</f>
        <v>8224415</v>
      </c>
      <c r="E3409" s="11" t="s">
        <v>10618</v>
      </c>
      <c r="F3409" s="36">
        <f t="array" ref="F3409">XLOOKUP(A3409,IMDB_Movies!I$2:I$3493,IMDB_Movies!P$2:P$3493)</f>
        <v>0</v>
      </c>
    </row>
    <row r="3410">
      <c r="A3410" s="28" t="s">
        <v>10621</v>
      </c>
      <c r="B3410" s="35">
        <f t="array" ref="B3410">XLOOKUP(A3410,IMDB_Movies!I$2:I$3493,IMDB_Movies!Q$2:Q$3493)</f>
        <v>0</v>
      </c>
      <c r="E3410" s="28" t="s">
        <v>10621</v>
      </c>
      <c r="F3410" s="36">
        <f t="array" ref="F3410">XLOOKUP(A3410,IMDB_Movies!I$2:I$3493,IMDB_Movies!P$2:P$3493)</f>
        <v>7003011</v>
      </c>
    </row>
    <row r="3411">
      <c r="A3411" s="11" t="s">
        <v>10623</v>
      </c>
      <c r="B3411" s="35">
        <f t="array" ref="B3411">XLOOKUP(A3411,IMDB_Movies!I$2:I$3493,IMDB_Movies!Q$2:Q$3493)</f>
        <v>0</v>
      </c>
      <c r="E3411" s="11" t="s">
        <v>10623</v>
      </c>
      <c r="F3411" s="36">
        <f t="array" ref="F3411">XLOOKUP(A3411,IMDB_Movies!I$2:I$3493,IMDB_Movies!P$2:P$3493)</f>
        <v>136395380</v>
      </c>
    </row>
    <row r="3412">
      <c r="A3412" s="28" t="s">
        <v>10625</v>
      </c>
      <c r="B3412" s="35">
        <f t="array" ref="B3412">XLOOKUP(A3412,IMDB_Movies!I$2:I$3493,IMDB_Movies!Q$2:Q$3493)</f>
        <v>0</v>
      </c>
      <c r="E3412" s="28" t="s">
        <v>10625</v>
      </c>
      <c r="F3412" s="36">
        <f t="array" ref="F3412">XLOOKUP(A3412,IMDB_Movies!I$2:I$3493,IMDB_Movies!P$2:P$3493)</f>
        <v>172298923</v>
      </c>
    </row>
    <row r="3413">
      <c r="A3413" s="11" t="s">
        <v>10629</v>
      </c>
      <c r="B3413" s="35">
        <f t="array" ref="B3413">XLOOKUP(A3413,IMDB_Movies!I$2:I$3493,IMDB_Movies!Q$2:Q$3493)</f>
        <v>4016</v>
      </c>
      <c r="E3413" s="11" t="s">
        <v>10629</v>
      </c>
      <c r="F3413" s="36">
        <f t="array" ref="F3413">XLOOKUP(A3413,IMDB_Movies!I$2:I$3493,IMDB_Movies!P$2:P$3493)</f>
        <v>0</v>
      </c>
    </row>
    <row r="3414">
      <c r="A3414" s="11" t="s">
        <v>10631</v>
      </c>
      <c r="B3414" s="35">
        <f t="array" ref="B3414">XLOOKUP(A3414,IMDB_Movies!I$2:I$3493,IMDB_Movies!Q$2:Q$3493)</f>
        <v>20041681</v>
      </c>
      <c r="E3414" s="11" t="s">
        <v>10631</v>
      </c>
      <c r="F3414" s="36">
        <f t="array" ref="F3414">XLOOKUP(A3414,IMDB_Movies!I$2:I$3493,IMDB_Movies!P$2:P$3493)</f>
        <v>0</v>
      </c>
    </row>
    <row r="3415">
      <c r="A3415" s="32" t="s">
        <v>10634</v>
      </c>
      <c r="B3415" s="35">
        <f t="array" ref="B3415">XLOOKUP(A3415,IMDB_Movies!I$2:I$3493,IMDB_Movies!Q$2:Q$3493)</f>
        <v>31471505</v>
      </c>
      <c r="E3415" s="32" t="s">
        <v>10634</v>
      </c>
      <c r="F3415" s="36">
        <f t="array" ref="F3415">XLOOKUP(A3415,IMDB_Movies!I$2:I$3493,IMDB_Movies!P$2:P$3493)</f>
        <v>0</v>
      </c>
    </row>
    <row r="3416">
      <c r="A3416" s="11" t="s">
        <v>10636</v>
      </c>
      <c r="B3416" s="35">
        <f t="array" ref="B3416">XLOOKUP(A3416,IMDB_Movies!I$2:I$3493,IMDB_Movies!Q$2:Q$3493)</f>
        <v>109244357</v>
      </c>
      <c r="E3416" s="11" t="s">
        <v>10636</v>
      </c>
      <c r="F3416" s="36">
        <f t="array" ref="F3416">XLOOKUP(A3416,IMDB_Movies!I$2:I$3493,IMDB_Movies!P$2:P$3493)</f>
        <v>0</v>
      </c>
    </row>
    <row r="3417">
      <c r="A3417" s="11" t="s">
        <v>10638</v>
      </c>
      <c r="B3417" s="35">
        <f t="array" ref="B3417">XLOOKUP(A3417,IMDB_Movies!I$2:I$3493,IMDB_Movies!Q$2:Q$3493)</f>
        <v>0</v>
      </c>
      <c r="E3417" s="11" t="s">
        <v>10638</v>
      </c>
      <c r="F3417" s="36">
        <f t="array" ref="F3417">XLOOKUP(A3417,IMDB_Movies!I$2:I$3493,IMDB_Movies!P$2:P$3493)</f>
        <v>22991439</v>
      </c>
    </row>
    <row r="3418">
      <c r="A3418" s="20" t="s">
        <v>10640</v>
      </c>
      <c r="B3418" s="35">
        <f t="array" ref="B3418">XLOOKUP(A3418,IMDB_Movies!I$2:I$3493,IMDB_Movies!Q$2:Q$3493)</f>
        <v>0</v>
      </c>
      <c r="E3418" s="20" t="s">
        <v>10640</v>
      </c>
      <c r="F3418" s="36">
        <f t="array" ref="F3418">XLOOKUP(A3418,IMDB_Movies!I$2:I$3493,IMDB_Movies!P$2:P$3493)</f>
        <v>40184721</v>
      </c>
    </row>
    <row r="3419">
      <c r="A3419" s="24" t="s">
        <v>10645</v>
      </c>
      <c r="B3419" s="35">
        <f t="array" ref="B3419">XLOOKUP(A3419,IMDB_Movies!I$2:I$3493,IMDB_Movies!Q$2:Q$3493)</f>
        <v>0</v>
      </c>
      <c r="E3419" s="24" t="s">
        <v>10645</v>
      </c>
      <c r="F3419" s="36">
        <f t="array" ref="F3419">XLOOKUP(A3419,IMDB_Movies!I$2:I$3493,IMDB_Movies!P$2:P$3493)</f>
        <v>15399192</v>
      </c>
    </row>
    <row r="3420">
      <c r="A3420" s="24" t="s">
        <v>10647</v>
      </c>
      <c r="B3420" s="35">
        <f t="array" ref="B3420">XLOOKUP(A3420,IMDB_Movies!I$2:I$3493,IMDB_Movies!Q$2:Q$3493)</f>
        <v>0</v>
      </c>
      <c r="E3420" s="24" t="s">
        <v>10647</v>
      </c>
      <c r="F3420" s="36">
        <f t="array" ref="F3420">XLOOKUP(A3420,IMDB_Movies!I$2:I$3493,IMDB_Movies!P$2:P$3493)</f>
        <v>38000000</v>
      </c>
    </row>
    <row r="3421">
      <c r="A3421" s="11" t="s">
        <v>10651</v>
      </c>
      <c r="B3421" s="35">
        <f t="array" ref="B3421">XLOOKUP(A3421,IMDB_Movies!I$2:I$3493,IMDB_Movies!Q$2:Q$3493)</f>
        <v>0</v>
      </c>
      <c r="E3421" s="11" t="s">
        <v>10651</v>
      </c>
      <c r="F3421" s="36">
        <f t="array" ref="F3421">XLOOKUP(A3421,IMDB_Movies!I$2:I$3493,IMDB_Movies!P$2:P$3493)</f>
        <v>5369373</v>
      </c>
    </row>
    <row r="3422">
      <c r="A3422" s="28" t="s">
        <v>10653</v>
      </c>
      <c r="B3422" s="35">
        <f t="array" ref="B3422">XLOOKUP(A3422,IMDB_Movies!I$2:I$3493,IMDB_Movies!Q$2:Q$3493)</f>
        <v>0</v>
      </c>
      <c r="E3422" s="28" t="s">
        <v>10653</v>
      </c>
      <c r="F3422" s="36">
        <f t="array" ref="F3422">XLOOKUP(A3422,IMDB_Movies!I$2:I$3493,IMDB_Movies!P$2:P$3493)</f>
        <v>40072596</v>
      </c>
    </row>
    <row r="3423">
      <c r="A3423" s="11" t="s">
        <v>10655</v>
      </c>
      <c r="B3423" s="35">
        <f t="array" ref="B3423">XLOOKUP(A3423,IMDB_Movies!I$2:I$3493,IMDB_Movies!Q$2:Q$3493)</f>
        <v>0</v>
      </c>
      <c r="E3423" s="11" t="s">
        <v>10655</v>
      </c>
      <c r="F3423" s="36">
        <f t="array" ref="F3423">XLOOKUP(A3423,IMDB_Movies!I$2:I$3493,IMDB_Movies!P$2:P$3493)</f>
        <v>101049130</v>
      </c>
    </row>
    <row r="3424">
      <c r="A3424" s="11" t="s">
        <v>10657</v>
      </c>
      <c r="B3424" s="35">
        <f t="array" ref="B3424">XLOOKUP(A3424,IMDB_Movies!I$2:I$3493,IMDB_Movies!Q$2:Q$3493)</f>
        <v>0</v>
      </c>
      <c r="E3424" s="11" t="s">
        <v>10657</v>
      </c>
      <c r="F3424" s="36">
        <f t="array" ref="F3424">XLOOKUP(A3424,IMDB_Movies!I$2:I$3493,IMDB_Movies!P$2:P$3493)</f>
        <v>42477326</v>
      </c>
    </row>
    <row r="3425">
      <c r="A3425" s="11" t="s">
        <v>10659</v>
      </c>
      <c r="B3425" s="35">
        <f t="array" ref="B3425">XLOOKUP(A3425,IMDB_Movies!I$2:I$3493,IMDB_Movies!Q$2:Q$3493)</f>
        <v>0</v>
      </c>
      <c r="E3425" s="11" t="s">
        <v>10659</v>
      </c>
      <c r="F3425" s="36">
        <f t="array" ref="F3425">XLOOKUP(A3425,IMDB_Movies!I$2:I$3493,IMDB_Movies!P$2:P$3493)</f>
        <v>74712885</v>
      </c>
    </row>
    <row r="3426">
      <c r="A3426" s="20" t="s">
        <v>10663</v>
      </c>
      <c r="B3426" s="35">
        <f t="array" ref="B3426">XLOOKUP(A3426,IMDB_Movies!I$2:I$3493,IMDB_Movies!Q$2:Q$3493)</f>
        <v>937520</v>
      </c>
      <c r="E3426" s="20" t="s">
        <v>10663</v>
      </c>
      <c r="F3426" s="36">
        <f t="array" ref="F3426">XLOOKUP(A3426,IMDB_Movies!I$2:I$3493,IMDB_Movies!P$2:P$3493)</f>
        <v>0</v>
      </c>
    </row>
    <row r="3427">
      <c r="A3427" s="16" t="s">
        <v>10665</v>
      </c>
      <c r="B3427" s="35">
        <f t="array" ref="B3427">XLOOKUP(A3427,IMDB_Movies!I$2:I$3493,IMDB_Movies!Q$2:Q$3493)</f>
        <v>0</v>
      </c>
      <c r="E3427" s="16" t="s">
        <v>10665</v>
      </c>
      <c r="F3427" s="36">
        <f t="array" ref="F3427">XLOOKUP(A3427,IMDB_Movies!I$2:I$3493,IMDB_Movies!P$2:P$3493)</f>
        <v>20007180</v>
      </c>
    </row>
    <row r="3428">
      <c r="A3428" s="11" t="s">
        <v>10668</v>
      </c>
      <c r="B3428" s="35">
        <f t="array" ref="B3428">XLOOKUP(A3428,IMDB_Movies!I$2:I$3493,IMDB_Movies!Q$2:Q$3493)</f>
        <v>4515625</v>
      </c>
      <c r="E3428" s="11" t="s">
        <v>10668</v>
      </c>
      <c r="F3428" s="36">
        <f t="array" ref="F3428">XLOOKUP(A3428,IMDB_Movies!I$2:I$3493,IMDB_Movies!P$2:P$3493)</f>
        <v>0</v>
      </c>
    </row>
    <row r="3429">
      <c r="A3429" s="24" t="s">
        <v>10672</v>
      </c>
      <c r="B3429" s="35">
        <f t="array" ref="B3429">XLOOKUP(A3429,IMDB_Movies!I$2:I$3493,IMDB_Movies!Q$2:Q$3493)</f>
        <v>0</v>
      </c>
      <c r="E3429" s="24" t="s">
        <v>10672</v>
      </c>
      <c r="F3429" s="36">
        <f t="array" ref="F3429">XLOOKUP(A3429,IMDB_Movies!I$2:I$3493,IMDB_Movies!P$2:P$3493)</f>
        <v>5584685</v>
      </c>
    </row>
    <row r="3430">
      <c r="A3430" s="24" t="s">
        <v>10675</v>
      </c>
      <c r="B3430" s="35">
        <f t="array" ref="B3430">XLOOKUP(A3430,IMDB_Movies!I$2:I$3493,IMDB_Movies!Q$2:Q$3493)</f>
        <v>0</v>
      </c>
      <c r="E3430" s="24" t="s">
        <v>10675</v>
      </c>
      <c r="F3430" s="36">
        <f t="array" ref="F3430">XLOOKUP(A3430,IMDB_Movies!I$2:I$3493,IMDB_Movies!P$2:P$3493)</f>
        <v>1676553</v>
      </c>
    </row>
    <row r="3431">
      <c r="A3431" s="11" t="s">
        <v>10678</v>
      </c>
      <c r="B3431" s="35">
        <f t="array" ref="B3431">XLOOKUP(A3431,IMDB_Movies!I$2:I$3493,IMDB_Movies!Q$2:Q$3493)</f>
        <v>29649103</v>
      </c>
      <c r="E3431" s="11" t="s">
        <v>10678</v>
      </c>
      <c r="F3431" s="36">
        <f t="array" ref="F3431">XLOOKUP(A3431,IMDB_Movies!I$2:I$3493,IMDB_Movies!P$2:P$3493)</f>
        <v>0</v>
      </c>
    </row>
    <row r="3432">
      <c r="A3432" s="28" t="s">
        <v>10681</v>
      </c>
      <c r="B3432" s="35">
        <f t="array" ref="B3432">XLOOKUP(A3432,IMDB_Movies!I$2:I$3493,IMDB_Movies!Q$2:Q$3493)</f>
        <v>0</v>
      </c>
      <c r="E3432" s="28" t="s">
        <v>10681</v>
      </c>
      <c r="F3432" s="36">
        <f t="array" ref="F3432">XLOOKUP(A3432,IMDB_Movies!I$2:I$3493,IMDB_Movies!P$2:P$3493)</f>
        <v>34300000</v>
      </c>
    </row>
    <row r="3433">
      <c r="A3433" s="24" t="s">
        <v>10683</v>
      </c>
      <c r="B3433" s="35">
        <f t="array" ref="B3433">XLOOKUP(A3433,IMDB_Movies!I$2:I$3493,IMDB_Movies!Q$2:Q$3493)</f>
        <v>0</v>
      </c>
      <c r="E3433" s="24" t="s">
        <v>10683</v>
      </c>
      <c r="F3433" s="36">
        <f t="array" ref="F3433">XLOOKUP(A3433,IMDB_Movies!I$2:I$3493,IMDB_Movies!P$2:P$3493)</f>
        <v>17892374</v>
      </c>
    </row>
    <row r="3434">
      <c r="A3434" s="28" t="s">
        <v>10686</v>
      </c>
      <c r="B3434" s="35">
        <f t="array" ref="B3434">XLOOKUP(A3434,IMDB_Movies!I$2:I$3493,IMDB_Movies!Q$2:Q$3493)</f>
        <v>0</v>
      </c>
      <c r="E3434" s="28" t="s">
        <v>10686</v>
      </c>
      <c r="F3434" s="36">
        <f t="array" ref="F3434">XLOOKUP(A3434,IMDB_Movies!I$2:I$3493,IMDB_Movies!P$2:P$3493)</f>
        <v>85646235</v>
      </c>
    </row>
    <row r="3435">
      <c r="A3435" s="20" t="s">
        <v>10689</v>
      </c>
      <c r="B3435" s="35">
        <f t="array" ref="B3435">XLOOKUP(A3435,IMDB_Movies!I$2:I$3493,IMDB_Movies!Q$2:Q$3493)</f>
        <v>7814734</v>
      </c>
      <c r="E3435" s="20" t="s">
        <v>10689</v>
      </c>
      <c r="F3435" s="36">
        <f t="array" ref="F3435">XLOOKUP(A3435,IMDB_Movies!I$2:I$3493,IMDB_Movies!P$2:P$3493)</f>
        <v>0</v>
      </c>
    </row>
    <row r="3436">
      <c r="A3436" s="11" t="s">
        <v>10691</v>
      </c>
      <c r="B3436" s="35">
        <f t="array" ref="B3436">XLOOKUP(A3436,IMDB_Movies!I$2:I$3493,IMDB_Movies!Q$2:Q$3493)</f>
        <v>0</v>
      </c>
      <c r="E3436" s="11" t="s">
        <v>10691</v>
      </c>
      <c r="F3436" s="36">
        <f t="array" ref="F3436">XLOOKUP(A3436,IMDB_Movies!I$2:I$3493,IMDB_Movies!P$2:P$3493)</f>
        <v>74006080</v>
      </c>
    </row>
    <row r="3437">
      <c r="A3437" s="11" t="s">
        <v>10694</v>
      </c>
      <c r="B3437" s="35">
        <f t="array" ref="B3437">XLOOKUP(A3437,IMDB_Movies!I$2:I$3493,IMDB_Movies!Q$2:Q$3493)</f>
        <v>0</v>
      </c>
      <c r="E3437" s="11" t="s">
        <v>10694</v>
      </c>
      <c r="F3437" s="36">
        <f t="array" ref="F3437">XLOOKUP(A3437,IMDB_Movies!I$2:I$3493,IMDB_Movies!P$2:P$3493)</f>
        <v>79471845</v>
      </c>
    </row>
    <row r="3438">
      <c r="A3438" s="28" t="s">
        <v>10697</v>
      </c>
      <c r="B3438" s="35">
        <f t="array" ref="B3438">XLOOKUP(A3438,IMDB_Movies!I$2:I$3493,IMDB_Movies!Q$2:Q$3493)</f>
        <v>25622273</v>
      </c>
      <c r="E3438" s="28" t="s">
        <v>10697</v>
      </c>
      <c r="F3438" s="36">
        <f t="array" ref="F3438">XLOOKUP(A3438,IMDB_Movies!I$2:I$3493,IMDB_Movies!P$2:P$3493)</f>
        <v>0</v>
      </c>
    </row>
    <row r="3439">
      <c r="A3439" s="24" t="s">
        <v>10700</v>
      </c>
      <c r="B3439" s="35">
        <f t="array" ref="B3439">XLOOKUP(A3439,IMDB_Movies!I$2:I$3493,IMDB_Movies!Q$2:Q$3493)</f>
        <v>12662421</v>
      </c>
      <c r="E3439" s="24" t="s">
        <v>10700</v>
      </c>
      <c r="F3439" s="36">
        <f t="array" ref="F3439">XLOOKUP(A3439,IMDB_Movies!I$2:I$3493,IMDB_Movies!P$2:P$3493)</f>
        <v>0</v>
      </c>
    </row>
    <row r="3440">
      <c r="A3440" s="28" t="s">
        <v>10702</v>
      </c>
      <c r="B3440" s="35">
        <f t="array" ref="B3440">XLOOKUP(A3440,IMDB_Movies!I$2:I$3493,IMDB_Movies!Q$2:Q$3493)</f>
        <v>10197239</v>
      </c>
      <c r="E3440" s="28" t="s">
        <v>10702</v>
      </c>
      <c r="F3440" s="36">
        <f t="array" ref="F3440">XLOOKUP(A3440,IMDB_Movies!I$2:I$3493,IMDB_Movies!P$2:P$3493)</f>
        <v>0</v>
      </c>
    </row>
    <row r="3441">
      <c r="A3441" s="20" t="s">
        <v>10704</v>
      </c>
      <c r="B3441" s="35">
        <f t="array" ref="B3441">XLOOKUP(A3441,IMDB_Movies!I$2:I$3493,IMDB_Movies!Q$2:Q$3493)</f>
        <v>27877751</v>
      </c>
      <c r="E3441" s="20" t="s">
        <v>10704</v>
      </c>
      <c r="F3441" s="36">
        <f t="array" ref="F3441">XLOOKUP(A3441,IMDB_Movies!I$2:I$3493,IMDB_Movies!P$2:P$3493)</f>
        <v>0</v>
      </c>
    </row>
    <row r="3442">
      <c r="A3442" s="11" t="s">
        <v>10706</v>
      </c>
      <c r="B3442" s="35">
        <f t="array" ref="B3442">XLOOKUP(A3442,IMDB_Movies!I$2:I$3493,IMDB_Movies!Q$2:Q$3493)</f>
        <v>0</v>
      </c>
      <c r="E3442" s="11" t="s">
        <v>10706</v>
      </c>
      <c r="F3442" s="36">
        <f t="array" ref="F3442">XLOOKUP(A3442,IMDB_Movies!I$2:I$3493,IMDB_Movies!P$2:P$3493)</f>
        <v>196565000</v>
      </c>
    </row>
    <row r="3443">
      <c r="A3443" s="16" t="s">
        <v>10709</v>
      </c>
      <c r="B3443" s="35">
        <f t="array" ref="B3443">XLOOKUP(A3443,IMDB_Movies!I$2:I$3493,IMDB_Movies!Q$2:Q$3493)</f>
        <v>56254592</v>
      </c>
      <c r="E3443" s="16" t="s">
        <v>10709</v>
      </c>
      <c r="F3443" s="36">
        <f t="array" ref="F3443">XLOOKUP(A3443,IMDB_Movies!I$2:I$3493,IMDB_Movies!P$2:P$3493)</f>
        <v>0</v>
      </c>
    </row>
    <row r="3444">
      <c r="A3444" s="11" t="s">
        <v>10711</v>
      </c>
      <c r="B3444" s="35">
        <f t="array" ref="B3444">XLOOKUP(A3444,IMDB_Movies!I$2:I$3493,IMDB_Movies!Q$2:Q$3493)</f>
        <v>0</v>
      </c>
      <c r="E3444" s="11" t="s">
        <v>10711</v>
      </c>
      <c r="F3444" s="36">
        <f t="array" ref="F3444">XLOOKUP(A3444,IMDB_Movies!I$2:I$3493,IMDB_Movies!P$2:P$3493)</f>
        <v>9042266</v>
      </c>
    </row>
    <row r="3445">
      <c r="A3445" s="24" t="s">
        <v>10713</v>
      </c>
      <c r="B3445" s="35">
        <f t="array" ref="B3445">XLOOKUP(A3445,IMDB_Movies!I$2:I$3493,IMDB_Movies!Q$2:Q$3493)</f>
        <v>0</v>
      </c>
      <c r="E3445" s="24" t="s">
        <v>10713</v>
      </c>
      <c r="F3445" s="36">
        <f t="array" ref="F3445">XLOOKUP(A3445,IMDB_Movies!I$2:I$3493,IMDB_Movies!P$2:P$3493)</f>
        <v>417500</v>
      </c>
    </row>
    <row r="3446">
      <c r="A3446" s="28" t="s">
        <v>10715</v>
      </c>
      <c r="B3446" s="35">
        <f t="array" ref="B3446">XLOOKUP(A3446,IMDB_Movies!I$2:I$3493,IMDB_Movies!Q$2:Q$3493)</f>
        <v>0</v>
      </c>
      <c r="E3446" s="28" t="s">
        <v>10715</v>
      </c>
      <c r="F3446" s="36">
        <f t="array" ref="F3446">XLOOKUP(A3446,IMDB_Movies!I$2:I$3493,IMDB_Movies!P$2:P$3493)</f>
        <v>139994397</v>
      </c>
    </row>
    <row r="3447">
      <c r="A3447" s="20" t="s">
        <v>10718</v>
      </c>
      <c r="B3447" s="35">
        <f t="array" ref="B3447">XLOOKUP(A3447,IMDB_Movies!I$2:I$3493,IMDB_Movies!Q$2:Q$3493)</f>
        <v>9908458</v>
      </c>
      <c r="E3447" s="20" t="s">
        <v>10718</v>
      </c>
      <c r="F3447" s="36">
        <f t="array" ref="F3447">XLOOKUP(A3447,IMDB_Movies!I$2:I$3493,IMDB_Movies!P$2:P$3493)</f>
        <v>0</v>
      </c>
    </row>
    <row r="3448">
      <c r="A3448" s="11" t="s">
        <v>10720</v>
      </c>
      <c r="B3448" s="35">
        <f t="array" ref="B3448">XLOOKUP(A3448,IMDB_Movies!I$2:I$3493,IMDB_Movies!Q$2:Q$3493)</f>
        <v>0</v>
      </c>
      <c r="E3448" s="11" t="s">
        <v>10720</v>
      </c>
      <c r="F3448" s="36">
        <f t="array" ref="F3448">XLOOKUP(A3448,IMDB_Movies!I$2:I$3493,IMDB_Movies!P$2:P$3493)</f>
        <v>118136719</v>
      </c>
    </row>
    <row r="3449">
      <c r="A3449" s="11" t="s">
        <v>10725</v>
      </c>
      <c r="B3449" s="35">
        <f t="array" ref="B3449">XLOOKUP(A3449,IMDB_Movies!I$2:I$3493,IMDB_Movies!Q$2:Q$3493)</f>
        <v>515779</v>
      </c>
      <c r="E3449" s="11" t="s">
        <v>10725</v>
      </c>
      <c r="F3449" s="36">
        <f t="array" ref="F3449">XLOOKUP(A3449,IMDB_Movies!I$2:I$3493,IMDB_Movies!P$2:P$3493)</f>
        <v>0</v>
      </c>
    </row>
    <row r="3450">
      <c r="A3450" s="28" t="s">
        <v>10728</v>
      </c>
      <c r="B3450" s="35">
        <f t="array" ref="B3450">XLOOKUP(A3450,IMDB_Movies!I$2:I$3493,IMDB_Movies!Q$2:Q$3493)</f>
        <v>0</v>
      </c>
      <c r="E3450" s="28" t="s">
        <v>10728</v>
      </c>
      <c r="F3450" s="36">
        <f t="array" ref="F3450">XLOOKUP(A3450,IMDB_Movies!I$2:I$3493,IMDB_Movies!P$2:P$3493)</f>
        <v>323741</v>
      </c>
    </row>
    <row r="3451">
      <c r="A3451" s="28" t="s">
        <v>10732</v>
      </c>
      <c r="B3451" s="35">
        <f t="array" ref="B3451">XLOOKUP(A3451,IMDB_Movies!I$2:I$3493,IMDB_Movies!Q$2:Q$3493)</f>
        <v>5365542</v>
      </c>
      <c r="E3451" s="28" t="s">
        <v>10732</v>
      </c>
      <c r="F3451" s="36">
        <f t="array" ref="F3451">XLOOKUP(A3451,IMDB_Movies!I$2:I$3493,IMDB_Movies!P$2:P$3493)</f>
        <v>0</v>
      </c>
    </row>
    <row r="3452">
      <c r="A3452" s="32" t="s">
        <v>10734</v>
      </c>
      <c r="B3452" s="35">
        <f t="array" ref="B3452">XLOOKUP(A3452,IMDB_Movies!I$2:I$3493,IMDB_Movies!Q$2:Q$3493)</f>
        <v>0</v>
      </c>
      <c r="E3452" s="32" t="s">
        <v>10734</v>
      </c>
      <c r="F3452" s="36">
        <f t="array" ref="F3452">XLOOKUP(A3452,IMDB_Movies!I$2:I$3493,IMDB_Movies!P$2:P$3493)</f>
        <v>10853835</v>
      </c>
    </row>
    <row r="3453">
      <c r="A3453" s="20" t="s">
        <v>10737</v>
      </c>
      <c r="B3453" s="35">
        <f t="array" ref="B3453">XLOOKUP(A3453,IMDB_Movies!I$2:I$3493,IMDB_Movies!Q$2:Q$3493)</f>
        <v>0</v>
      </c>
      <c r="E3453" s="20" t="s">
        <v>10737</v>
      </c>
      <c r="F3453" s="36">
        <f t="array" ref="F3453">XLOOKUP(A3453,IMDB_Movies!I$2:I$3493,IMDB_Movies!P$2:P$3493)</f>
        <v>12983713</v>
      </c>
    </row>
    <row r="3454">
      <c r="A3454" s="11" t="s">
        <v>10740</v>
      </c>
      <c r="B3454" s="35">
        <f t="array" ref="B3454">XLOOKUP(A3454,IMDB_Movies!I$2:I$3493,IMDB_Movies!Q$2:Q$3493)</f>
        <v>4985459</v>
      </c>
      <c r="E3454" s="11" t="s">
        <v>10740</v>
      </c>
      <c r="F3454" s="36">
        <f t="array" ref="F3454">XLOOKUP(A3454,IMDB_Movies!I$2:I$3493,IMDB_Movies!P$2:P$3493)</f>
        <v>0</v>
      </c>
    </row>
    <row r="3455">
      <c r="A3455" s="11" t="s">
        <v>10742</v>
      </c>
      <c r="B3455" s="35">
        <f t="array" ref="B3455">XLOOKUP(A3455,IMDB_Movies!I$2:I$3493,IMDB_Movies!Q$2:Q$3493)</f>
        <v>0</v>
      </c>
      <c r="E3455" s="11" t="s">
        <v>10742</v>
      </c>
      <c r="F3455" s="36">
        <f t="array" ref="F3455">XLOOKUP(A3455,IMDB_Movies!I$2:I$3493,IMDB_Movies!P$2:P$3493)</f>
        <v>38287363</v>
      </c>
    </row>
    <row r="3456">
      <c r="A3456" s="24" t="s">
        <v>10745</v>
      </c>
      <c r="B3456" s="35">
        <f t="array" ref="B3456">XLOOKUP(A3456,IMDB_Movies!I$2:I$3493,IMDB_Movies!Q$2:Q$3493)</f>
        <v>0</v>
      </c>
      <c r="E3456" s="24" t="s">
        <v>10745</v>
      </c>
      <c r="F3456" s="36">
        <f t="array" ref="F3456">XLOOKUP(A3456,IMDB_Movies!I$2:I$3493,IMDB_Movies!P$2:P$3493)</f>
        <v>50471320</v>
      </c>
    </row>
    <row r="3457">
      <c r="A3457" s="32" t="s">
        <v>10748</v>
      </c>
      <c r="B3457" s="35">
        <f t="array" ref="B3457">XLOOKUP(A3457,IMDB_Movies!I$2:I$3493,IMDB_Movies!Q$2:Q$3493)</f>
        <v>0</v>
      </c>
      <c r="E3457" s="32" t="s">
        <v>10748</v>
      </c>
      <c r="F3457" s="36">
        <f t="array" ref="F3457">XLOOKUP(A3457,IMDB_Movies!I$2:I$3493,IMDB_Movies!P$2:P$3493)</f>
        <v>15127963</v>
      </c>
    </row>
    <row r="3458">
      <c r="A3458" s="11" t="s">
        <v>10750</v>
      </c>
      <c r="B3458" s="35">
        <f t="array" ref="B3458">XLOOKUP(A3458,IMDB_Movies!I$2:I$3493,IMDB_Movies!Q$2:Q$3493)</f>
        <v>11895931</v>
      </c>
      <c r="E3458" s="11" t="s">
        <v>10750</v>
      </c>
      <c r="F3458" s="36">
        <f t="array" ref="F3458">XLOOKUP(A3458,IMDB_Movies!I$2:I$3493,IMDB_Movies!P$2:P$3493)</f>
        <v>0</v>
      </c>
    </row>
    <row r="3459">
      <c r="A3459" s="11" t="s">
        <v>10754</v>
      </c>
      <c r="B3459" s="35">
        <f t="array" ref="B3459">XLOOKUP(A3459,IMDB_Movies!I$2:I$3493,IMDB_Movies!Q$2:Q$3493)</f>
        <v>9933445</v>
      </c>
      <c r="E3459" s="11" t="s">
        <v>10754</v>
      </c>
      <c r="F3459" s="36">
        <f t="array" ref="F3459">XLOOKUP(A3459,IMDB_Movies!I$2:I$3493,IMDB_Movies!P$2:P$3493)</f>
        <v>0</v>
      </c>
    </row>
    <row r="3460">
      <c r="A3460" s="16" t="s">
        <v>10756</v>
      </c>
      <c r="B3460" s="35">
        <f t="array" ref="B3460">XLOOKUP(A3460,IMDB_Movies!I$2:I$3493,IMDB_Movies!Q$2:Q$3493)</f>
        <v>47778542</v>
      </c>
      <c r="E3460" s="16" t="s">
        <v>10756</v>
      </c>
      <c r="F3460" s="36">
        <f t="array" ref="F3460">XLOOKUP(A3460,IMDB_Movies!I$2:I$3493,IMDB_Movies!P$2:P$3493)</f>
        <v>0</v>
      </c>
    </row>
    <row r="3461">
      <c r="A3461" s="24" t="s">
        <v>10758</v>
      </c>
      <c r="B3461" s="35">
        <f t="array" ref="B3461">XLOOKUP(A3461,IMDB_Movies!I$2:I$3493,IMDB_Movies!Q$2:Q$3493)</f>
        <v>0</v>
      </c>
      <c r="E3461" s="24" t="s">
        <v>10758</v>
      </c>
      <c r="F3461" s="36">
        <f t="array" ref="F3461">XLOOKUP(A3461,IMDB_Movies!I$2:I$3493,IMDB_Movies!P$2:P$3493)</f>
        <v>54125426</v>
      </c>
    </row>
    <row r="3462">
      <c r="A3462" s="20" t="s">
        <v>10761</v>
      </c>
      <c r="B3462" s="35">
        <f t="array" ref="B3462">XLOOKUP(A3462,IMDB_Movies!I$2:I$3493,IMDB_Movies!Q$2:Q$3493)</f>
        <v>0</v>
      </c>
      <c r="E3462" s="20" t="s">
        <v>10761</v>
      </c>
      <c r="F3462" s="36">
        <f t="array" ref="F3462">XLOOKUP(A3462,IMDB_Movies!I$2:I$3493,IMDB_Movies!P$2:P$3493)</f>
        <v>8821531</v>
      </c>
    </row>
    <row r="3463">
      <c r="A3463" s="11" t="s">
        <v>10765</v>
      </c>
      <c r="B3463" s="35">
        <f t="array" ref="B3463">XLOOKUP(A3463,IMDB_Movies!I$2:I$3493,IMDB_Movies!Q$2:Q$3493)</f>
        <v>0</v>
      </c>
      <c r="E3463" s="11" t="s">
        <v>10765</v>
      </c>
      <c r="F3463" s="36">
        <f t="array" ref="F3463">XLOOKUP(A3463,IMDB_Movies!I$2:I$3493,IMDB_Movies!P$2:P$3493)</f>
        <v>783276</v>
      </c>
    </row>
    <row r="3464">
      <c r="A3464" s="11" t="s">
        <v>10769</v>
      </c>
      <c r="B3464" s="35">
        <f t="array" ref="B3464">XLOOKUP(A3464,IMDB_Movies!I$2:I$3493,IMDB_Movies!Q$2:Q$3493)</f>
        <v>30619558</v>
      </c>
      <c r="E3464" s="11" t="s">
        <v>10769</v>
      </c>
      <c r="F3464" s="36">
        <f t="array" ref="F3464">XLOOKUP(A3464,IMDB_Movies!I$2:I$3493,IMDB_Movies!P$2:P$3493)</f>
        <v>0</v>
      </c>
    </row>
    <row r="3465">
      <c r="A3465" s="11" t="s">
        <v>10773</v>
      </c>
      <c r="B3465" s="35">
        <f t="array" ref="B3465">XLOOKUP(A3465,IMDB_Movies!I$2:I$3493,IMDB_Movies!Q$2:Q$3493)</f>
        <v>24123329</v>
      </c>
      <c r="E3465" s="11" t="s">
        <v>10773</v>
      </c>
      <c r="F3465" s="36">
        <f t="array" ref="F3465">XLOOKUP(A3465,IMDB_Movies!I$2:I$3493,IMDB_Movies!P$2:P$3493)</f>
        <v>0</v>
      </c>
    </row>
    <row r="3466">
      <c r="A3466" s="11" t="s">
        <v>10776</v>
      </c>
      <c r="B3466" s="35">
        <f t="array" ref="B3466">XLOOKUP(A3466,IMDB_Movies!I$2:I$3493,IMDB_Movies!Q$2:Q$3493)</f>
        <v>4527033</v>
      </c>
      <c r="E3466" s="11" t="s">
        <v>10776</v>
      </c>
      <c r="F3466" s="36">
        <f t="array" ref="F3466">XLOOKUP(A3466,IMDB_Movies!I$2:I$3493,IMDB_Movies!P$2:P$3493)</f>
        <v>0</v>
      </c>
    </row>
    <row r="3467">
      <c r="A3467" s="24" t="s">
        <v>10779</v>
      </c>
      <c r="B3467" s="35">
        <f t="array" ref="B3467">XLOOKUP(A3467,IMDB_Movies!I$2:I$3493,IMDB_Movies!Q$2:Q$3493)</f>
        <v>0</v>
      </c>
      <c r="E3467" s="24" t="s">
        <v>10779</v>
      </c>
      <c r="F3467" s="36">
        <f t="array" ref="F3467">XLOOKUP(A3467,IMDB_Movies!I$2:I$3493,IMDB_Movies!P$2:P$3493)</f>
        <v>32066000</v>
      </c>
    </row>
    <row r="3468">
      <c r="A3468" s="11" t="s">
        <v>10782</v>
      </c>
      <c r="B3468" s="35">
        <f t="array" ref="B3468">XLOOKUP(A3468,IMDB_Movies!I$2:I$3493,IMDB_Movies!Q$2:Q$3493)</f>
        <v>0</v>
      </c>
      <c r="E3468" s="11" t="s">
        <v>10782</v>
      </c>
      <c r="F3468" s="36">
        <f t="array" ref="F3468">XLOOKUP(A3468,IMDB_Movies!I$2:I$3493,IMDB_Movies!P$2:P$3493)</f>
        <v>4703228</v>
      </c>
    </row>
    <row r="3469">
      <c r="A3469" s="11" t="s">
        <v>10786</v>
      </c>
      <c r="B3469" s="35">
        <f t="array" ref="B3469">XLOOKUP(A3469,IMDB_Movies!I$2:I$3493,IMDB_Movies!Q$2:Q$3493)</f>
        <v>0</v>
      </c>
      <c r="E3469" s="11" t="s">
        <v>10786</v>
      </c>
      <c r="F3469" s="36">
        <f t="array" ref="F3469">XLOOKUP(A3469,IMDB_Movies!I$2:I$3493,IMDB_Movies!P$2:P$3493)</f>
        <v>53656813</v>
      </c>
    </row>
    <row r="3470">
      <c r="A3470" s="24" t="s">
        <v>10788</v>
      </c>
      <c r="B3470" s="35">
        <f t="array" ref="B3470">XLOOKUP(A3470,IMDB_Movies!I$2:I$3493,IMDB_Movies!Q$2:Q$3493)</f>
        <v>5952000</v>
      </c>
      <c r="E3470" s="24" t="s">
        <v>10788</v>
      </c>
      <c r="F3470" s="36">
        <f t="array" ref="F3470">XLOOKUP(A3470,IMDB_Movies!I$2:I$3493,IMDB_Movies!P$2:P$3493)</f>
        <v>0</v>
      </c>
    </row>
    <row r="3471">
      <c r="A3471" s="20" t="s">
        <v>10791</v>
      </c>
      <c r="B3471" s="35">
        <f t="array" ref="B3471">XLOOKUP(A3471,IMDB_Movies!I$2:I$3493,IMDB_Movies!Q$2:Q$3493)</f>
        <v>12000000</v>
      </c>
      <c r="E3471" s="20" t="s">
        <v>10791</v>
      </c>
      <c r="F3471" s="36">
        <f t="array" ref="F3471">XLOOKUP(A3471,IMDB_Movies!I$2:I$3493,IMDB_Movies!P$2:P$3493)</f>
        <v>0</v>
      </c>
    </row>
    <row r="3472">
      <c r="A3472" s="11" t="s">
        <v>10794</v>
      </c>
      <c r="B3472" s="35">
        <f t="array" ref="B3472">XLOOKUP(A3472,IMDB_Movies!I$2:I$3493,IMDB_Movies!Q$2:Q$3493)</f>
        <v>0</v>
      </c>
      <c r="E3472" s="11" t="s">
        <v>10794</v>
      </c>
      <c r="F3472" s="36">
        <f t="array" ref="F3472">XLOOKUP(A3472,IMDB_Movies!I$2:I$3493,IMDB_Movies!P$2:P$3493)</f>
        <v>1413105</v>
      </c>
    </row>
    <row r="3473">
      <c r="A3473" s="11" t="s">
        <v>10798</v>
      </c>
      <c r="B3473" s="35">
        <f t="array" ref="B3473">XLOOKUP(A3473,IMDB_Movies!I$2:I$3493,IMDB_Movies!Q$2:Q$3493)</f>
        <v>11880078</v>
      </c>
      <c r="E3473" s="11" t="s">
        <v>10798</v>
      </c>
      <c r="F3473" s="36">
        <f t="array" ref="F3473">XLOOKUP(A3473,IMDB_Movies!I$2:I$3493,IMDB_Movies!P$2:P$3493)</f>
        <v>0</v>
      </c>
    </row>
    <row r="3474">
      <c r="A3474" s="20" t="s">
        <v>10801</v>
      </c>
      <c r="B3474" s="35">
        <f t="array" ref="B3474">XLOOKUP(A3474,IMDB_Movies!I$2:I$3493,IMDB_Movies!Q$2:Q$3493)</f>
        <v>0</v>
      </c>
      <c r="E3474" s="20" t="s">
        <v>10801</v>
      </c>
      <c r="F3474" s="36">
        <f t="array" ref="F3474">XLOOKUP(A3474,IMDB_Movies!I$2:I$3493,IMDB_Movies!P$2:P$3493)</f>
        <v>103943</v>
      </c>
    </row>
    <row r="3475">
      <c r="A3475" s="11" t="s">
        <v>10803</v>
      </c>
      <c r="B3475" s="35">
        <f t="array" ref="B3475">XLOOKUP(A3475,IMDB_Movies!I$2:I$3493,IMDB_Movies!Q$2:Q$3493)</f>
        <v>0</v>
      </c>
      <c r="E3475" s="11" t="s">
        <v>10803</v>
      </c>
      <c r="F3475" s="36">
        <f t="array" ref="F3475">XLOOKUP(A3475,IMDB_Movies!I$2:I$3493,IMDB_Movies!P$2:P$3493)</f>
        <v>24651794</v>
      </c>
    </row>
    <row r="3476">
      <c r="A3476" s="24" t="s">
        <v>10805</v>
      </c>
      <c r="B3476" s="35">
        <f t="array" ref="B3476">XLOOKUP(A3476,IMDB_Movies!I$2:I$3493,IMDB_Movies!Q$2:Q$3493)</f>
        <v>10362510</v>
      </c>
      <c r="E3476" s="24" t="s">
        <v>10805</v>
      </c>
      <c r="F3476" s="36">
        <f t="array" ref="F3476">XLOOKUP(A3476,IMDB_Movies!I$2:I$3493,IMDB_Movies!P$2:P$3493)</f>
        <v>0</v>
      </c>
    </row>
    <row r="3477">
      <c r="A3477" s="20" t="s">
        <v>10808</v>
      </c>
      <c r="B3477" s="35">
        <f t="array" ref="B3477">XLOOKUP(A3477,IMDB_Movies!I$2:I$3493,IMDB_Movies!Q$2:Q$3493)</f>
        <v>0</v>
      </c>
      <c r="E3477" s="20" t="s">
        <v>10808</v>
      </c>
      <c r="F3477" s="36">
        <f t="array" ref="F3477">XLOOKUP(A3477,IMDB_Movies!I$2:I$3493,IMDB_Movies!P$2:P$3493)</f>
        <v>21638292</v>
      </c>
    </row>
    <row r="3478">
      <c r="A3478" s="11" t="s">
        <v>10811</v>
      </c>
      <c r="B3478" s="35">
        <f t="array" ref="B3478">XLOOKUP(A3478,IMDB_Movies!I$2:I$3493,IMDB_Movies!Q$2:Q$3493)</f>
        <v>2895331</v>
      </c>
      <c r="E3478" s="11" t="s">
        <v>10811</v>
      </c>
      <c r="F3478" s="36">
        <f t="array" ref="F3478">XLOOKUP(A3478,IMDB_Movies!I$2:I$3493,IMDB_Movies!P$2:P$3493)</f>
        <v>0</v>
      </c>
    </row>
    <row r="3479">
      <c r="A3479" s="11" t="s">
        <v>10814</v>
      </c>
      <c r="B3479" s="35">
        <f t="array" ref="B3479">XLOOKUP(A3479,IMDB_Movies!I$2:I$3493,IMDB_Movies!Q$2:Q$3493)</f>
        <v>21527150</v>
      </c>
      <c r="E3479" s="11" t="s">
        <v>10814</v>
      </c>
      <c r="F3479" s="36">
        <f t="array" ref="F3479">XLOOKUP(A3479,IMDB_Movies!I$2:I$3493,IMDB_Movies!P$2:P$3493)</f>
        <v>0</v>
      </c>
    </row>
    <row r="3480">
      <c r="A3480" s="11" t="s">
        <v>10816</v>
      </c>
      <c r="B3480" s="35">
        <f t="array" ref="B3480">XLOOKUP(A3480,IMDB_Movies!I$2:I$3493,IMDB_Movies!Q$2:Q$3493)</f>
        <v>64975525</v>
      </c>
      <c r="E3480" s="11" t="s">
        <v>10816</v>
      </c>
      <c r="F3480" s="36">
        <f t="array" ref="F3480">XLOOKUP(A3480,IMDB_Movies!I$2:I$3493,IMDB_Movies!P$2:P$3493)</f>
        <v>0</v>
      </c>
    </row>
    <row r="3481">
      <c r="A3481" s="28" t="s">
        <v>10819</v>
      </c>
      <c r="B3481" s="35">
        <f t="array" ref="B3481">XLOOKUP(A3481,IMDB_Movies!I$2:I$3493,IMDB_Movies!Q$2:Q$3493)</f>
        <v>147562</v>
      </c>
      <c r="E3481" s="28" t="s">
        <v>10819</v>
      </c>
      <c r="F3481" s="36">
        <f t="array" ref="F3481">XLOOKUP(A3481,IMDB_Movies!I$2:I$3493,IMDB_Movies!P$2:P$3493)</f>
        <v>0</v>
      </c>
    </row>
    <row r="3482">
      <c r="A3482" s="32" t="s">
        <v>10821</v>
      </c>
      <c r="B3482" s="35">
        <f t="array" ref="B3482">XLOOKUP(A3482,IMDB_Movies!I$2:I$3493,IMDB_Movies!Q$2:Q$3493)</f>
        <v>10625822</v>
      </c>
      <c r="E3482" s="32" t="s">
        <v>10821</v>
      </c>
      <c r="F3482" s="36">
        <f t="array" ref="F3482">XLOOKUP(A3482,IMDB_Movies!I$2:I$3493,IMDB_Movies!P$2:P$3493)</f>
        <v>0</v>
      </c>
    </row>
    <row r="3483">
      <c r="A3483" s="20" t="s">
        <v>10823</v>
      </c>
      <c r="B3483" s="35">
        <f t="array" ref="B3483">XLOOKUP(A3483,IMDB_Movies!I$2:I$3493,IMDB_Movies!Q$2:Q$3493)</f>
        <v>0</v>
      </c>
      <c r="E3483" s="20" t="s">
        <v>10823</v>
      </c>
      <c r="F3483" s="36">
        <f t="array" ref="F3483">XLOOKUP(A3483,IMDB_Movies!I$2:I$3493,IMDB_Movies!P$2:P$3493)</f>
        <v>76088877</v>
      </c>
    </row>
    <row r="3484">
      <c r="A3484" s="11" t="s">
        <v>10825</v>
      </c>
      <c r="B3484" s="35">
        <f t="array" ref="B3484">XLOOKUP(A3484,IMDB_Movies!I$2:I$3493,IMDB_Movies!Q$2:Q$3493)</f>
        <v>0</v>
      </c>
      <c r="E3484" s="11" t="s">
        <v>10825</v>
      </c>
      <c r="F3484" s="36">
        <f t="array" ref="F3484">XLOOKUP(A3484,IMDB_Movies!I$2:I$3493,IMDB_Movies!P$2:P$3493)</f>
        <v>12675765</v>
      </c>
    </row>
    <row r="3485">
      <c r="A3485" s="11" t="s">
        <v>10827</v>
      </c>
      <c r="B3485" s="35">
        <f t="array" ref="B3485">XLOOKUP(A3485,IMDB_Movies!I$2:I$3493,IMDB_Movies!Q$2:Q$3493)</f>
        <v>0</v>
      </c>
      <c r="E3485" s="11" t="s">
        <v>10827</v>
      </c>
      <c r="F3485" s="36">
        <f t="array" ref="F3485">XLOOKUP(A3485,IMDB_Movies!I$2:I$3493,IMDB_Movies!P$2:P$3493)</f>
        <v>19362712</v>
      </c>
    </row>
    <row r="3486">
      <c r="A3486" s="11" t="s">
        <v>10831</v>
      </c>
      <c r="B3486" s="35">
        <f t="array" ref="B3486">XLOOKUP(A3486,IMDB_Movies!I$2:I$3493,IMDB_Movies!Q$2:Q$3493)</f>
        <v>0</v>
      </c>
      <c r="E3486" s="11" t="s">
        <v>10831</v>
      </c>
      <c r="F3486" s="36">
        <f t="array" ref="F3486">XLOOKUP(A3486,IMDB_Movies!I$2:I$3493,IMDB_Movies!P$2:P$3493)</f>
        <v>10440971</v>
      </c>
    </row>
    <row r="3487">
      <c r="A3487" s="24" t="s">
        <v>10833</v>
      </c>
      <c r="B3487" s="35">
        <f t="array" ref="B3487">XLOOKUP(A3487,IMDB_Movies!I$2:I$3493,IMDB_Movies!Q$2:Q$3493)</f>
        <v>31654597</v>
      </c>
      <c r="E3487" s="24" t="s">
        <v>10833</v>
      </c>
      <c r="F3487" s="36">
        <f t="array" ref="F3487">XLOOKUP(A3487,IMDB_Movies!I$2:I$3493,IMDB_Movies!P$2:P$3493)</f>
        <v>0</v>
      </c>
    </row>
    <row r="3488">
      <c r="A3488" s="11" t="s">
        <v>10835</v>
      </c>
      <c r="B3488" s="35">
        <f t="array" ref="B3488">XLOOKUP(A3488,IMDB_Movies!I$2:I$3493,IMDB_Movies!Q$2:Q$3493)</f>
        <v>26003245</v>
      </c>
      <c r="E3488" s="11" t="s">
        <v>10835</v>
      </c>
      <c r="F3488" s="36">
        <f t="array" ref="F3488">XLOOKUP(A3488,IMDB_Movies!I$2:I$3493,IMDB_Movies!P$2:P$3493)</f>
        <v>0</v>
      </c>
    </row>
    <row r="3489">
      <c r="A3489" s="28" t="s">
        <v>10837</v>
      </c>
      <c r="B3489" s="35">
        <f t="array" ref="B3489">XLOOKUP(A3489,IMDB_Movies!I$2:I$3493,IMDB_Movies!Q$2:Q$3493)</f>
        <v>0</v>
      </c>
      <c r="E3489" s="28" t="s">
        <v>10837</v>
      </c>
      <c r="F3489" s="36">
        <f t="array" ref="F3489">XLOOKUP(A3489,IMDB_Movies!I$2:I$3493,IMDB_Movies!P$2:P$3493)</f>
        <v>2853933</v>
      </c>
    </row>
    <row r="3490">
      <c r="A3490" s="24" t="s">
        <v>10840</v>
      </c>
      <c r="B3490" s="35">
        <f t="array" ref="B3490">XLOOKUP(A3490,IMDB_Movies!I$2:I$3493,IMDB_Movies!Q$2:Q$3493)</f>
        <v>535874</v>
      </c>
      <c r="E3490" s="24" t="s">
        <v>10840</v>
      </c>
      <c r="F3490" s="36">
        <f t="array" ref="F3490">XLOOKUP(A3490,IMDB_Movies!I$2:I$3493,IMDB_Movies!P$2:P$3493)</f>
        <v>0</v>
      </c>
    </row>
    <row r="3491">
      <c r="A3491" s="28" t="s">
        <v>10842</v>
      </c>
      <c r="B3491" s="35">
        <f t="array" ref="B3491">XLOOKUP(A3491,IMDB_Movies!I$2:I$3493,IMDB_Movies!Q$2:Q$3493)</f>
        <v>0</v>
      </c>
      <c r="E3491" s="28" t="s">
        <v>10842</v>
      </c>
      <c r="F3491" s="36">
        <f t="array" ref="F3491">XLOOKUP(A3491,IMDB_Movies!I$2:I$3493,IMDB_Movies!P$2:P$3493)</f>
        <v>116348400</v>
      </c>
    </row>
    <row r="3492">
      <c r="A3492" s="16" t="s">
        <v>10845</v>
      </c>
      <c r="B3492" s="35">
        <f t="array" ref="B3492">XLOOKUP(A3492,IMDB_Movies!I$2:I$3493,IMDB_Movies!Q$2:Q$3493)</f>
        <v>5180871</v>
      </c>
      <c r="E3492" s="16" t="s">
        <v>10845</v>
      </c>
      <c r="F3492" s="36">
        <f t="array" ref="F3492">XLOOKUP(A3492,IMDB_Movies!I$2:I$3493,IMDB_Movies!P$2:P$3493)</f>
        <v>0</v>
      </c>
    </row>
    <row r="3493">
      <c r="A3493" s="11" t="s">
        <v>10848</v>
      </c>
      <c r="B3493" s="35">
        <f t="array" ref="B3493">XLOOKUP(A3493,IMDB_Movies!I$2:I$3493,IMDB_Movies!Q$2:Q$3493)</f>
        <v>18704226</v>
      </c>
      <c r="E3493" s="11" t="s">
        <v>10848</v>
      </c>
      <c r="F3493" s="36">
        <f t="array" ref="F3493">XLOOKUP(A3493,IMDB_Movies!I$2:I$3493,IMDB_Movies!P$2:P$3493)</f>
        <v>0</v>
      </c>
    </row>
  </sheetData>
  <autoFilter ref="$H$1:$L$11"/>
  <conditionalFormatting sqref="A2:A3493 E2:E3493">
    <cfRule type="containsBlanks" dxfId="0" priority="1">
      <formula>LEN(TRIM(A2))=0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36.14"/>
    <col customWidth="1" min="2" max="3" width="19.71"/>
    <col customWidth="1" min="4" max="4" width="45.29"/>
    <col customWidth="1" min="5" max="5" width="20.86"/>
    <col customWidth="1" min="6" max="6" width="21.14"/>
    <col customWidth="1" min="7" max="7" width="20.86"/>
  </cols>
  <sheetData>
    <row r="1"/>
    <row r="2"/>
    <row r="3"/>
    <row r="4"/>
    <row r="5"/>
    <row r="6"/>
    <row r="7"/>
    <row r="8"/>
    <row r="9"/>
    <row r="10"/>
    <row r="11"/>
    <row r="15"/>
    <row r="16"/>
    <row r="17"/>
    <row r="18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  <row r="106" hidden="1"/>
    <row r="107" hidden="1"/>
    <row r="108" hidden="1"/>
    <row r="109" hidden="1"/>
    <row r="110" hidden="1"/>
    <row r="111" hidden="1"/>
    <row r="112" hidden="1"/>
    <row r="113" hidden="1"/>
    <row r="114" hidden="1"/>
    <row r="115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8" hidden="1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 hidden="1"/>
    <row r="141" hidden="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  <row r="200" hidden="1"/>
    <row r="201" hidden="1"/>
    <row r="202" hidden="1"/>
    <row r="203" hidden="1"/>
    <row r="204" hidden="1"/>
    <row r="205" hidden="1"/>
    <row r="206" hidden="1"/>
    <row r="207" hidden="1"/>
    <row r="208" hidden="1"/>
    <row r="209" hidden="1"/>
    <row r="210" hidden="1"/>
    <row r="211" hidden="1"/>
    <row r="212" hidden="1"/>
    <row r="213" hidden="1"/>
    <row r="214" hidden="1"/>
    <row r="215" hidden="1"/>
    <row r="216" hidden="1"/>
    <row r="217" hidden="1"/>
    <row r="218" hidden="1"/>
    <row r="219" hidden="1"/>
    <row r="220" hidden="1"/>
    <row r="221" hidden="1"/>
    <row r="222" hidden="1"/>
    <row r="223" hidden="1"/>
    <row r="224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  <row r="234" hidden="1"/>
    <row r="235" hidden="1"/>
    <row r="236" hidden="1"/>
    <row r="237" hidden="1"/>
    <row r="238" hidden="1"/>
    <row r="239" hidden="1"/>
    <row r="240" hidden="1"/>
    <row r="241" hidden="1"/>
    <row r="242" hidden="1"/>
    <row r="243" hidden="1"/>
    <row r="244" hidden="1"/>
    <row r="245" hidden="1"/>
    <row r="246" hidden="1"/>
    <row r="247" hidden="1"/>
    <row r="248" hidden="1"/>
    <row r="249" hidden="1"/>
    <row r="250" hidden="1"/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 hidden="1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 hidden="1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 hidden="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 hidden="1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 hidden="1"/>
    <row r="583" hidden="1"/>
    <row r="584" hidden="1"/>
    <row r="585" hidden="1"/>
    <row r="586" hidden="1"/>
    <row r="587" hidden="1"/>
    <row r="588" hidden="1"/>
    <row r="589" hidden="1"/>
    <row r="590" hidden="1"/>
    <row r="591" hidden="1"/>
    <row r="592" hidden="1"/>
    <row r="593" hidden="1"/>
    <row r="594" hidden="1"/>
    <row r="595" hidden="1"/>
    <row r="596" hidden="1"/>
    <row r="597" hidden="1"/>
    <row r="598" hidden="1"/>
    <row r="599" hidden="1"/>
    <row r="600" hidden="1"/>
    <row r="601" hidden="1"/>
    <row r="602" hidden="1"/>
    <row r="603" hidden="1"/>
    <row r="604" hidden="1"/>
    <row r="605" hidden="1"/>
    <row r="606" hidden="1"/>
    <row r="607" hidden="1"/>
    <row r="608" hidden="1"/>
    <row r="609" hidden="1"/>
    <row r="610" hidden="1"/>
    <row r="611" hidden="1"/>
    <row r="612" hidden="1"/>
    <row r="613" hidden="1"/>
    <row r="614" hidden="1"/>
    <row r="615" hidden="1"/>
    <row r="616" hidden="1"/>
    <row r="617" hidden="1"/>
    <row r="618" hidden="1"/>
    <row r="619" hidden="1"/>
    <row r="620" hidden="1"/>
    <row r="621" hidden="1"/>
    <row r="622" hidden="1"/>
    <row r="623" hidden="1"/>
    <row r="624" hidden="1"/>
    <row r="625" hidden="1"/>
    <row r="626" hidden="1"/>
    <row r="627" hidden="1"/>
    <row r="628" hidden="1"/>
    <row r="629" hidden="1"/>
    <row r="630" hidden="1"/>
    <row r="631" hidden="1"/>
    <row r="632" hidden="1"/>
    <row r="633" hidden="1"/>
    <row r="634" hidden="1"/>
    <row r="635" hidden="1"/>
    <row r="636" hidden="1"/>
    <row r="637" hidden="1"/>
    <row r="638" hidden="1"/>
    <row r="639" hidden="1"/>
    <row r="640" hidden="1"/>
    <row r="641" hidden="1"/>
    <row r="642" hidden="1"/>
    <row r="643" hidden="1"/>
    <row r="644" hidden="1"/>
    <row r="645" hidden="1"/>
    <row r="646" hidden="1"/>
    <row r="647" hidden="1"/>
    <row r="648" hidden="1"/>
    <row r="649" hidden="1"/>
    <row r="650" hidden="1"/>
    <row r="651" hidden="1"/>
    <row r="652" hidden="1"/>
    <row r="653" hidden="1"/>
    <row r="654" hidden="1"/>
    <row r="655" hidden="1"/>
    <row r="656" hidden="1"/>
    <row r="657" hidden="1"/>
    <row r="658" hidden="1"/>
    <row r="659" hidden="1"/>
    <row r="660" hidden="1"/>
    <row r="661" hidden="1"/>
    <row r="662" hidden="1"/>
    <row r="663" hidden="1"/>
    <row r="664" hidden="1"/>
    <row r="665" hidden="1"/>
    <row r="666" hidden="1"/>
    <row r="667" hidden="1"/>
    <row r="668" hidden="1"/>
    <row r="669" hidden="1"/>
    <row r="670" hidden="1"/>
    <row r="671" hidden="1"/>
    <row r="672" hidden="1"/>
    <row r="673" hidden="1"/>
    <row r="674" hidden="1"/>
    <row r="675" hidden="1"/>
    <row r="676" hidden="1"/>
    <row r="677" hidden="1"/>
    <row r="678" hidden="1"/>
    <row r="679" hidden="1"/>
    <row r="680" hidden="1"/>
    <row r="681" hidden="1"/>
    <row r="682" hidden="1"/>
    <row r="683" hidden="1"/>
    <row r="684" hidden="1"/>
    <row r="685" hidden="1"/>
    <row r="686" hidden="1"/>
    <row r="687" hidden="1"/>
    <row r="688" hidden="1"/>
    <row r="689" hidden="1"/>
    <row r="690" hidden="1"/>
    <row r="691" hidden="1"/>
    <row r="692" hidden="1"/>
    <row r="693" hidden="1"/>
    <row r="694" hidden="1"/>
    <row r="695" hidden="1"/>
    <row r="696" hidden="1"/>
    <row r="697" hidden="1"/>
    <row r="698" hidden="1"/>
    <row r="699" hidden="1"/>
    <row r="700" hidden="1"/>
    <row r="701" hidden="1"/>
    <row r="702" hidden="1"/>
    <row r="703" hidden="1"/>
    <row r="704" hidden="1"/>
    <row r="705" hidden="1"/>
    <row r="706" hidden="1"/>
    <row r="707" hidden="1"/>
    <row r="708" hidden="1"/>
    <row r="709" hidden="1"/>
    <row r="710" hidden="1"/>
    <row r="711" hidden="1"/>
    <row r="712" hidden="1"/>
    <row r="713" hidden="1"/>
    <row r="714" hidden="1"/>
    <row r="715" hidden="1"/>
    <row r="716" hidden="1"/>
    <row r="717" hidden="1"/>
    <row r="718" hidden="1"/>
    <row r="719" hidden="1"/>
    <row r="720" hidden="1"/>
    <row r="721" hidden="1"/>
    <row r="722" hidden="1"/>
    <row r="723" hidden="1"/>
    <row r="724" hidden="1"/>
    <row r="725" hidden="1"/>
    <row r="726" hidden="1"/>
    <row r="727" hidden="1"/>
    <row r="728" hidden="1"/>
    <row r="729" hidden="1"/>
    <row r="730" hidden="1"/>
    <row r="731" hidden="1"/>
    <row r="732" hidden="1"/>
    <row r="733" hidden="1"/>
    <row r="734" hidden="1"/>
    <row r="735" hidden="1"/>
    <row r="736" hidden="1"/>
    <row r="737" hidden="1"/>
    <row r="738" hidden="1"/>
    <row r="739" hidden="1"/>
    <row r="740" hidden="1"/>
    <row r="741" hidden="1"/>
    <row r="742" hidden="1"/>
    <row r="743" hidden="1"/>
    <row r="744" hidden="1"/>
    <row r="745" hidden="1"/>
    <row r="746" hidden="1"/>
    <row r="747" hidden="1"/>
    <row r="748" hidden="1"/>
    <row r="749" hidden="1"/>
    <row r="750" hidden="1"/>
    <row r="751" hidden="1"/>
    <row r="752" hidden="1"/>
    <row r="753" hidden="1"/>
    <row r="754" hidden="1"/>
    <row r="755" hidden="1"/>
    <row r="756" hidden="1"/>
    <row r="757" hidden="1"/>
    <row r="758" hidden="1"/>
    <row r="759" hidden="1"/>
    <row r="760" hidden="1"/>
    <row r="761" hidden="1"/>
    <row r="762" hidden="1"/>
    <row r="763" hidden="1"/>
    <row r="764" hidden="1"/>
    <row r="765" hidden="1"/>
    <row r="766" hidden="1"/>
    <row r="767" hidden="1"/>
    <row r="768" hidden="1"/>
    <row r="769" hidden="1"/>
    <row r="770" hidden="1"/>
    <row r="771" hidden="1"/>
    <row r="772" hidden="1"/>
    <row r="773" hidden="1"/>
    <row r="774" hidden="1"/>
    <row r="775" hidden="1"/>
    <row r="776" hidden="1"/>
    <row r="777" hidden="1"/>
    <row r="778" hidden="1"/>
    <row r="779" hidden="1"/>
    <row r="780" hidden="1"/>
    <row r="781" hidden="1"/>
    <row r="782" hidden="1"/>
    <row r="783" hidden="1"/>
    <row r="784" hidden="1"/>
    <row r="785" hidden="1"/>
    <row r="786" hidden="1"/>
    <row r="787" hidden="1"/>
    <row r="788" hidden="1"/>
    <row r="789" hidden="1"/>
    <row r="790" hidden="1"/>
    <row r="791" hidden="1"/>
    <row r="792" hidden="1"/>
    <row r="793" hidden="1"/>
    <row r="794" hidden="1"/>
    <row r="795" hidden="1"/>
    <row r="796" hidden="1"/>
    <row r="797" hidden="1"/>
    <row r="798" hidden="1"/>
    <row r="799" hidden="1"/>
    <row r="800" hidden="1"/>
    <row r="801" hidden="1"/>
    <row r="802" hidden="1"/>
    <row r="803" hidden="1"/>
    <row r="804" hidden="1"/>
    <row r="805" hidden="1"/>
    <row r="806" hidden="1"/>
    <row r="807" hidden="1"/>
    <row r="808" hidden="1"/>
    <row r="809" hidden="1"/>
    <row r="810" hidden="1"/>
    <row r="811" hidden="1"/>
    <row r="812" hidden="1"/>
    <row r="813" hidden="1"/>
    <row r="814" hidden="1"/>
    <row r="815" hidden="1"/>
    <row r="816" hidden="1"/>
    <row r="817" hidden="1"/>
    <row r="818" hidden="1"/>
    <row r="819" hidden="1"/>
    <row r="820" hidden="1"/>
    <row r="821" hidden="1"/>
    <row r="822" hidden="1"/>
    <row r="823" hidden="1"/>
    <row r="824" hidden="1"/>
    <row r="825" hidden="1"/>
    <row r="826" hidden="1"/>
    <row r="827" hidden="1"/>
    <row r="828" hidden="1"/>
    <row r="829" hidden="1"/>
    <row r="830" hidden="1"/>
    <row r="831" hidden="1"/>
    <row r="832" hidden="1"/>
    <row r="833" hidden="1"/>
    <row r="834" hidden="1"/>
    <row r="835" hidden="1"/>
    <row r="836" hidden="1"/>
    <row r="837" hidden="1"/>
    <row r="838" hidden="1"/>
    <row r="839" hidden="1"/>
    <row r="840" hidden="1"/>
    <row r="841" hidden="1"/>
    <row r="842" hidden="1"/>
    <row r="843" hidden="1"/>
    <row r="844" hidden="1"/>
    <row r="845" hidden="1"/>
    <row r="846" hidden="1"/>
    <row r="847" hidden="1"/>
    <row r="848" hidden="1"/>
    <row r="849" hidden="1"/>
    <row r="850" hidden="1"/>
    <row r="851" hidden="1"/>
    <row r="852" hidden="1"/>
    <row r="853" hidden="1"/>
    <row r="854" hidden="1"/>
    <row r="855" hidden="1"/>
    <row r="856" hidden="1"/>
    <row r="857" hidden="1"/>
    <row r="858" hidden="1"/>
    <row r="859" hidden="1"/>
    <row r="860" hidden="1"/>
    <row r="861" hidden="1"/>
    <row r="862" hidden="1"/>
    <row r="863" hidden="1"/>
    <row r="864" hidden="1"/>
    <row r="865" hidden="1"/>
    <row r="866" hidden="1"/>
    <row r="867" hidden="1"/>
    <row r="868" hidden="1"/>
    <row r="869" hidden="1"/>
    <row r="870" hidden="1"/>
    <row r="871" hidden="1"/>
    <row r="872" hidden="1"/>
    <row r="873" hidden="1"/>
    <row r="874" hidden="1"/>
    <row r="875" hidden="1"/>
    <row r="876" hidden="1"/>
    <row r="877" hidden="1"/>
    <row r="878" hidden="1"/>
    <row r="879" hidden="1"/>
    <row r="880" hidden="1"/>
    <row r="881" hidden="1"/>
    <row r="882" hidden="1"/>
    <row r="883" hidden="1"/>
    <row r="884" hidden="1"/>
    <row r="885" hidden="1"/>
    <row r="886" hidden="1"/>
    <row r="887" hidden="1"/>
    <row r="888" hidden="1"/>
    <row r="889" hidden="1"/>
    <row r="890" hidden="1"/>
    <row r="891" hidden="1"/>
    <row r="892" hidden="1"/>
    <row r="893" hidden="1"/>
    <row r="894" hidden="1"/>
    <row r="895" hidden="1"/>
    <row r="896" hidden="1"/>
    <row r="897" hidden="1"/>
    <row r="898" hidden="1"/>
    <row r="899" hidden="1"/>
    <row r="900" hidden="1"/>
    <row r="901" hidden="1"/>
    <row r="902" hidden="1"/>
    <row r="903" hidden="1"/>
    <row r="904" hidden="1"/>
    <row r="905" hidden="1"/>
    <row r="906" hidden="1"/>
    <row r="907" hidden="1"/>
    <row r="908" hidden="1"/>
    <row r="909" hidden="1"/>
    <row r="910" hidden="1"/>
    <row r="911" hidden="1"/>
    <row r="912" hidden="1"/>
    <row r="913" hidden="1"/>
    <row r="914" hidden="1"/>
    <row r="915" hidden="1"/>
    <row r="916" hidden="1"/>
    <row r="917" hidden="1"/>
    <row r="918" hidden="1"/>
    <row r="919" hidden="1"/>
    <row r="920" hidden="1"/>
    <row r="921" hidden="1"/>
    <row r="922" hidden="1"/>
    <row r="923" hidden="1"/>
    <row r="924" hidden="1"/>
    <row r="925" hidden="1"/>
    <row r="926" hidden="1"/>
    <row r="927" hidden="1"/>
    <row r="928" hidden="1"/>
    <row r="929" hidden="1"/>
    <row r="930" hidden="1"/>
    <row r="931" hidden="1"/>
    <row r="932" hidden="1"/>
    <row r="933" hidden="1"/>
    <row r="934" hidden="1"/>
    <row r="935" hidden="1"/>
    <row r="936" hidden="1"/>
    <row r="937" hidden="1"/>
    <row r="938" hidden="1"/>
    <row r="939" hidden="1"/>
    <row r="940" hidden="1"/>
    <row r="941" hidden="1"/>
    <row r="942" hidden="1"/>
    <row r="943" hidden="1"/>
    <row r="944" hidden="1"/>
    <row r="945" hidden="1"/>
    <row r="946" hidden="1"/>
    <row r="947" hidden="1"/>
    <row r="948" hidden="1"/>
    <row r="949" hidden="1"/>
    <row r="950" hidden="1"/>
    <row r="951" hidden="1"/>
    <row r="952" hidden="1"/>
    <row r="953" hidden="1"/>
    <row r="954" hidden="1"/>
    <row r="955" hidden="1"/>
    <row r="956" hidden="1"/>
    <row r="957" hidden="1"/>
    <row r="958" hidden="1"/>
    <row r="959" hidden="1"/>
    <row r="960" hidden="1"/>
    <row r="961" hidden="1"/>
    <row r="962" hidden="1"/>
    <row r="963" hidden="1"/>
    <row r="964" hidden="1"/>
    <row r="965" hidden="1"/>
    <row r="966" hidden="1"/>
    <row r="967" hidden="1"/>
    <row r="968" hidden="1"/>
    <row r="969" hidden="1"/>
    <row r="970" hidden="1"/>
    <row r="971" hidden="1"/>
    <row r="972" hidden="1"/>
    <row r="973" hidden="1"/>
    <row r="974" hidden="1"/>
    <row r="975" hidden="1"/>
    <row r="976" hidden="1"/>
    <row r="977" hidden="1"/>
    <row r="978" hidden="1"/>
    <row r="979" hidden="1"/>
    <row r="980" hidden="1"/>
    <row r="981" hidden="1"/>
    <row r="982" hidden="1"/>
    <row r="983" hidden="1"/>
    <row r="984" hidden="1"/>
    <row r="985" hidden="1"/>
    <row r="986" hidden="1"/>
    <row r="987" hidden="1"/>
    <row r="988" hidden="1"/>
    <row r="989" hidden="1"/>
    <row r="990" hidden="1"/>
    <row r="991" hidden="1"/>
    <row r="992" hidden="1"/>
    <row r="993" hidden="1"/>
    <row r="994" hidden="1"/>
    <row r="995" hidden="1"/>
    <row r="996" hidden="1"/>
    <row r="997" hidden="1"/>
    <row r="998" hidden="1"/>
    <row r="999" hidden="1"/>
    <row r="1000" hidden="1"/>
    <row r="1001" hidden="1"/>
    <row r="1002" hidden="1"/>
    <row r="1003" hidden="1"/>
    <row r="1004" hidden="1"/>
    <row r="1005" hidden="1"/>
    <row r="1006" hidden="1"/>
    <row r="1007" hidden="1"/>
    <row r="1008" hidden="1"/>
    <row r="1009" hidden="1"/>
    <row r="1010" hidden="1"/>
    <row r="1011" hidden="1"/>
    <row r="1012" hidden="1"/>
    <row r="1013" hidden="1"/>
    <row r="1014" hidden="1"/>
    <row r="1015" hidden="1"/>
    <row r="1016" hidden="1"/>
    <row r="1017" hidden="1"/>
    <row r="1018" hidden="1"/>
    <row r="1019" hidden="1"/>
    <row r="1020" hidden="1"/>
    <row r="1021" hidden="1"/>
    <row r="1022" hidden="1"/>
    <row r="1023" hidden="1"/>
    <row r="1024" hidden="1"/>
    <row r="1025" hidden="1"/>
    <row r="1026" hidden="1"/>
    <row r="1027" hidden="1"/>
    <row r="1028" hidden="1"/>
    <row r="1029" hidden="1"/>
    <row r="1030" hidden="1"/>
    <row r="1031" hidden="1"/>
    <row r="1032" hidden="1"/>
    <row r="1033" hidden="1"/>
    <row r="1034" hidden="1"/>
    <row r="1035" hidden="1"/>
    <row r="1036" hidden="1"/>
    <row r="1037" hidden="1"/>
    <row r="1038" hidden="1"/>
    <row r="1039" hidden="1"/>
    <row r="1040" hidden="1"/>
    <row r="1041" hidden="1"/>
    <row r="1042" hidden="1"/>
    <row r="1043" hidden="1"/>
    <row r="1044" hidden="1"/>
    <row r="1045" hidden="1"/>
    <row r="1046" hidden="1"/>
    <row r="1047" hidden="1"/>
    <row r="1048" hidden="1"/>
    <row r="1049" hidden="1"/>
    <row r="1050" hidden="1"/>
    <row r="1051" hidden="1"/>
    <row r="1052" hidden="1"/>
    <row r="1053" hidden="1"/>
    <row r="1054" hidden="1"/>
    <row r="1055" hidden="1"/>
    <row r="1056" hidden="1"/>
    <row r="1057" hidden="1"/>
    <row r="1058" hidden="1"/>
    <row r="1059" hidden="1"/>
    <row r="1060" hidden="1"/>
    <row r="1061" hidden="1"/>
    <row r="1062" hidden="1"/>
    <row r="1063" hidden="1"/>
    <row r="1064" hidden="1"/>
    <row r="1065" hidden="1"/>
    <row r="1066" hidden="1"/>
    <row r="1067" hidden="1"/>
    <row r="1068" hidden="1"/>
    <row r="1069" hidden="1"/>
    <row r="1070" hidden="1"/>
    <row r="1071" hidden="1"/>
    <row r="1072" hidden="1"/>
    <row r="1073" hidden="1"/>
    <row r="1074" hidden="1"/>
    <row r="1075" hidden="1"/>
    <row r="1076" hidden="1"/>
    <row r="1077" hidden="1"/>
    <row r="1078" hidden="1"/>
    <row r="1079" hidden="1"/>
    <row r="1080" hidden="1"/>
    <row r="1081" hidden="1"/>
    <row r="1082" hidden="1"/>
    <row r="1083" hidden="1"/>
    <row r="1084" hidden="1"/>
    <row r="1085" hidden="1"/>
    <row r="1086" hidden="1"/>
    <row r="1087" hidden="1"/>
    <row r="1088" hidden="1"/>
    <row r="1089" hidden="1"/>
    <row r="1090" hidden="1"/>
    <row r="1091" hidden="1"/>
    <row r="1092" hidden="1"/>
    <row r="1093" hidden="1"/>
    <row r="1094" hidden="1"/>
    <row r="1095" hidden="1"/>
    <row r="1096" hidden="1"/>
    <row r="1097" hidden="1"/>
    <row r="1098" hidden="1"/>
    <row r="1099" hidden="1"/>
    <row r="1100" hidden="1"/>
    <row r="1101" hidden="1"/>
    <row r="1102" hidden="1"/>
    <row r="1103" hidden="1"/>
    <row r="1104" hidden="1"/>
    <row r="1105" hidden="1"/>
    <row r="1106" hidden="1"/>
    <row r="1107" hidden="1"/>
    <row r="1108" hidden="1"/>
    <row r="1109" hidden="1"/>
    <row r="1110" hidden="1"/>
    <row r="1111" hidden="1"/>
    <row r="1112" hidden="1"/>
    <row r="1113" hidden="1"/>
    <row r="1114" hidden="1"/>
    <row r="1115" hidden="1"/>
    <row r="1116" hidden="1"/>
    <row r="1117" hidden="1"/>
    <row r="1118" hidden="1"/>
    <row r="1119" hidden="1"/>
    <row r="1120" hidden="1"/>
    <row r="1121" hidden="1"/>
    <row r="1122" hidden="1"/>
    <row r="1123" hidden="1"/>
    <row r="1124" hidden="1"/>
    <row r="1125" hidden="1"/>
    <row r="1126" hidden="1"/>
    <row r="1127" hidden="1"/>
    <row r="1128" hidden="1"/>
    <row r="1129" hidden="1"/>
    <row r="1130" hidden="1"/>
    <row r="1131" hidden="1"/>
    <row r="1132" hidden="1"/>
    <row r="1133" hidden="1"/>
    <row r="1134" hidden="1"/>
    <row r="1135" hidden="1"/>
    <row r="1136" hidden="1"/>
    <row r="1137" hidden="1"/>
    <row r="1138" hidden="1"/>
    <row r="1139" hidden="1"/>
    <row r="1140" hidden="1"/>
    <row r="1141" hidden="1"/>
    <row r="1142" hidden="1"/>
    <row r="1143" hidden="1"/>
    <row r="1144" hidden="1"/>
    <row r="1145" hidden="1"/>
    <row r="1146" hidden="1"/>
    <row r="1147" hidden="1"/>
    <row r="1148" hidden="1"/>
    <row r="1149" hidden="1"/>
    <row r="1150" hidden="1"/>
    <row r="1151" hidden="1"/>
    <row r="1152" hidden="1"/>
    <row r="1153" hidden="1"/>
    <row r="1154" hidden="1"/>
    <row r="1155" hidden="1"/>
    <row r="1156" hidden="1"/>
    <row r="1157" hidden="1"/>
    <row r="1158" hidden="1"/>
    <row r="1159" hidden="1"/>
    <row r="1160" hidden="1"/>
    <row r="1161" hidden="1"/>
    <row r="1162" hidden="1"/>
    <row r="1163" hidden="1"/>
    <row r="1164" hidden="1"/>
    <row r="1165" hidden="1"/>
    <row r="1166" hidden="1"/>
    <row r="1167" hidden="1"/>
    <row r="1168" hidden="1"/>
    <row r="1169" hidden="1"/>
    <row r="1170" hidden="1"/>
    <row r="1171" hidden="1"/>
    <row r="1172" hidden="1"/>
    <row r="1173" hidden="1"/>
    <row r="1174" hidden="1"/>
    <row r="1175" hidden="1"/>
    <row r="1176" hidden="1"/>
    <row r="1177" hidden="1"/>
    <row r="1178" hidden="1"/>
    <row r="1179" hidden="1"/>
    <row r="1180" hidden="1"/>
    <row r="1181" hidden="1"/>
    <row r="1182" hidden="1"/>
    <row r="1183" hidden="1"/>
    <row r="1184" hidden="1"/>
    <row r="1185" hidden="1"/>
    <row r="1186" hidden="1"/>
    <row r="1187" hidden="1"/>
    <row r="1188" hidden="1"/>
    <row r="1189" hidden="1"/>
    <row r="1190" hidden="1"/>
    <row r="1191" hidden="1"/>
    <row r="1192" hidden="1"/>
    <row r="1193" hidden="1"/>
    <row r="1194" hidden="1"/>
    <row r="1195" hidden="1"/>
    <row r="1196" hidden="1"/>
    <row r="1197" hidden="1"/>
    <row r="1198" hidden="1"/>
    <row r="1199" hidden="1"/>
    <row r="1200" hidden="1"/>
    <row r="1201" hidden="1"/>
    <row r="1202" hidden="1"/>
    <row r="1203" hidden="1"/>
    <row r="1204" hidden="1"/>
    <row r="1205" hidden="1"/>
    <row r="1206" hidden="1"/>
    <row r="1207" hidden="1"/>
    <row r="1208" hidden="1"/>
    <row r="1209" hidden="1"/>
    <row r="1210" hidden="1"/>
    <row r="1211" hidden="1"/>
    <row r="1212" hidden="1"/>
    <row r="1213" hidden="1"/>
    <row r="1214" hidden="1"/>
    <row r="1215" hidden="1"/>
    <row r="1216" hidden="1"/>
    <row r="1217" hidden="1"/>
    <row r="1218" hidden="1"/>
    <row r="1219" hidden="1"/>
    <row r="1220" hidden="1"/>
    <row r="1221" hidden="1"/>
    <row r="1222" hidden="1"/>
    <row r="1223" hidden="1"/>
    <row r="1224" hidden="1"/>
    <row r="1225" hidden="1"/>
    <row r="1226" hidden="1"/>
    <row r="1227" hidden="1"/>
    <row r="1228" hidden="1"/>
    <row r="1229" hidden="1"/>
    <row r="1230" hidden="1"/>
    <row r="1231" hidden="1"/>
    <row r="1232" hidden="1"/>
    <row r="1233" hidden="1"/>
    <row r="1234" hidden="1"/>
    <row r="1235" hidden="1"/>
    <row r="1236" hidden="1"/>
    <row r="1237" hidden="1"/>
    <row r="1238" hidden="1"/>
    <row r="1239" hidden="1"/>
    <row r="1240" hidden="1"/>
    <row r="1241" hidden="1"/>
    <row r="1242" hidden="1"/>
    <row r="1243" hidden="1"/>
    <row r="1244" hidden="1"/>
    <row r="1245" hidden="1"/>
    <row r="1246" hidden="1"/>
    <row r="1247" hidden="1"/>
    <row r="1248" hidden="1"/>
    <row r="1249" hidden="1"/>
    <row r="1250" hidden="1"/>
    <row r="1251" hidden="1"/>
    <row r="1252" hidden="1"/>
    <row r="1253" hidden="1"/>
    <row r="1254" hidden="1"/>
    <row r="1255" hidden="1"/>
    <row r="1256" hidden="1"/>
    <row r="1257" hidden="1"/>
    <row r="1258" hidden="1"/>
    <row r="1259" hidden="1"/>
    <row r="1260" hidden="1"/>
    <row r="1261" hidden="1"/>
    <row r="1262" hidden="1"/>
    <row r="1263" hidden="1"/>
    <row r="1264" hidden="1"/>
    <row r="1265" hidden="1"/>
    <row r="1266" hidden="1"/>
    <row r="1267" hidden="1"/>
    <row r="1268" hidden="1"/>
    <row r="1269" hidden="1"/>
    <row r="1270" hidden="1"/>
    <row r="1271" hidden="1"/>
    <row r="1272" hidden="1"/>
    <row r="1273" hidden="1"/>
    <row r="1274" hidden="1"/>
    <row r="1275" hidden="1"/>
    <row r="1276" hidden="1"/>
    <row r="1277" hidden="1"/>
    <row r="1278" hidden="1"/>
    <row r="1279" hidden="1"/>
    <row r="1280" hidden="1"/>
    <row r="1281" hidden="1"/>
    <row r="1282" hidden="1"/>
    <row r="1283" hidden="1"/>
    <row r="1284" hidden="1"/>
    <row r="1285" hidden="1"/>
    <row r="1286" hidden="1"/>
    <row r="1287" hidden="1"/>
    <row r="1288" hidden="1"/>
    <row r="1289" hidden="1"/>
    <row r="1290" hidden="1"/>
    <row r="1291" hidden="1"/>
    <row r="1292" hidden="1"/>
    <row r="1293" hidden="1"/>
    <row r="1294" hidden="1"/>
    <row r="1295" hidden="1"/>
    <row r="1296" hidden="1"/>
    <row r="1297" hidden="1"/>
    <row r="1298" hidden="1"/>
    <row r="1299" hidden="1"/>
    <row r="1300" hidden="1"/>
    <row r="1301" hidden="1"/>
    <row r="1302" hidden="1"/>
    <row r="1303" hidden="1"/>
    <row r="1304" hidden="1"/>
    <row r="1305" hidden="1"/>
    <row r="1306" hidden="1"/>
    <row r="1307" hidden="1"/>
    <row r="1308" hidden="1"/>
    <row r="1309" hidden="1"/>
    <row r="1310" hidden="1"/>
    <row r="1311" hidden="1"/>
    <row r="1312" hidden="1"/>
    <row r="1313" hidden="1"/>
    <row r="1314" hidden="1"/>
    <row r="1315" hidden="1"/>
    <row r="1316" hidden="1"/>
    <row r="1317" hidden="1"/>
    <row r="1318" hidden="1"/>
    <row r="1319" hidden="1"/>
    <row r="1320" hidden="1"/>
    <row r="1321" hidden="1"/>
    <row r="1322" hidden="1"/>
    <row r="1323" hidden="1"/>
    <row r="1324" hidden="1"/>
    <row r="1325" hidden="1"/>
    <row r="1326" hidden="1"/>
    <row r="1327" hidden="1"/>
    <row r="1328" hidden="1"/>
    <row r="1329" hidden="1"/>
    <row r="1330" hidden="1"/>
    <row r="1331" hidden="1"/>
    <row r="1332" hidden="1"/>
    <row r="1333" hidden="1"/>
    <row r="1334" hidden="1"/>
    <row r="1335" hidden="1"/>
    <row r="1336" hidden="1"/>
    <row r="1337" hidden="1"/>
    <row r="1338" hidden="1"/>
    <row r="1339" hidden="1"/>
    <row r="1340" hidden="1"/>
    <row r="1341" hidden="1"/>
    <row r="1342" hidden="1"/>
    <row r="1343" hidden="1"/>
    <row r="1344" hidden="1"/>
    <row r="1345" hidden="1"/>
    <row r="1346" hidden="1"/>
    <row r="1347" hidden="1"/>
    <row r="1348" hidden="1"/>
    <row r="1349" hidden="1"/>
    <row r="1350" hidden="1"/>
    <row r="1351" hidden="1"/>
    <row r="1352" hidden="1"/>
    <row r="1353" hidden="1"/>
    <row r="1354" hidden="1"/>
    <row r="1355" hidden="1"/>
    <row r="1356" hidden="1"/>
    <row r="1357" hidden="1"/>
    <row r="1358" hidden="1"/>
    <row r="1359" hidden="1"/>
    <row r="1360" hidden="1"/>
    <row r="1361" hidden="1"/>
    <row r="1362" hidden="1"/>
    <row r="1363" hidden="1"/>
    <row r="1364" hidden="1"/>
    <row r="1365" hidden="1"/>
    <row r="1366" hidden="1"/>
    <row r="1367" hidden="1"/>
    <row r="1368" hidden="1"/>
    <row r="1369" hidden="1"/>
    <row r="1370" hidden="1"/>
    <row r="1371" hidden="1"/>
    <row r="1372" hidden="1"/>
    <row r="1373" hidden="1"/>
    <row r="1374" hidden="1"/>
    <row r="1375" hidden="1"/>
    <row r="1376" hidden="1"/>
    <row r="1377" hidden="1"/>
    <row r="1378" hidden="1"/>
    <row r="1379" hidden="1"/>
    <row r="1380" hidden="1"/>
    <row r="1381" hidden="1"/>
    <row r="1382" hidden="1"/>
    <row r="1383" hidden="1"/>
    <row r="1384" hidden="1"/>
    <row r="1385" hidden="1"/>
    <row r="1386" hidden="1"/>
    <row r="1387" hidden="1"/>
    <row r="1388" hidden="1"/>
    <row r="1389" hidden="1"/>
    <row r="1390" hidden="1"/>
    <row r="1391" hidden="1"/>
    <row r="1392" hidden="1"/>
    <row r="1393" hidden="1"/>
    <row r="1394" hidden="1"/>
    <row r="1395" hidden="1"/>
    <row r="1396" hidden="1"/>
    <row r="1397" hidden="1"/>
    <row r="1398" hidden="1"/>
    <row r="1399" hidden="1"/>
    <row r="1400" hidden="1"/>
    <row r="1401" hidden="1"/>
    <row r="1402" hidden="1"/>
    <row r="1403" hidden="1"/>
    <row r="1404" hidden="1"/>
    <row r="1405" hidden="1"/>
    <row r="1406" hidden="1"/>
    <row r="1407" hidden="1"/>
    <row r="1408" hidden="1"/>
    <row r="1409" hidden="1"/>
    <row r="1410" hidden="1"/>
    <row r="1411" hidden="1"/>
    <row r="1412" hidden="1"/>
    <row r="1413" hidden="1"/>
    <row r="1414" hidden="1"/>
    <row r="1415" hidden="1"/>
    <row r="1416" hidden="1"/>
    <row r="1417" hidden="1"/>
    <row r="1418" hidden="1"/>
    <row r="1419" hidden="1"/>
    <row r="1420" hidden="1"/>
    <row r="1421" hidden="1"/>
    <row r="1422" hidden="1"/>
    <row r="1423" hidden="1"/>
    <row r="1424" hidden="1"/>
    <row r="1425" hidden="1"/>
    <row r="1426" hidden="1"/>
    <row r="1427" hidden="1"/>
    <row r="1428" hidden="1"/>
    <row r="1429" hidden="1"/>
    <row r="1430" hidden="1"/>
    <row r="1431" hidden="1"/>
    <row r="1432" hidden="1"/>
    <row r="1433" hidden="1"/>
    <row r="1434" hidden="1"/>
    <row r="1435" hidden="1"/>
    <row r="1436" hidden="1"/>
    <row r="1437" hidden="1"/>
    <row r="1438" hidden="1"/>
    <row r="1439" hidden="1"/>
    <row r="1440" hidden="1"/>
    <row r="1441" hidden="1"/>
    <row r="1442" hidden="1"/>
    <row r="1443" hidden="1"/>
    <row r="1444" hidden="1"/>
    <row r="1445" hidden="1"/>
    <row r="1446" hidden="1"/>
    <row r="1447" hidden="1"/>
    <row r="1448" hidden="1"/>
    <row r="1449" hidden="1"/>
    <row r="1450" hidden="1"/>
    <row r="1451" hidden="1"/>
    <row r="1452" hidden="1"/>
    <row r="1453" hidden="1"/>
    <row r="1454" hidden="1"/>
    <row r="1455" hidden="1"/>
    <row r="1456" hidden="1"/>
    <row r="1457" hidden="1"/>
    <row r="1458" hidden="1"/>
    <row r="1459" hidden="1"/>
    <row r="1460" hidden="1"/>
    <row r="1461" hidden="1"/>
    <row r="1462" hidden="1"/>
    <row r="1463" hidden="1"/>
    <row r="1464" hidden="1"/>
    <row r="1465" hidden="1"/>
    <row r="1466" hidden="1"/>
    <row r="1467" hidden="1"/>
    <row r="1468" hidden="1"/>
    <row r="1469" hidden="1"/>
    <row r="1470" hidden="1"/>
    <row r="1471" hidden="1"/>
    <row r="1472" hidden="1"/>
    <row r="1473" hidden="1"/>
    <row r="1474" hidden="1"/>
    <row r="1475" hidden="1"/>
    <row r="1476" hidden="1"/>
    <row r="1477" hidden="1"/>
    <row r="1478" hidden="1"/>
    <row r="1479" hidden="1"/>
    <row r="1480" hidden="1"/>
    <row r="1481" hidden="1"/>
    <row r="1482" hidden="1"/>
    <row r="1483" hidden="1"/>
    <row r="1484" hidden="1"/>
    <row r="1485" hidden="1"/>
    <row r="1486" hidden="1"/>
    <row r="1487" hidden="1"/>
    <row r="1488" hidden="1"/>
    <row r="1489" hidden="1"/>
    <row r="1490" hidden="1"/>
    <row r="1491" hidden="1"/>
    <row r="1492" hidden="1"/>
    <row r="1493" hidden="1"/>
    <row r="1494" hidden="1"/>
    <row r="1495" hidden="1"/>
    <row r="1496" hidden="1"/>
    <row r="1497" hidden="1"/>
    <row r="1498" hidden="1"/>
    <row r="1499" hidden="1"/>
    <row r="1500" hidden="1"/>
    <row r="1501" hidden="1"/>
    <row r="1502" hidden="1"/>
    <row r="1503" hidden="1"/>
    <row r="1504" hidden="1"/>
    <row r="1505" hidden="1"/>
    <row r="1506" hidden="1"/>
    <row r="1507" hidden="1"/>
    <row r="1508" hidden="1"/>
    <row r="1509" hidden="1"/>
    <row r="1510" hidden="1"/>
    <row r="1511" hidden="1"/>
    <row r="1512" hidden="1"/>
    <row r="1513" hidden="1"/>
    <row r="1514" hidden="1"/>
    <row r="1515" hidden="1"/>
    <row r="1516" hidden="1"/>
    <row r="1517" hidden="1"/>
    <row r="1518" hidden="1"/>
    <row r="1519" hidden="1"/>
    <row r="1520" hidden="1"/>
    <row r="1521" hidden="1"/>
    <row r="1522" hidden="1"/>
    <row r="1523" hidden="1"/>
    <row r="1524" hidden="1"/>
    <row r="1525" hidden="1"/>
    <row r="1526" hidden="1"/>
    <row r="1527" hidden="1"/>
    <row r="1528" hidden="1"/>
    <row r="1529" hidden="1"/>
    <row r="1530" hidden="1"/>
    <row r="1531" hidden="1"/>
    <row r="1532" hidden="1"/>
    <row r="1533" hidden="1"/>
    <row r="1534" hidden="1"/>
    <row r="1535" hidden="1"/>
    <row r="1536" hidden="1"/>
    <row r="1537" hidden="1"/>
    <row r="1538" hidden="1"/>
    <row r="1539" hidden="1"/>
    <row r="1540" hidden="1"/>
    <row r="1541" hidden="1"/>
    <row r="1542" hidden="1"/>
    <row r="1543" hidden="1"/>
    <row r="1544" hidden="1"/>
    <row r="1545" hidden="1"/>
    <row r="1546" hidden="1"/>
    <row r="1547" hidden="1"/>
    <row r="1548" hidden="1"/>
    <row r="1549" hidden="1"/>
    <row r="1550" hidden="1"/>
    <row r="1551" hidden="1"/>
    <row r="1552" hidden="1"/>
    <row r="1553" hidden="1"/>
    <row r="1554" hidden="1"/>
    <row r="1555" hidden="1"/>
    <row r="1556" hidden="1"/>
    <row r="1557" hidden="1"/>
    <row r="1558" hidden="1"/>
    <row r="1559" hidden="1"/>
    <row r="1560" hidden="1"/>
    <row r="1561" hidden="1"/>
    <row r="1562" hidden="1"/>
    <row r="1563" hidden="1"/>
    <row r="1564" hidden="1"/>
    <row r="1565" hidden="1"/>
    <row r="1566" hidden="1"/>
    <row r="1567" hidden="1"/>
    <row r="1568" hidden="1"/>
    <row r="1569" hidden="1"/>
    <row r="1570" hidden="1"/>
    <row r="1571" hidden="1"/>
    <row r="1572" hidden="1"/>
    <row r="1573" hidden="1"/>
    <row r="1574" hidden="1"/>
    <row r="1575" hidden="1"/>
    <row r="1576" hidden="1"/>
    <row r="1577" hidden="1"/>
    <row r="1578" hidden="1"/>
    <row r="1579" hidden="1"/>
    <row r="1580" hidden="1"/>
    <row r="1581" hidden="1"/>
    <row r="1582" hidden="1"/>
    <row r="1583" hidden="1"/>
    <row r="1584" hidden="1"/>
    <row r="1585" hidden="1"/>
    <row r="1586" hidden="1"/>
    <row r="1587" hidden="1"/>
    <row r="1588" hidden="1"/>
    <row r="1589" hidden="1"/>
    <row r="1590" hidden="1"/>
    <row r="1591" hidden="1"/>
    <row r="1592" hidden="1"/>
    <row r="1593" hidden="1"/>
    <row r="1594" hidden="1"/>
    <row r="1595" hidden="1"/>
    <row r="1596" hidden="1"/>
    <row r="1597" hidden="1"/>
    <row r="1598" hidden="1"/>
    <row r="1599" hidden="1"/>
    <row r="1600" hidden="1"/>
    <row r="1601" hidden="1"/>
    <row r="1602" hidden="1"/>
    <row r="1603" hidden="1"/>
    <row r="1604" hidden="1"/>
    <row r="1605" hidden="1"/>
    <row r="1606" hidden="1"/>
    <row r="1607" hidden="1"/>
    <row r="1608" hidden="1"/>
    <row r="1609" hidden="1"/>
    <row r="1610" hidden="1"/>
    <row r="1611" hidden="1"/>
    <row r="1612" hidden="1"/>
    <row r="1613" hidden="1"/>
    <row r="1614" hidden="1"/>
    <row r="1615" hidden="1"/>
    <row r="1616" hidden="1"/>
    <row r="1617" hidden="1"/>
    <row r="1618" hidden="1"/>
    <row r="1619" hidden="1"/>
    <row r="1620" hidden="1"/>
    <row r="1621" hidden="1"/>
    <row r="1622" hidden="1"/>
    <row r="1623" hidden="1"/>
    <row r="1624" hidden="1"/>
    <row r="1625" hidden="1"/>
    <row r="1626" hidden="1"/>
    <row r="1627" hidden="1"/>
    <row r="1628" hidden="1"/>
    <row r="1629" hidden="1"/>
    <row r="1630" hidden="1"/>
    <row r="1631" hidden="1"/>
    <row r="1632" hidden="1"/>
    <row r="1633" hidden="1"/>
    <row r="1634" hidden="1"/>
    <row r="1635" hidden="1"/>
    <row r="1636" hidden="1"/>
    <row r="1637" hidden="1"/>
    <row r="1638" hidden="1"/>
    <row r="1639" hidden="1"/>
    <row r="1640" hidden="1"/>
    <row r="1641" hidden="1"/>
    <row r="1642" hidden="1"/>
    <row r="1643" hidden="1"/>
    <row r="1644" hidden="1"/>
    <row r="1645" hidden="1"/>
    <row r="1646" hidden="1"/>
    <row r="1647" hidden="1"/>
    <row r="1648" hidden="1"/>
    <row r="1649" hidden="1"/>
    <row r="1650" hidden="1"/>
    <row r="1651" hidden="1"/>
    <row r="1652" hidden="1"/>
    <row r="1653" hidden="1"/>
    <row r="1654" hidden="1"/>
    <row r="1655" hidden="1"/>
    <row r="1656" hidden="1"/>
    <row r="1657" hidden="1"/>
    <row r="1658" hidden="1"/>
    <row r="1659" hidden="1"/>
    <row r="1660" hidden="1"/>
    <row r="1661" hidden="1"/>
    <row r="1662" hidden="1"/>
    <row r="1663" hidden="1"/>
    <row r="1664" hidden="1"/>
    <row r="1665" hidden="1"/>
    <row r="1666" hidden="1"/>
    <row r="1667" hidden="1"/>
    <row r="1668" hidden="1"/>
    <row r="1669" hidden="1"/>
    <row r="1670" hidden="1"/>
    <row r="1671" hidden="1"/>
  </sheetData>
  <autoFilter ref="$A$15:$C$1671">
    <filterColumn colId="2">
      <colorFilter dxfId="2"/>
    </filterColumn>
  </autoFilter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